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445" windowHeight="6390" tabRatio="477" firstSheet="3" activeTab="4"/>
  </bookViews>
  <sheets>
    <sheet name="ingresos actual" sheetId="1" r:id="rId1"/>
    <sheet name="gastos actual" sheetId="2" r:id="rId2"/>
    <sheet name="invHoja4" sheetId="3" r:id="rId3"/>
    <sheet name="PRUEBA" sheetId="4" r:id="rId4"/>
    <sheet name="SEMAFORO" sheetId="5" r:id="rId5"/>
    <sheet name="REGALIA" sheetId="6" r:id="rId6"/>
    <sheet name="Gráfico3" sheetId="7" r:id="rId7"/>
    <sheet name="G.INV" sheetId="8" r:id="rId8"/>
    <sheet name="PROYECCION" sheetId="9" r:id="rId9"/>
  </sheets>
  <definedNames>
    <definedName name="_xlnm.Print_Area" localSheetId="7">'G.INV'!$A$1:$M$24</definedName>
    <definedName name="_xlnm.Print_Area" localSheetId="1">'gastos actual'!$A$24:$L$54</definedName>
    <definedName name="_xlnm.Print_Area" localSheetId="0">'ingresos actual'!$A$1:$L$56</definedName>
    <definedName name="_xlnm.Print_Area" localSheetId="2">'invHoja4'!$A$36:$O$65</definedName>
    <definedName name="_xlnm.Print_Area" localSheetId="8">'PROYECCION'!$A$57:$X$68</definedName>
    <definedName name="_xlnm.Print_Area" localSheetId="5">'REGALIA'!$A$1:$J$39</definedName>
    <definedName name="_xlnm.Print_Area" localSheetId="4">'SEMAFORO'!$A$1:$F$28</definedName>
  </definedNames>
  <calcPr fullCalcOnLoad="1"/>
</workbook>
</file>

<file path=xl/sharedStrings.xml><?xml version="1.0" encoding="utf-8"?>
<sst xmlns="http://schemas.openxmlformats.org/spreadsheetml/2006/main" count="413" uniqueCount="193">
  <si>
    <t>EVOLUCION FINANZAS PUBLICAS MUNICIPALES</t>
  </si>
  <si>
    <t>MUNICIPIO DE CHIVOR</t>
  </si>
  <si>
    <t>INGRESOS POR AÑO (Miles de pesos)</t>
  </si>
  <si>
    <t>Precios Corrientes</t>
  </si>
  <si>
    <t>EJECUTADO</t>
  </si>
  <si>
    <t>PRESUPUESTADO</t>
  </si>
  <si>
    <t>PRESUPUESTO</t>
  </si>
  <si>
    <t>%</t>
  </si>
  <si>
    <t>incremento %</t>
  </si>
  <si>
    <t>A.INGRESOS CORRIENTES</t>
  </si>
  <si>
    <t>NIGRESOS TRIBUTARIOS</t>
  </si>
  <si>
    <t>TOTAL INGRESOS CORRIENTES</t>
  </si>
  <si>
    <t>Impuesto Predial Unificado</t>
  </si>
  <si>
    <t>TOTAL TRANSFERENCIAS</t>
  </si>
  <si>
    <t>Sobretasa Predial Corpochivor</t>
  </si>
  <si>
    <t>TOTAL RECURSOS DE CAPITAL</t>
  </si>
  <si>
    <t>Impuesto de industria y Comercio</t>
  </si>
  <si>
    <t>TOTAL FONDOS ESPECIALES</t>
  </si>
  <si>
    <t>Impuesto de Avisos y Tableros</t>
  </si>
  <si>
    <t>Circulación y Tránsito</t>
  </si>
  <si>
    <t>TOTAL GASTOS + INVERSION</t>
  </si>
  <si>
    <t>Impuesto deguello ganado menor</t>
  </si>
  <si>
    <t>VARIACION</t>
  </si>
  <si>
    <t>Impuesto sobre rifas y apuestas ECOSALUD</t>
  </si>
  <si>
    <t>Deguello Ganado Mayor</t>
  </si>
  <si>
    <t>Impuesto de Ocupación de Vias Plazas y lugares Públicos</t>
  </si>
  <si>
    <t>Movilización de Ganado</t>
  </si>
  <si>
    <t>Matadero Municipal</t>
  </si>
  <si>
    <t>INGRESOS NO TRIBUTARIOS</t>
  </si>
  <si>
    <t>Tasas y Tarifas (Acueducto, alcantarillado y Aseo)</t>
  </si>
  <si>
    <t>Tasas y Tarifas(Matadero y Plaza de Mercado)</t>
  </si>
  <si>
    <t>Multas y sanciones</t>
  </si>
  <si>
    <t>Aportes y transferencias departamentales</t>
  </si>
  <si>
    <t>Transferencia del Sector eléctrico Ley 99/93</t>
  </si>
  <si>
    <t>Otros Ingresos no tributarios</t>
  </si>
  <si>
    <t>PORCENTAJE SOBRE INGRESOS TOTALES</t>
  </si>
  <si>
    <t>A1. TRANSFERENCIAS A NIVEL NACIONAL</t>
  </si>
  <si>
    <t>Tranferencias Ley 60/93</t>
  </si>
  <si>
    <t>Participación ICN, libre destinación</t>
  </si>
  <si>
    <t>Participación ICN ,Forzosa inversión</t>
  </si>
  <si>
    <t>Situado Fiscal (Municipios Certificados)</t>
  </si>
  <si>
    <t>Otras transferencias del nivel nacional</t>
  </si>
  <si>
    <t>Regalias</t>
  </si>
  <si>
    <t>Cofinanciación</t>
  </si>
  <si>
    <t>Fondo Nacional de Regalias</t>
  </si>
  <si>
    <t>Otros aportes entidades nacionales</t>
  </si>
  <si>
    <t>B.RECURSOS DE CAPITAL</t>
  </si>
  <si>
    <t>Recursos del Balance</t>
  </si>
  <si>
    <t>Rendimiento Operaciones Financieras</t>
  </si>
  <si>
    <t>Excedentes financieros establecimientos publico E.I.C. y SEM</t>
  </si>
  <si>
    <t>C.FONDOS ESPECIALES</t>
  </si>
  <si>
    <t>Fondo de Maquinaria</t>
  </si>
  <si>
    <t>Fondo Local de Salud</t>
  </si>
  <si>
    <t>D. INGRESOS ESTABLECIMIENTOS PUBLICOS</t>
  </si>
  <si>
    <t>TOTAL INGRESOS A+A1+B+C+D</t>
  </si>
  <si>
    <t>Fuente: Tesorería municipal de Chivor</t>
  </si>
  <si>
    <t>(Miles de Pesos)</t>
  </si>
  <si>
    <t>GASTOS FUNCIONAMIENTO</t>
  </si>
  <si>
    <t>Servicios personales</t>
  </si>
  <si>
    <t>Gastos generales</t>
  </si>
  <si>
    <t>Transferencias de nómina</t>
  </si>
  <si>
    <t>Fondos</t>
  </si>
  <si>
    <t>TOTAL GASTOS FUNCIONAMIENTO</t>
  </si>
  <si>
    <t>Servicios a la Deuda</t>
  </si>
  <si>
    <t>TOTAL SERVICIO DEUDA</t>
  </si>
  <si>
    <t>Inversión</t>
  </si>
  <si>
    <t>Inversión Urbana</t>
  </si>
  <si>
    <t>Inversión Rural</t>
  </si>
  <si>
    <t>TOTAL INVERSION</t>
  </si>
  <si>
    <t>TOTALES</t>
  </si>
  <si>
    <t>SERVICIO A LA DEUDA</t>
  </si>
  <si>
    <t>INVERSION URBANA</t>
  </si>
  <si>
    <t>INVERSION RURAL</t>
  </si>
  <si>
    <t>RESUMEN DE INVERSIONES POR SECTORES - AREA URBANA</t>
  </si>
  <si>
    <t>SECTOR</t>
  </si>
  <si>
    <t>INGRESOS CORRIENTES NACION</t>
  </si>
  <si>
    <t>RECURSOS PROPIOS</t>
  </si>
  <si>
    <t>COFINANCIACIÓN</t>
  </si>
  <si>
    <t>OTROS RECURSOS</t>
  </si>
  <si>
    <t>TOTAL</t>
  </si>
  <si>
    <t>Educación</t>
  </si>
  <si>
    <t>Salud</t>
  </si>
  <si>
    <t>Agua y Servicios Públicos</t>
  </si>
  <si>
    <t>Deportes</t>
  </si>
  <si>
    <t>Vivienda</t>
  </si>
  <si>
    <t>Construcc. Y Mantenim. Vial</t>
  </si>
  <si>
    <t>Desarrollo Institucional</t>
  </si>
  <si>
    <t>Equipamiento Municipal</t>
  </si>
  <si>
    <t>Electricidad</t>
  </si>
  <si>
    <t>Subsidios Servicios Publicos</t>
  </si>
  <si>
    <t>Sector Agrario</t>
  </si>
  <si>
    <t>Otros Sectores</t>
  </si>
  <si>
    <t>Bienestar Social</t>
  </si>
  <si>
    <t>Justicia</t>
  </si>
  <si>
    <t>Protección Ciudadana</t>
  </si>
  <si>
    <t>Prevención Atenc. Desastres</t>
  </si>
  <si>
    <t>Desarrollo Comunitario</t>
  </si>
  <si>
    <t>Otros Sectores de Inversión</t>
  </si>
  <si>
    <t xml:space="preserve">Teniendo en cuenta la variación que en la gráfica anterior se evidenció en el Sector Salud;  </t>
  </si>
  <si>
    <t>a causa de la Construcción del Hospital, el cual aún no se encuentra en funcionamiento</t>
  </si>
  <si>
    <t>a continuacion se omitirá el dato que surge en el año 1.997 de COFINANCIACIÓN,</t>
  </si>
  <si>
    <t xml:space="preserve"> el cual asciende a 301.190,dejando una cifra de 639.440; además de esto, </t>
  </si>
  <si>
    <t xml:space="preserve">se han omitido los ingresos por OTROS RECURSOS, por esta misma causa; </t>
  </si>
  <si>
    <t>dejando una cifra final de 401.074</t>
  </si>
  <si>
    <t xml:space="preserve">PRESTATARIO </t>
  </si>
  <si>
    <t>PROYECTO</t>
  </si>
  <si>
    <t>MONTO EMPRESTITO</t>
  </si>
  <si>
    <t>AÑOS DE AMORTIZACION</t>
  </si>
  <si>
    <t>AÑOS DE GRACIA</t>
  </si>
  <si>
    <t>INTERES (DTF + 5%)</t>
  </si>
  <si>
    <t>AÑO</t>
  </si>
  <si>
    <t>CAPITAL</t>
  </si>
  <si>
    <t>INTERESES</t>
  </si>
  <si>
    <t xml:space="preserve">CALCULO DEL AHORRO OPERACIONAL DEL MUNICIPIO </t>
  </si>
  <si>
    <t>DE CHIVOR PARA EL AÑO 1999</t>
  </si>
  <si>
    <t>CONCEPTO</t>
  </si>
  <si>
    <t>INGRESOS TRIBUTARIOS</t>
  </si>
  <si>
    <t>INGRESOS TRIBUTARIOS ESPECIFICOS</t>
  </si>
  <si>
    <t>REGALIAS Y COMPENSACIONES MONETARIAS</t>
  </si>
  <si>
    <t>TRANSFERENCIAS NACIONALES</t>
  </si>
  <si>
    <t>PARTICIPACION EN LAS RENTAS DE LA NACION (ICN)</t>
  </si>
  <si>
    <t>RECURSOS DEL BALANCE</t>
  </si>
  <si>
    <t>RENDIMIENTOS FINANCIEROS</t>
  </si>
  <si>
    <t>A</t>
  </si>
  <si>
    <t>TOTAL ING. CORRIENTES SUMA (1+2+,,,7)</t>
  </si>
  <si>
    <t>GASTOS DE FUNCIONAMIENTO</t>
  </si>
  <si>
    <t>TRANSFERENCIAS PAGADAS POR LAS ENTIDADES TERRITORIALES</t>
  </si>
  <si>
    <t>INVERSION SOCIAL</t>
  </si>
  <si>
    <t>B</t>
  </si>
  <si>
    <t>TOTAL GASTOS SUMA (8+9+10)</t>
  </si>
  <si>
    <t>AHORRO OPERACIONAL( A-B)</t>
  </si>
  <si>
    <t>INTERESES DE LA DEUDA PAGADOS Y CAUSADOS DURANTE LA VIGENCIA CON PROYECTO</t>
  </si>
  <si>
    <t>INTERESES DE LA DEUDA DEL CREDITO SOLICITADO</t>
  </si>
  <si>
    <t>INTERESES DE LA DEUDA CON PROYECTO(INT)</t>
  </si>
  <si>
    <t>&gt;  =</t>
  </si>
  <si>
    <t>INDICADOR INTERESES/AHORRO OPERACIONAL</t>
  </si>
  <si>
    <t>0/572107</t>
  </si>
  <si>
    <t>NIVEL DEL INDICADOR (INT/OA)</t>
  </si>
  <si>
    <t>VERDE</t>
  </si>
  <si>
    <t>INVERSIONES EN SANEAMIENTO BASICO FRENTE A TRANSFERENCIAS EN EL SECTOR ELECTRICO Y REGALIAS POR MINERIA EN ESMERALDAS</t>
  </si>
  <si>
    <t>SECTOR DE INVERSION</t>
  </si>
  <si>
    <t>GASTOS DE INVERSION 1996</t>
  </si>
  <si>
    <t>GASTOS DE INVERSION 1997</t>
  </si>
  <si>
    <t>GASTOS DE INVERSION 1998</t>
  </si>
  <si>
    <t>ZONA URBANA</t>
  </si>
  <si>
    <t>ZONA RURAL</t>
  </si>
  <si>
    <t>EDUCACION</t>
  </si>
  <si>
    <t>SALUD</t>
  </si>
  <si>
    <t>AGUA POTABLE Y SANEAMIENTO BASICO</t>
  </si>
  <si>
    <t>E. FISICA RECREACION DEPORTE Y CULTURA</t>
  </si>
  <si>
    <t xml:space="preserve">VIVIENDA </t>
  </si>
  <si>
    <t>CONSTRUCCION Y MANTENIMIENTO DE VIAS</t>
  </si>
  <si>
    <t>EQUIPAMIENTO MUNICIPAL</t>
  </si>
  <si>
    <t>ELECTRIFICACION</t>
  </si>
  <si>
    <t>SUBSIDIO ACCESO A SERVICIOS PUBLICOS</t>
  </si>
  <si>
    <t>BIENESTAR SOCIAL A GRUPOS VULNERABLES</t>
  </si>
  <si>
    <t>SECTOR AGRARIO</t>
  </si>
  <si>
    <t>JUSTICIA</t>
  </si>
  <si>
    <t>PROTECCION AL CIUDADANO</t>
  </si>
  <si>
    <t>PREVENCION Y ATENCION DE DESASTRES</t>
  </si>
  <si>
    <t>DESARROLLO INSTITUCIONAL</t>
  </si>
  <si>
    <t xml:space="preserve">DESARROLLO COMUNITARIO </t>
  </si>
  <si>
    <t>OTROS</t>
  </si>
  <si>
    <t>variación %</t>
  </si>
  <si>
    <t>variacion %</t>
  </si>
  <si>
    <t>FACTOR</t>
  </si>
  <si>
    <t>Educacion 30%</t>
  </si>
  <si>
    <t>Salud 25%</t>
  </si>
  <si>
    <t>Saneamiento básico 20%</t>
  </si>
  <si>
    <t>Cultura Recreación y Deporte 5 %</t>
  </si>
  <si>
    <t>Libre Inversión 20%</t>
  </si>
  <si>
    <t>Fuete: Tesorería Municipal Chivor 1999</t>
  </si>
  <si>
    <t>DIFERENCIA</t>
  </si>
  <si>
    <t>TRANSFERENCIAS SECTOR ELEC.</t>
  </si>
  <si>
    <t>INVERSION EN SANEAMIENTO BASICO</t>
  </si>
  <si>
    <t xml:space="preserve">ARTICULO 45 LEY 99 DE 1993 ... LOS MUNICIPIOS DEBEREAN INVERTIR PRIORITARIAMENTE LOS RECURSOS DE </t>
  </si>
  <si>
    <t>TRANSFERENCIAS SECTOR ELECTRICO EN PROYECTOS DE SANEAMIENTO BASICO.</t>
  </si>
  <si>
    <t>Fuente: Tesorería Municipal-Consultoría E.O.T.</t>
  </si>
  <si>
    <t>1999 (Miles de Pesos)</t>
  </si>
  <si>
    <t>GASTOS DE INVERSIÓN POR SECTORES</t>
  </si>
  <si>
    <t>Incremento %</t>
  </si>
  <si>
    <t>Fuente: Tesorería municipal de Chivor Y Esquema de Ordenamiento Territorial</t>
  </si>
  <si>
    <t>TABLA 6.6</t>
  </si>
  <si>
    <t>Tabla 6.7 EVOLUCION GASTOS PUBLICOS MUNICIPALES</t>
  </si>
  <si>
    <t>TABLA No. 6.10.</t>
  </si>
  <si>
    <t>TABLA No. 6.11</t>
  </si>
  <si>
    <t>TABLA 6.12 EVOLUCION FINANZAS PUBLICAS MUNICIPALES</t>
  </si>
  <si>
    <t>GASTOS DE FUNCIONAMIENTO (A)</t>
  </si>
  <si>
    <t>GASTOS DE INVERSION (B)</t>
  </si>
  <si>
    <t>TOTAL A+B</t>
  </si>
  <si>
    <t>Fuente: Tesorería municipal de Chivor-Consultoría EOT</t>
  </si>
  <si>
    <t>FIGURA 6.2</t>
  </si>
  <si>
    <t>Tabla 6.8 PROYECCIÓN GASTOS 2.000 - 2.010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</si>
</sst>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000"/>
    <numFmt numFmtId="173" formatCode="0.00000"/>
    <numFmt numFmtId="174" formatCode="0.0000"/>
    <numFmt numFmtId="175" formatCode="0.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5.5"/>
      <name val="Arial"/>
      <family val="2"/>
    </font>
    <font>
      <b/>
      <sz val="11.75"/>
      <name val="Arial"/>
      <family val="2"/>
    </font>
    <font>
      <sz val="9"/>
      <name val="Arial"/>
      <family val="0"/>
    </font>
    <font>
      <sz val="8"/>
      <name val="Arial"/>
      <family val="2"/>
    </font>
    <font>
      <sz val="14.75"/>
      <name val="Arial"/>
      <family val="0"/>
    </font>
    <font>
      <b/>
      <sz val="15.2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sz val="9.25"/>
      <name val="Arial"/>
      <family val="0"/>
    </font>
    <font>
      <sz val="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3" fontId="6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8" xfId="0" applyFont="1" applyBorder="1" applyAlignment="1">
      <alignment horizontal="justify"/>
    </xf>
    <xf numFmtId="0" fontId="7" fillId="0" borderId="9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7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/>
    </xf>
    <xf numFmtId="2" fontId="7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justify"/>
    </xf>
    <xf numFmtId="0" fontId="8" fillId="0" borderId="8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4" xfId="0" applyFont="1" applyBorder="1" applyAlignment="1">
      <alignment/>
    </xf>
    <xf numFmtId="9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right"/>
    </xf>
    <xf numFmtId="0" fontId="22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20" fillId="0" borderId="4" xfId="0" applyFont="1" applyBorder="1" applyAlignment="1">
      <alignment/>
    </xf>
    <xf numFmtId="0" fontId="12" fillId="2" borderId="4" xfId="0" applyFont="1" applyFill="1" applyBorder="1" applyAlignment="1">
      <alignment/>
    </xf>
    <xf numFmtId="0" fontId="20" fillId="2" borderId="4" xfId="0" applyFont="1" applyFill="1" applyBorder="1" applyAlignment="1">
      <alignment/>
    </xf>
    <xf numFmtId="0" fontId="12" fillId="0" borderId="4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0" fillId="0" borderId="4" xfId="0" applyBorder="1" applyAlignment="1">
      <alignment horizontal="right"/>
    </xf>
    <xf numFmtId="0" fontId="0" fillId="0" borderId="0" xfId="0" applyFill="1" applyAlignment="1">
      <alignment/>
    </xf>
    <xf numFmtId="0" fontId="1" fillId="3" borderId="4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23" fillId="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4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0" fillId="0" borderId="0" xfId="0" applyAlignment="1">
      <alignment horizontal="centerContinuous"/>
    </xf>
    <xf numFmtId="0" fontId="1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Continuous"/>
    </xf>
    <xf numFmtId="0" fontId="12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12" fillId="7" borderId="4" xfId="0" applyFont="1" applyFill="1" applyBorder="1" applyAlignment="1">
      <alignment horizontal="centerContinuous"/>
    </xf>
    <xf numFmtId="0" fontId="0" fillId="7" borderId="4" xfId="0" applyFill="1" applyBorder="1" applyAlignment="1">
      <alignment horizontal="centerContinuous"/>
    </xf>
    <xf numFmtId="0" fontId="12" fillId="7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7" borderId="0" xfId="0" applyFont="1" applyFill="1" applyAlignment="1">
      <alignment/>
    </xf>
    <xf numFmtId="0" fontId="1" fillId="7" borderId="0" xfId="0" applyFont="1" applyFill="1" applyAlignment="1">
      <alignment horizontal="centerContinuous"/>
    </xf>
    <xf numFmtId="0" fontId="30" fillId="0" borderId="5" xfId="0" applyFont="1" applyFill="1" applyBorder="1" applyAlignment="1">
      <alignment horizontal="center"/>
    </xf>
    <xf numFmtId="1" fontId="30" fillId="0" borderId="6" xfId="0" applyNumberFormat="1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1" fontId="30" fillId="0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justify"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 horizontal="justify"/>
    </xf>
    <xf numFmtId="0" fontId="1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30" fillId="7" borderId="5" xfId="0" applyFont="1" applyFill="1" applyBorder="1" applyAlignment="1">
      <alignment horizontal="center"/>
    </xf>
    <xf numFmtId="1" fontId="30" fillId="7" borderId="6" xfId="0" applyNumberFormat="1" applyFont="1" applyFill="1" applyBorder="1" applyAlignment="1">
      <alignment horizontal="center"/>
    </xf>
    <xf numFmtId="0" fontId="30" fillId="7" borderId="6" xfId="0" applyFont="1" applyFill="1" applyBorder="1" applyAlignment="1">
      <alignment horizontal="center"/>
    </xf>
    <xf numFmtId="0" fontId="31" fillId="7" borderId="6" xfId="0" applyFont="1" applyFill="1" applyBorder="1" applyAlignment="1">
      <alignment horizontal="center"/>
    </xf>
    <xf numFmtId="1" fontId="30" fillId="7" borderId="7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Continuous"/>
    </xf>
    <xf numFmtId="0" fontId="1" fillId="7" borderId="14" xfId="0" applyFont="1" applyFill="1" applyBorder="1" applyAlignment="1">
      <alignment horizontal="centerContinuous"/>
    </xf>
    <xf numFmtId="0" fontId="1" fillId="7" borderId="15" xfId="0" applyFont="1" applyFill="1" applyBorder="1" applyAlignment="1">
      <alignment horizontal="centerContinuous"/>
    </xf>
    <xf numFmtId="0" fontId="30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justify"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/>
    </xf>
    <xf numFmtId="1" fontId="30" fillId="0" borderId="5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9" fillId="7" borderId="5" xfId="0" applyFont="1" applyFill="1" applyBorder="1" applyAlignment="1">
      <alignment horizontal="center" vertical="center" wrapText="1"/>
    </xf>
    <xf numFmtId="1" fontId="19" fillId="7" borderId="6" xfId="0" applyNumberFormat="1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1" fontId="19" fillId="7" borderId="7" xfId="0" applyNumberFormat="1" applyFont="1" applyFill="1" applyBorder="1" applyAlignment="1">
      <alignment horizontal="center" vertical="center" wrapText="1"/>
    </xf>
    <xf numFmtId="1" fontId="19" fillId="7" borderId="19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0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8" xfId="0" applyFont="1" applyBorder="1" applyAlignment="1">
      <alignment horizontal="justify"/>
    </xf>
    <xf numFmtId="3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2" fontId="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5" fillId="0" borderId="4" xfId="0" applyFont="1" applyBorder="1" applyAlignment="1">
      <alignment/>
    </xf>
    <xf numFmtId="0" fontId="20" fillId="7" borderId="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Continuous"/>
    </xf>
    <xf numFmtId="0" fontId="1" fillId="7" borderId="6" xfId="0" applyFont="1" applyFill="1" applyBorder="1" applyAlignment="1">
      <alignment horizontal="centerContinuous"/>
    </xf>
    <xf numFmtId="0" fontId="1" fillId="7" borderId="7" xfId="0" applyFont="1" applyFill="1" applyBorder="1" applyAlignment="1">
      <alignment/>
    </xf>
    <xf numFmtId="0" fontId="0" fillId="7" borderId="10" xfId="0" applyFill="1" applyBorder="1" applyAlignment="1">
      <alignment/>
    </xf>
    <xf numFmtId="0" fontId="20" fillId="7" borderId="11" xfId="0" applyFont="1" applyFill="1" applyBorder="1" applyAlignment="1">
      <alignment/>
    </xf>
    <xf numFmtId="0" fontId="20" fillId="7" borderId="11" xfId="0" applyFont="1" applyFill="1" applyBorder="1" applyAlignment="1">
      <alignment horizontal="center"/>
    </xf>
    <xf numFmtId="0" fontId="20" fillId="7" borderId="1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2" fillId="7" borderId="4" xfId="0" applyFont="1" applyFill="1" applyBorder="1" applyAlignment="1">
      <alignment/>
    </xf>
    <xf numFmtId="0" fontId="0" fillId="7" borderId="4" xfId="0" applyFill="1" applyBorder="1" applyAlignment="1">
      <alignment/>
    </xf>
    <xf numFmtId="0" fontId="20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Continuous" vertical="center" wrapText="1"/>
    </xf>
    <xf numFmtId="0" fontId="6" fillId="7" borderId="21" xfId="0" applyFont="1" applyFill="1" applyBorder="1" applyAlignment="1">
      <alignment horizontal="centerContinuous" vertical="center" wrapText="1"/>
    </xf>
    <xf numFmtId="0" fontId="6" fillId="7" borderId="22" xfId="0" applyFont="1" applyFill="1" applyBorder="1" applyAlignment="1">
      <alignment horizontal="centerContinuous" vertical="center" wrapText="1"/>
    </xf>
    <xf numFmtId="0" fontId="4" fillId="7" borderId="23" xfId="0" applyFont="1" applyFill="1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3" fontId="4" fillId="7" borderId="2" xfId="0" applyNumberFormat="1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4" fillId="7" borderId="20" xfId="0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/>
    </xf>
    <xf numFmtId="0" fontId="4" fillId="7" borderId="4" xfId="0" applyFont="1" applyFill="1" applyBorder="1" applyAlignment="1">
      <alignment/>
    </xf>
    <xf numFmtId="0" fontId="7" fillId="0" borderId="2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7" borderId="4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32" fillId="7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7" borderId="20" xfId="0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5050"/>
      <rgbColor rgb="0033CC33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9966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DD83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EVOLUCION FINANZAS PUBLICAS
 MUNICIPALES</a:t>
            </a:r>
          </a:p>
        </c:rich>
      </c:tx>
      <c:layout>
        <c:manualLayout>
          <c:xMode val="factor"/>
          <c:yMode val="factor"/>
          <c:x val="0.048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"/>
          <c:y val="0.324"/>
          <c:w val="0.479"/>
          <c:h val="0.5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'ingresos actual'!$Q$10</c:f>
              <c:strCache>
                <c:ptCount val="1"/>
                <c:pt idx="0">
                  <c:v>TOTAL INGRESOS CORRIENTES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'ingresos actual'!$R$9:$U$9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'ingresos actual'!$R$10:$U$10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'ingresos actual'!$Q$11</c:f>
              <c:strCache>
                <c:ptCount val="1"/>
                <c:pt idx="0">
                  <c:v>TOTAL TRANSFERENCIAS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'ingresos actual'!$R$9:$U$9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'ingresos actual'!$R$11:$U$11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'ingresos actual'!$Q$12</c:f>
              <c:strCache>
                <c:ptCount val="1"/>
                <c:pt idx="0">
                  <c:v>TOTAL RECURSOS DE CAPITAL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'ingresos actual'!$R$9:$U$9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'ingresos actual'!$R$12:$U$12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'ingresos actual'!$Q$13</c:f>
              <c:strCache>
                <c:ptCount val="1"/>
                <c:pt idx="0">
                  <c:v>TOTAL FONDOS ESPECIALES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'ingresos actual'!$R$9:$U$9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'ingresos actual'!$R$13:$U$13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26487"/>
        <c:crosses val="autoZero"/>
        <c:auto val="0"/>
        <c:lblOffset val="100"/>
        <c:noMultiLvlLbl val="0"/>
      </c:catAx>
      <c:valAx>
        <c:axId val="7026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50342"/>
        <c:crossesAt val="1"/>
        <c:crossBetween val="between"/>
        <c:dispUnits/>
        <c:min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5"/>
          <c:y val="0.19425"/>
          <c:w val="0.1525"/>
          <c:h val="0.474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EVOLUCION GASTOS MUNICIPALES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1725"/>
          <c:w val="0.806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'gastos actual'!$A$37:$A$37</c:f>
              <c:strCache>
                <c:ptCount val="1"/>
                <c:pt idx="0">
                  <c:v>GASTOS FUNCIONAMIENTO</c:v>
                </c:pt>
              </c:strCache>
            </c:strRef>
          </c:tx>
          <c:spPr>
            <a:gradFill rotWithShape="1">
              <a:gsLst>
                <a:gs pos="0">
                  <a:srgbClr val="8080FF"/>
                </a:gs>
                <a:gs pos="50000">
                  <a:srgbClr val="FFFFFF"/>
                </a:gs>
                <a:gs pos="100000">
                  <a:srgbClr val="808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'gastos actual'!$B$36:$E$36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'gastos actual'!$B$37:$E$37</c:f>
              <c:numCache>
                <c:ptCount val="4"/>
                <c:pt idx="0">
                  <c:v>159198</c:v>
                </c:pt>
                <c:pt idx="1">
                  <c:v>202376</c:v>
                </c:pt>
                <c:pt idx="2">
                  <c:v>250967</c:v>
                </c:pt>
                <c:pt idx="3">
                  <c:v>192307</c:v>
                </c:pt>
              </c:numCache>
            </c:numRef>
          </c:val>
        </c:ser>
        <c:ser>
          <c:idx val="1"/>
          <c:order val="1"/>
          <c:tx>
            <c:strRef>
              <c:f>'gastos actual'!$A$38:$A$38</c:f>
              <c:strCache>
                <c:ptCount val="1"/>
                <c:pt idx="0">
                  <c:v>SERVICIO A LA DEUDA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'gastos actual'!$B$36:$E$36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'gastos actual'!$B$38:$E$38</c:f>
              <c:numCache>
                <c:ptCount val="4"/>
                <c:pt idx="0">
                  <c:v>12000</c:v>
                </c:pt>
                <c:pt idx="1">
                  <c:v>3051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'gastos actual'!$A$39:$A$39</c:f>
              <c:strCache>
                <c:ptCount val="1"/>
                <c:pt idx="0">
                  <c:v>INVERSION URBANA</c:v>
                </c:pt>
              </c:strCache>
            </c:strRef>
          </c:tx>
          <c:spPr>
            <a:gradFill rotWithShape="1">
              <a:gsLst>
                <a:gs pos="0">
                  <a:srgbClr val="FF9966"/>
                </a:gs>
                <a:gs pos="50000">
                  <a:srgbClr val="FFFFFF"/>
                </a:gs>
                <a:gs pos="100000">
                  <a:srgbClr val="FF996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'gastos actual'!$B$36:$E$36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'gastos actual'!$B$39:$E$39</c:f>
              <c:numCache>
                <c:ptCount val="4"/>
                <c:pt idx="0">
                  <c:v>280193</c:v>
                </c:pt>
                <c:pt idx="1">
                  <c:v>1176690</c:v>
                </c:pt>
                <c:pt idx="2">
                  <c:v>131664</c:v>
                </c:pt>
                <c:pt idx="3">
                  <c:v>305018</c:v>
                </c:pt>
              </c:numCache>
            </c:numRef>
          </c:val>
        </c:ser>
        <c:ser>
          <c:idx val="3"/>
          <c:order val="3"/>
          <c:tx>
            <c:strRef>
              <c:f>'gastos actual'!$A$40:$A$40</c:f>
              <c:strCache>
                <c:ptCount val="1"/>
                <c:pt idx="0">
                  <c:v>INVERSION RURAL</c:v>
                </c:pt>
              </c:strCache>
            </c:strRef>
          </c:tx>
          <c:spPr>
            <a:gradFill rotWithShape="1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'gastos actual'!$B$36:$E$36</c:f>
              <c:numCache>
                <c:ptCount val="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</c:numCache>
            </c:numRef>
          </c:cat>
          <c:val>
            <c:numRef>
              <c:f>'gastos actual'!$B$40:$E$40</c:f>
              <c:numCache>
                <c:ptCount val="4"/>
                <c:pt idx="0">
                  <c:v>277278</c:v>
                </c:pt>
                <c:pt idx="1">
                  <c:v>513312</c:v>
                </c:pt>
                <c:pt idx="2">
                  <c:v>269879</c:v>
                </c:pt>
                <c:pt idx="3">
                  <c:v>382510</c:v>
                </c:pt>
              </c:numCache>
            </c:numRef>
          </c:val>
        </c:ser>
        <c:axId val="63238384"/>
        <c:axId val="32274545"/>
      </c:bar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4545"/>
        <c:crossesAt val="0"/>
        <c:auto val="0"/>
        <c:lblOffset val="100"/>
        <c:noMultiLvlLbl val="0"/>
      </c:catAx>
      <c:valAx>
        <c:axId val="32274545"/>
        <c:scaling>
          <c:orientation val="minMax"/>
          <c:max val="1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MILES DE PESOS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238384"/>
        <c:crossesAt val="1"/>
        <c:crossBetween val="between"/>
        <c:dispUnits/>
        <c:majorUnit val="500000"/>
        <c:minorUnit val="1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39875"/>
          <c:w val="0.10025"/>
          <c:h val="0.246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INVERSIÓN POR SECTORES  1.996 - 1.998  
AREA URBANA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975"/>
          <c:w val="1"/>
          <c:h val="0.890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80FF"/>
                </a:gs>
                <a:gs pos="50000">
                  <a:srgbClr val="FFFFFF"/>
                </a:gs>
                <a:gs pos="100000">
                  <a:srgbClr val="808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invHoja4!$AG$5:$AG$21</c:f>
              <c:strCache/>
            </c:strRef>
          </c:cat>
          <c:val>
            <c:numRef>
              <c:f>invHoja4!$AH$5:$AH$21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hape val="box"/>
        <c:axId val="22035450"/>
        <c:axId val="64101323"/>
      </c:bar3D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4101323"/>
        <c:crosses val="autoZero"/>
        <c:auto val="0"/>
        <c:lblOffset val="100"/>
        <c:noMultiLvlLbl val="0"/>
      </c:catAx>
      <c:valAx>
        <c:axId val="64101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20354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INVERSIÓN POR SECTORES 1.996 - 1.998
OMITIENDO RECURSOS - CONSTRUCCIÓN HOSPITAL
AREA URBANA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"/>
          <c:y val="0.15425"/>
          <c:w val="1"/>
          <c:h val="0.846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80FF"/>
                </a:gs>
                <a:gs pos="50000">
                  <a:srgbClr val="FFFFFF"/>
                </a:gs>
                <a:gs pos="100000">
                  <a:srgbClr val="808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invHoja4!$AJ$5:$AJ$21</c:f>
              <c:strCache/>
            </c:strRef>
          </c:cat>
          <c:val>
            <c:numRef>
              <c:f>invHoja4!$AK$5:$AK$21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hape val="box"/>
        <c:axId val="40040996"/>
        <c:axId val="24824645"/>
      </c:bar3D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824645"/>
        <c:crosses val="autoZero"/>
        <c:auto val="0"/>
        <c:lblOffset val="100"/>
        <c:noMultiLvlLbl val="0"/>
      </c:catAx>
      <c:valAx>
        <c:axId val="24824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409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 GRAFICO 6.3 EVOLUCION DE LA INVERSION POR SECTORES EN EL MUNICIPIO DE CHIVOR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805"/>
          <c:w val="0.90925"/>
          <c:h val="0.66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'G.INV'!$A$6</c:f>
              <c:strCache>
                <c:ptCount val="1"/>
                <c:pt idx="0">
                  <c:v>EDUCACION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('G.INV'!$D$6,'G.INV'!$H$6,'G.INV'!$L$6)</c:f>
              <c:numCache>
                <c:ptCount val="3"/>
                <c:pt idx="0">
                  <c:v>95949</c:v>
                </c:pt>
                <c:pt idx="1">
                  <c:v>207744</c:v>
                </c:pt>
                <c:pt idx="2">
                  <c:v>151376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'G.INV'!$A$7</c:f>
              <c:strCache>
                <c:ptCount val="1"/>
                <c:pt idx="0">
                  <c:v>SALUD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('G.INV'!$D$7,'G.INV'!$H$7,'G.INV'!$L$7)</c:f>
              <c:numCache>
                <c:ptCount val="3"/>
                <c:pt idx="0">
                  <c:v>113699</c:v>
                </c:pt>
                <c:pt idx="1">
                  <c:v>752338</c:v>
                </c:pt>
                <c:pt idx="2">
                  <c:v>335264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'G.INV'!$A$8</c:f>
              <c:strCache>
                <c:ptCount val="1"/>
                <c:pt idx="0">
                  <c:v>AGUA POTABLE Y SANEAMIENTO BASICO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('G.INV'!$D$8,'G.INV'!$H$8,'G.INV'!$L$8)</c:f>
              <c:numCache>
                <c:ptCount val="3"/>
                <c:pt idx="0">
                  <c:v>92611</c:v>
                </c:pt>
                <c:pt idx="1">
                  <c:v>295802</c:v>
                </c:pt>
                <c:pt idx="2">
                  <c:v>77080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'G.INV'!$A$9</c:f>
              <c:strCache>
                <c:ptCount val="1"/>
                <c:pt idx="0">
                  <c:v>E. FISICA RECREACION DEPORTE Y CULTURA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('G.INV'!$D$9,'G.INV'!$H$9,'G.INV'!$L$9)</c:f>
              <c:numCache>
                <c:ptCount val="3"/>
                <c:pt idx="0">
                  <c:v>39097</c:v>
                </c:pt>
                <c:pt idx="1">
                  <c:v>76850</c:v>
                </c:pt>
                <c:pt idx="2">
                  <c:v>38331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'G.INV'!$A$10</c:f>
              <c:strCache>
                <c:ptCount val="1"/>
                <c:pt idx="0">
                  <c:v>VIVIENDA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('G.INV'!$D$10,'G.INV'!$H$10,'G.INV'!$L$10)</c:f>
              <c:numCache>
                <c:ptCount val="3"/>
                <c:pt idx="0">
                  <c:v>600</c:v>
                </c:pt>
                <c:pt idx="1">
                  <c:v>27210</c:v>
                </c:pt>
                <c:pt idx="2">
                  <c:v>16100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'G.INV'!$A$11</c:f>
              <c:strCache>
                <c:ptCount val="1"/>
                <c:pt idx="0">
                  <c:v>CONSTRUCCION Y MANTENIMIENTO DE VIAS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('G.INV'!$D$11,'G.INV'!$H$11,'G.INV'!$L$11)</c:f>
              <c:numCache>
                <c:ptCount val="3"/>
                <c:pt idx="0">
                  <c:v>98839</c:v>
                </c:pt>
                <c:pt idx="1">
                  <c:v>131509</c:v>
                </c:pt>
                <c:pt idx="2">
                  <c:v>60095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'G.INV'!$A$12</c:f>
              <c:strCache>
                <c:ptCount val="1"/>
                <c:pt idx="0">
                  <c:v>EQUIPAMIENTO MUNICIPAL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('G.INV'!$D$12,'G.INV'!$H$12,'G.INV'!$L$12)</c:f>
              <c:numCache>
                <c:ptCount val="3"/>
                <c:pt idx="0">
                  <c:v>34861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'G.INV'!$A$13</c:f>
              <c:strCache>
                <c:ptCount val="1"/>
                <c:pt idx="0">
                  <c:v>ELECTRIFICACION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('G.INV'!$D$13,'G.INV'!$H$13,'G.INV'!$L$13)</c:f>
              <c:numCache>
                <c:ptCount val="3"/>
                <c:pt idx="0">
                  <c:v>200</c:v>
                </c:pt>
                <c:pt idx="1">
                  <c:v>29844</c:v>
                </c:pt>
                <c:pt idx="2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'G.INV'!$A$14</c:f>
              <c:strCache>
                <c:ptCount val="1"/>
                <c:pt idx="0">
                  <c:v>SUBSIDIO ACCESO A SERVICIOS PUBLICOS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('G.INV'!$D$14,'G.INV'!$H$14,'G.INV'!$L$14)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'G.INV'!$A$15</c:f>
              <c:strCache>
                <c:ptCount val="1"/>
                <c:pt idx="0">
                  <c:v>SECTOR AGRARIO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('G.INV'!$D$15,'G.INV'!$H$15,'G.INV'!$L$15)</c:f>
              <c:numCache>
                <c:ptCount val="3"/>
                <c:pt idx="0">
                  <c:v>59114</c:v>
                </c:pt>
                <c:pt idx="1">
                  <c:v>44441</c:v>
                </c:pt>
                <c:pt idx="2">
                  <c:v>34490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'G.INV'!$A$16</c:f>
              <c:strCache>
                <c:ptCount val="1"/>
                <c:pt idx="0">
                  <c:v>BIENESTAR SOCIAL A GRUPOS VULNERABLES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('G.INV'!$D$16,'G.INV'!$H$16,'G.INV'!$L$16)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'G.INV'!$A$17</c:f>
              <c:strCache>
                <c:ptCount val="1"/>
                <c:pt idx="0">
                  <c:v>JUSTICIA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('G.INV'!$D$17,'G.INV'!$H$17,'G.INV'!$L$17)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'G.INV'!$A$18</c:f>
              <c:strCache>
                <c:ptCount val="1"/>
                <c:pt idx="0">
                  <c:v>PROTECCION AL CIUDADANO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('G.INV'!$D$18,'G.INV'!$H$18,'G.INV'!$L$18)</c:f>
              <c:numCache>
                <c:ptCount val="3"/>
                <c:pt idx="0">
                  <c:v>6599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'G.INV'!$A$19</c:f>
              <c:strCache>
                <c:ptCount val="1"/>
                <c:pt idx="0">
                  <c:v>PREVENCION Y ATENCION DE DESASTRES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('G.INV'!$D$19,'G.INV'!$H$19,'G.INV'!$L$19)</c:f>
              <c:numCache>
                <c:ptCount val="3"/>
                <c:pt idx="0">
                  <c:v>2028</c:v>
                </c:pt>
                <c:pt idx="1">
                  <c:v>6569</c:v>
                </c:pt>
                <c:pt idx="2">
                  <c:v>1164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'G.INV'!$A$20</c:f>
              <c:strCache>
                <c:ptCount val="1"/>
                <c:pt idx="0">
                  <c:v>DESARROLLO INSTITUCIONAL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('G.INV'!$D$20,'G.INV'!$H$20,'G.INV'!$L$20)</c:f>
              <c:numCache>
                <c:ptCount val="3"/>
                <c:pt idx="0">
                  <c:v>13814</c:v>
                </c:pt>
                <c:pt idx="1">
                  <c:v>18406</c:v>
                </c:pt>
                <c:pt idx="2">
                  <c:v>8771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'G.INV'!$A$21</c:f>
              <c:strCache>
                <c:ptCount val="1"/>
                <c:pt idx="0">
                  <c:v>DESARROLLO COMUNITARIO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('G.INV'!$D$21,'G.INV'!$H$21,'G.INV'!$L$21)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'G.INV'!$A$22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('G.INV'!$D$5,'G.INV'!$H$5,'G.INV'!$L$5)</c:f>
              <c:numCache>
                <c:ptCount val="3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</c:numCache>
            </c:numRef>
          </c:cat>
          <c:val>
            <c:numRef>
              <c:f>('G.INV'!$D$22,'G.INV'!$H$22,'G.INV'!$L$22)</c:f>
              <c:numCache>
                <c:ptCount val="3"/>
                <c:pt idx="0">
                  <c:v>0</c:v>
                </c:pt>
                <c:pt idx="1">
                  <c:v>100591</c:v>
                </c:pt>
                <c:pt idx="2">
                  <c:v>37545</c:v>
                </c:pt>
              </c:numCache>
            </c:numRef>
          </c:val>
          <c:shape val="box"/>
        </c:ser>
        <c:shape val="box"/>
        <c:axId val="22095214"/>
        <c:axId val="64639199"/>
      </c:bar3DChart>
      <c:catAx>
        <c:axId val="2209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39199"/>
        <c:crosses val="autoZero"/>
        <c:auto val="1"/>
        <c:lblOffset val="100"/>
        <c:noMultiLvlLbl val="0"/>
      </c:catAx>
      <c:valAx>
        <c:axId val="6463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MILLONES DE PESOS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475"/>
          <c:y val="0.745"/>
          <c:w val="0.96825"/>
          <c:h val="0.2115"/>
        </c:manualLayout>
      </c:layout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1.1811023622047245" right="1.1811023622047245" top="1.1811023622047245" bottom="0.984251968503937" header="0.5118110236220472" footer="0.5118110236220472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26</xdr:row>
      <xdr:rowOff>0</xdr:rowOff>
    </xdr:from>
    <xdr:to>
      <xdr:col>20</xdr:col>
      <xdr:colOff>38100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18535650" y="4438650"/>
        <a:ext cx="52101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8</xdr:row>
      <xdr:rowOff>0</xdr:rowOff>
    </xdr:from>
    <xdr:to>
      <xdr:col>21</xdr:col>
      <xdr:colOff>0</xdr:colOff>
      <xdr:row>16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8535650" y="1400175"/>
          <a:ext cx="5934075" cy="1419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12</xdr:col>
      <xdr:colOff>0</xdr:colOff>
      <xdr:row>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3886200" y="904875"/>
          <a:ext cx="9782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9</xdr:col>
      <xdr:colOff>0</xdr:colOff>
      <xdr:row>5</xdr:row>
      <xdr:rowOff>171450</xdr:rowOff>
    </xdr:to>
    <xdr:sp>
      <xdr:nvSpPr>
        <xdr:cNvPr id="4" name="Line 6"/>
        <xdr:cNvSpPr>
          <a:spLocks/>
        </xdr:cNvSpPr>
      </xdr:nvSpPr>
      <xdr:spPr>
        <a:xfrm>
          <a:off x="10877550" y="9048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12</xdr:col>
      <xdr:colOff>0</xdr:colOff>
      <xdr:row>66</xdr:row>
      <xdr:rowOff>0</xdr:rowOff>
    </xdr:to>
    <xdr:sp>
      <xdr:nvSpPr>
        <xdr:cNvPr id="5" name="Rectangle 7"/>
        <xdr:cNvSpPr>
          <a:spLocks/>
        </xdr:cNvSpPr>
      </xdr:nvSpPr>
      <xdr:spPr>
        <a:xfrm>
          <a:off x="3886200" y="10772775"/>
          <a:ext cx="97821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65</xdr:row>
      <xdr:rowOff>9525</xdr:rowOff>
    </xdr:from>
    <xdr:to>
      <xdr:col>9</xdr:col>
      <xdr:colOff>0</xdr:colOff>
      <xdr:row>65</xdr:row>
      <xdr:rowOff>171450</xdr:rowOff>
    </xdr:to>
    <xdr:sp>
      <xdr:nvSpPr>
        <xdr:cNvPr id="6" name="Line 8"/>
        <xdr:cNvSpPr>
          <a:spLocks/>
        </xdr:cNvSpPr>
      </xdr:nvSpPr>
      <xdr:spPr>
        <a:xfrm>
          <a:off x="10877550" y="107727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23</xdr:row>
      <xdr:rowOff>0</xdr:rowOff>
    </xdr:from>
    <xdr:to>
      <xdr:col>11</xdr:col>
      <xdr:colOff>1028700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5314950" y="4524375"/>
        <a:ext cx="55626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76200</xdr:rowOff>
    </xdr:from>
    <xdr:to>
      <xdr:col>6</xdr:col>
      <xdr:colOff>114300</xdr:colOff>
      <xdr:row>64</xdr:row>
      <xdr:rowOff>19050</xdr:rowOff>
    </xdr:to>
    <xdr:graphicFrame>
      <xdr:nvGraphicFramePr>
        <xdr:cNvPr id="1" name="Chart 3"/>
        <xdr:cNvGraphicFramePr/>
      </xdr:nvGraphicFramePr>
      <xdr:xfrm>
        <a:off x="19050" y="6667500"/>
        <a:ext cx="557212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35</xdr:row>
      <xdr:rowOff>76200</xdr:rowOff>
    </xdr:from>
    <xdr:to>
      <xdr:col>14</xdr:col>
      <xdr:colOff>742950</xdr:colOff>
      <xdr:row>57</xdr:row>
      <xdr:rowOff>19050</xdr:rowOff>
    </xdr:to>
    <xdr:graphicFrame>
      <xdr:nvGraphicFramePr>
        <xdr:cNvPr id="2" name="Chart 4"/>
        <xdr:cNvGraphicFramePr/>
      </xdr:nvGraphicFramePr>
      <xdr:xfrm>
        <a:off x="5724525" y="6667500"/>
        <a:ext cx="6505575" cy="497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142875</xdr:rowOff>
    </xdr:from>
    <xdr:to>
      <xdr:col>3</xdr:col>
      <xdr:colOff>457200</xdr:colOff>
      <xdr:row>23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3038475" y="51911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180975</xdr:rowOff>
    </xdr:from>
    <xdr:to>
      <xdr:col>3</xdr:col>
      <xdr:colOff>447675</xdr:colOff>
      <xdr:row>24</xdr:row>
      <xdr:rowOff>180975</xdr:rowOff>
    </xdr:to>
    <xdr:sp>
      <xdr:nvSpPr>
        <xdr:cNvPr id="2" name="Line 3"/>
        <xdr:cNvSpPr>
          <a:spLocks/>
        </xdr:cNvSpPr>
      </xdr:nvSpPr>
      <xdr:spPr>
        <a:xfrm>
          <a:off x="3038475" y="551497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22</xdr:row>
      <xdr:rowOff>238125</xdr:rowOff>
    </xdr:from>
    <xdr:to>
      <xdr:col>3</xdr:col>
      <xdr:colOff>447675</xdr:colOff>
      <xdr:row>24</xdr:row>
      <xdr:rowOff>180975</xdr:rowOff>
    </xdr:to>
    <xdr:sp>
      <xdr:nvSpPr>
        <xdr:cNvPr id="3" name="Line 6"/>
        <xdr:cNvSpPr>
          <a:spLocks/>
        </xdr:cNvSpPr>
      </xdr:nvSpPr>
      <xdr:spPr>
        <a:xfrm flipH="1">
          <a:off x="3486150" y="4857750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23</xdr:row>
      <xdr:rowOff>142875</xdr:rowOff>
    </xdr:from>
    <xdr:to>
      <xdr:col>4</xdr:col>
      <xdr:colOff>9525</xdr:colOff>
      <xdr:row>23</xdr:row>
      <xdr:rowOff>142875</xdr:rowOff>
    </xdr:to>
    <xdr:sp>
      <xdr:nvSpPr>
        <xdr:cNvPr id="4" name="Line 7"/>
        <xdr:cNvSpPr>
          <a:spLocks/>
        </xdr:cNvSpPr>
      </xdr:nvSpPr>
      <xdr:spPr>
        <a:xfrm>
          <a:off x="3505200" y="51911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14</xdr:row>
      <xdr:rowOff>161925</xdr:rowOff>
    </xdr:from>
    <xdr:to>
      <xdr:col>5</xdr:col>
      <xdr:colOff>66675</xdr:colOff>
      <xdr:row>22</xdr:row>
      <xdr:rowOff>0</xdr:rowOff>
    </xdr:to>
    <xdr:sp>
      <xdr:nvSpPr>
        <xdr:cNvPr id="5" name="Rectangle 10"/>
        <xdr:cNvSpPr>
          <a:spLocks/>
        </xdr:cNvSpPr>
      </xdr:nvSpPr>
      <xdr:spPr>
        <a:xfrm>
          <a:off x="4486275" y="3400425"/>
          <a:ext cx="142875" cy="1219200"/>
        </a:xfrm>
        <a:prstGeom prst="rect">
          <a:avLst/>
        </a:prstGeom>
        <a:solidFill>
          <a:srgbClr val="E3E3E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238125</xdr:rowOff>
    </xdr:from>
    <xdr:to>
      <xdr:col>3</xdr:col>
      <xdr:colOff>447675</xdr:colOff>
      <xdr:row>22</xdr:row>
      <xdr:rowOff>238125</xdr:rowOff>
    </xdr:to>
    <xdr:sp>
      <xdr:nvSpPr>
        <xdr:cNvPr id="6" name="Line 11"/>
        <xdr:cNvSpPr>
          <a:spLocks/>
        </xdr:cNvSpPr>
      </xdr:nvSpPr>
      <xdr:spPr>
        <a:xfrm>
          <a:off x="3038475" y="485775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867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</xdr:row>
      <xdr:rowOff>0</xdr:rowOff>
    </xdr:from>
    <xdr:to>
      <xdr:col>24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33675" y="952500"/>
          <a:ext cx="10791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733675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3" name="Line 4"/>
        <xdr:cNvSpPr>
          <a:spLocks/>
        </xdr:cNvSpPr>
      </xdr:nvSpPr>
      <xdr:spPr>
        <a:xfrm>
          <a:off x="2733675" y="1227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zoomScale="50" zoomScaleNormal="50" workbookViewId="0" topLeftCell="A60">
      <selection activeCell="L2" sqref="L2"/>
    </sheetView>
  </sheetViews>
  <sheetFormatPr defaultColWidth="11.421875" defaultRowHeight="12.75"/>
  <cols>
    <col min="1" max="1" width="58.28125" style="9" customWidth="1"/>
    <col min="2" max="2" width="11.57421875" style="9" customWidth="1"/>
    <col min="3" max="3" width="10.7109375" style="9" customWidth="1"/>
    <col min="4" max="4" width="14.140625" style="9" customWidth="1"/>
    <col min="5" max="5" width="8.7109375" style="9" customWidth="1"/>
    <col min="6" max="6" width="18.421875" style="9" customWidth="1"/>
    <col min="7" max="7" width="14.140625" style="9" customWidth="1"/>
    <col min="8" max="8" width="8.7109375" style="9" customWidth="1"/>
    <col min="9" max="9" width="18.421875" style="9" customWidth="1"/>
    <col min="10" max="10" width="11.8515625" style="9" customWidth="1"/>
    <col min="11" max="11" width="11.57421875" style="9" customWidth="1"/>
    <col min="12" max="12" width="18.421875" style="9" customWidth="1"/>
    <col min="15" max="15" width="25.8515625" style="0" customWidth="1"/>
    <col min="16" max="16" width="24.28125" style="0" customWidth="1"/>
    <col min="17" max="17" width="43.28125" style="0" customWidth="1"/>
  </cols>
  <sheetData>
    <row r="1" spans="1:12" ht="12.75">
      <c r="A1" s="185" t="s">
        <v>182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26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O2" s="65" t="s">
        <v>0</v>
      </c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5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1" ht="12.75">
      <c r="A4" s="185" t="s">
        <v>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Q4" s="66" t="s">
        <v>3</v>
      </c>
      <c r="R4" s="66"/>
      <c r="S4" s="66"/>
      <c r="T4" s="66"/>
      <c r="U4" s="66"/>
    </row>
    <row r="5" ht="13.5" thickBot="1"/>
    <row r="6" spans="1:12" ht="13.5" thickBot="1">
      <c r="A6" s="90"/>
      <c r="B6" s="116" t="s">
        <v>4</v>
      </c>
      <c r="C6" s="117"/>
      <c r="D6" s="117"/>
      <c r="E6" s="117"/>
      <c r="F6" s="117"/>
      <c r="G6" s="117"/>
      <c r="H6" s="117"/>
      <c r="I6" s="118"/>
      <c r="J6" s="116" t="s">
        <v>5</v>
      </c>
      <c r="K6" s="117"/>
      <c r="L6" s="118"/>
    </row>
    <row r="7" spans="1:12" ht="12.75">
      <c r="A7" s="119" t="s">
        <v>6</v>
      </c>
      <c r="B7" s="127">
        <v>1996</v>
      </c>
      <c r="C7" s="93" t="s">
        <v>7</v>
      </c>
      <c r="D7" s="93">
        <v>1997</v>
      </c>
      <c r="E7" s="93" t="s">
        <v>7</v>
      </c>
      <c r="F7" s="93" t="s">
        <v>8</v>
      </c>
      <c r="G7" s="94">
        <v>1998</v>
      </c>
      <c r="H7" s="94" t="s">
        <v>7</v>
      </c>
      <c r="I7" s="96" t="s">
        <v>8</v>
      </c>
      <c r="J7" s="92">
        <v>1999</v>
      </c>
      <c r="K7" s="95" t="s">
        <v>7</v>
      </c>
      <c r="L7" s="96" t="s">
        <v>8</v>
      </c>
    </row>
    <row r="8" spans="1:12" ht="13.5" thickBot="1">
      <c r="A8" s="120"/>
      <c r="B8" s="128"/>
      <c r="C8" s="98"/>
      <c r="D8" s="98"/>
      <c r="E8" s="98"/>
      <c r="F8" s="98"/>
      <c r="G8" s="46"/>
      <c r="H8" s="46"/>
      <c r="I8" s="99"/>
      <c r="J8" s="97"/>
      <c r="K8" s="13"/>
      <c r="L8" s="99"/>
    </row>
    <row r="9" spans="1:21" ht="12.75">
      <c r="A9" s="121" t="s">
        <v>9</v>
      </c>
      <c r="B9" s="101"/>
      <c r="C9" s="13"/>
      <c r="D9" s="13"/>
      <c r="E9" s="13"/>
      <c r="F9" s="13"/>
      <c r="G9" s="13"/>
      <c r="H9" s="13"/>
      <c r="I9" s="100"/>
      <c r="J9" s="101"/>
      <c r="K9" s="13"/>
      <c r="L9" s="100"/>
      <c r="Q9" s="18"/>
      <c r="R9" s="19">
        <v>1996</v>
      </c>
      <c r="S9" s="19">
        <v>1997</v>
      </c>
      <c r="T9" s="19">
        <v>1998</v>
      </c>
      <c r="U9" s="20">
        <v>1999</v>
      </c>
    </row>
    <row r="10" spans="1:21" ht="15">
      <c r="A10" s="121" t="s">
        <v>10</v>
      </c>
      <c r="B10" s="101"/>
      <c r="C10" s="13"/>
      <c r="D10" s="13"/>
      <c r="E10" s="13"/>
      <c r="F10" s="13"/>
      <c r="G10" s="13"/>
      <c r="H10" s="13"/>
      <c r="I10" s="100"/>
      <c r="J10" s="101"/>
      <c r="K10" s="13"/>
      <c r="L10" s="100"/>
      <c r="Q10" s="21" t="s">
        <v>11</v>
      </c>
      <c r="R10" s="15">
        <v>119286</v>
      </c>
      <c r="S10" s="15">
        <v>392546</v>
      </c>
      <c r="T10" s="15">
        <v>159225</v>
      </c>
      <c r="U10" s="22">
        <v>35856</v>
      </c>
    </row>
    <row r="11" spans="1:21" ht="15">
      <c r="A11" s="122" t="s">
        <v>12</v>
      </c>
      <c r="B11" s="101">
        <v>7345</v>
      </c>
      <c r="C11" s="88">
        <f>+B11*100/119286</f>
        <v>6.157470281508307</v>
      </c>
      <c r="D11" s="13">
        <v>9571</v>
      </c>
      <c r="E11" s="88">
        <f>+D11*100/392546</f>
        <v>2.4381855884405903</v>
      </c>
      <c r="F11" s="88">
        <f>+((D11-B11)*100)/B11</f>
        <v>30.306330837304287</v>
      </c>
      <c r="G11" s="13">
        <v>8060</v>
      </c>
      <c r="H11" s="88">
        <f>+G11*100/159225</f>
        <v>5.062019155283404</v>
      </c>
      <c r="I11" s="89">
        <f>+((G11-D11)*100)/G11</f>
        <v>-18.746898263027294</v>
      </c>
      <c r="J11" s="101">
        <v>12000</v>
      </c>
      <c r="K11" s="88">
        <f>+J11*100/35856</f>
        <v>33.467202141900934</v>
      </c>
      <c r="L11" s="89">
        <f>+((J11-G11)*100)/J11</f>
        <v>32.833333333333336</v>
      </c>
      <c r="Q11" s="21" t="s">
        <v>13</v>
      </c>
      <c r="R11" s="15">
        <v>911221</v>
      </c>
      <c r="S11" s="15">
        <v>1881340</v>
      </c>
      <c r="T11" s="15">
        <v>1422948</v>
      </c>
      <c r="U11" s="22">
        <v>814058</v>
      </c>
    </row>
    <row r="12" spans="1:21" ht="15">
      <c r="A12" s="122" t="s">
        <v>14</v>
      </c>
      <c r="B12" s="101">
        <v>518</v>
      </c>
      <c r="C12" s="88">
        <f aca="true" t="shared" si="0" ref="C12:C28">+B12*100/119286</f>
        <v>0.4342504568851332</v>
      </c>
      <c r="D12" s="13">
        <v>1162</v>
      </c>
      <c r="E12" s="88">
        <f aca="true" t="shared" si="1" ref="E12:E28">+D12*100/392546</f>
        <v>0.29601626306216344</v>
      </c>
      <c r="F12" s="88">
        <f aca="true" t="shared" si="2" ref="F12:F28">+((D12-B12)*100)/B12</f>
        <v>124.32432432432432</v>
      </c>
      <c r="G12" s="13">
        <v>1164</v>
      </c>
      <c r="H12" s="88">
        <f aca="true" t="shared" si="3" ref="H12:H28">+G12*100/159225</f>
        <v>0.731040979745643</v>
      </c>
      <c r="I12" s="89">
        <f aca="true" t="shared" si="4" ref="I12:I28">+((G12-D12)*100)/G12</f>
        <v>0.1718213058419244</v>
      </c>
      <c r="J12" s="101"/>
      <c r="K12" s="88">
        <f aca="true" t="shared" si="5" ref="K12:K28">+J12*100/35856</f>
        <v>0</v>
      </c>
      <c r="L12" s="89">
        <v>0</v>
      </c>
      <c r="Q12" s="23" t="s">
        <v>15</v>
      </c>
      <c r="R12" s="15">
        <v>206325</v>
      </c>
      <c r="S12" s="15">
        <v>308547</v>
      </c>
      <c r="T12" s="15">
        <v>263685</v>
      </c>
      <c r="U12" s="22">
        <v>10000</v>
      </c>
    </row>
    <row r="13" spans="1:21" ht="15">
      <c r="A13" s="122" t="s">
        <v>16</v>
      </c>
      <c r="B13" s="101">
        <v>7800</v>
      </c>
      <c r="C13" s="88">
        <f t="shared" si="0"/>
        <v>6.538906493637141</v>
      </c>
      <c r="D13" s="13">
        <v>8550</v>
      </c>
      <c r="E13" s="88">
        <f t="shared" si="1"/>
        <v>2.1780886826002557</v>
      </c>
      <c r="F13" s="88">
        <f t="shared" si="2"/>
        <v>9.615384615384615</v>
      </c>
      <c r="G13" s="13">
        <v>8104</v>
      </c>
      <c r="H13" s="88">
        <f t="shared" si="3"/>
        <v>5.089653006751452</v>
      </c>
      <c r="I13" s="89">
        <f t="shared" si="4"/>
        <v>-5.503455083909181</v>
      </c>
      <c r="J13" s="101">
        <v>12000</v>
      </c>
      <c r="K13" s="88">
        <f t="shared" si="5"/>
        <v>33.467202141900934</v>
      </c>
      <c r="L13" s="89">
        <f aca="true" t="shared" si="6" ref="L13:L28">+((J13-G13)*100)/J13</f>
        <v>32.46666666666667</v>
      </c>
      <c r="Q13" s="21" t="s">
        <v>17</v>
      </c>
      <c r="R13" s="15">
        <v>21233</v>
      </c>
      <c r="S13" s="16">
        <v>0</v>
      </c>
      <c r="T13" s="16">
        <v>0</v>
      </c>
      <c r="U13" s="24">
        <v>0</v>
      </c>
    </row>
    <row r="14" spans="1:21" ht="12.75">
      <c r="A14" s="122" t="s">
        <v>18</v>
      </c>
      <c r="B14" s="101"/>
      <c r="C14" s="88">
        <f t="shared" si="0"/>
        <v>0</v>
      </c>
      <c r="D14" s="13"/>
      <c r="E14" s="88">
        <f t="shared" si="1"/>
        <v>0</v>
      </c>
      <c r="F14" s="88">
        <v>0</v>
      </c>
      <c r="G14" s="13">
        <v>1430</v>
      </c>
      <c r="H14" s="88">
        <f t="shared" si="3"/>
        <v>0.8981001727115717</v>
      </c>
      <c r="I14" s="89">
        <f t="shared" si="4"/>
        <v>100</v>
      </c>
      <c r="J14" s="101"/>
      <c r="K14" s="88">
        <f t="shared" si="5"/>
        <v>0</v>
      </c>
      <c r="L14" s="89">
        <v>0</v>
      </c>
      <c r="Q14" s="25" t="s">
        <v>11</v>
      </c>
      <c r="R14" s="17">
        <f>SUM(R10:R13)</f>
        <v>1258065</v>
      </c>
      <c r="S14" s="17">
        <f>SUM(S10:S13)</f>
        <v>2582433</v>
      </c>
      <c r="T14" s="17">
        <f>SUM(T10:T13)</f>
        <v>1845858</v>
      </c>
      <c r="U14" s="26">
        <f>SUM(U10:U13)</f>
        <v>859914</v>
      </c>
    </row>
    <row r="15" spans="1:21" ht="12.75">
      <c r="A15" s="122" t="s">
        <v>19</v>
      </c>
      <c r="B15" s="101"/>
      <c r="C15" s="88">
        <f t="shared" si="0"/>
        <v>0</v>
      </c>
      <c r="D15" s="13"/>
      <c r="E15" s="88">
        <f t="shared" si="1"/>
        <v>0</v>
      </c>
      <c r="F15" s="88">
        <v>0</v>
      </c>
      <c r="G15" s="13"/>
      <c r="H15" s="88">
        <f t="shared" si="3"/>
        <v>0</v>
      </c>
      <c r="I15" s="89">
        <v>0</v>
      </c>
      <c r="J15" s="101">
        <v>100</v>
      </c>
      <c r="K15" s="88">
        <f t="shared" si="5"/>
        <v>0.2788933511825078</v>
      </c>
      <c r="L15" s="89">
        <f t="shared" si="6"/>
        <v>100</v>
      </c>
      <c r="Q15" s="25" t="s">
        <v>20</v>
      </c>
      <c r="R15" s="17">
        <v>728669</v>
      </c>
      <c r="S15" s="17">
        <v>1895429</v>
      </c>
      <c r="T15" s="17">
        <v>652510</v>
      </c>
      <c r="U15" s="26">
        <v>879835</v>
      </c>
    </row>
    <row r="16" spans="1:21" ht="13.5" thickBot="1">
      <c r="A16" s="122" t="s">
        <v>21</v>
      </c>
      <c r="B16" s="101">
        <v>2.1</v>
      </c>
      <c r="C16" s="88">
        <f t="shared" si="0"/>
        <v>0.0017604748252099994</v>
      </c>
      <c r="D16" s="13">
        <v>2</v>
      </c>
      <c r="E16" s="88">
        <f t="shared" si="1"/>
        <v>0.0005094944286784224</v>
      </c>
      <c r="F16" s="88">
        <f t="shared" si="2"/>
        <v>-4.761904761904766</v>
      </c>
      <c r="G16" s="13"/>
      <c r="H16" s="88">
        <f t="shared" si="3"/>
        <v>0</v>
      </c>
      <c r="I16" s="89">
        <v>0</v>
      </c>
      <c r="J16" s="101">
        <v>10</v>
      </c>
      <c r="K16" s="88">
        <f t="shared" si="5"/>
        <v>0.027889335118250782</v>
      </c>
      <c r="L16" s="89">
        <f t="shared" si="6"/>
        <v>100</v>
      </c>
      <c r="Q16" s="27" t="s">
        <v>22</v>
      </c>
      <c r="R16" s="28">
        <f>+R14-R15</f>
        <v>529396</v>
      </c>
      <c r="S16" s="28">
        <f>+S14-S15</f>
        <v>687004</v>
      </c>
      <c r="T16" s="28">
        <f>+T14-T15</f>
        <v>1193348</v>
      </c>
      <c r="U16" s="29">
        <f>+U14-U15</f>
        <v>-19921</v>
      </c>
    </row>
    <row r="17" spans="1:12" ht="12.75">
      <c r="A17" s="123" t="s">
        <v>23</v>
      </c>
      <c r="B17" s="101">
        <v>0</v>
      </c>
      <c r="C17" s="88">
        <f t="shared" si="0"/>
        <v>0</v>
      </c>
      <c r="D17" s="13">
        <v>2055</v>
      </c>
      <c r="E17" s="88">
        <f t="shared" si="1"/>
        <v>0.5235055254670791</v>
      </c>
      <c r="F17" s="88">
        <v>0</v>
      </c>
      <c r="G17" s="13">
        <v>2</v>
      </c>
      <c r="H17" s="88">
        <f t="shared" si="3"/>
        <v>0.0012560841576385617</v>
      </c>
      <c r="I17" s="89">
        <f t="shared" si="4"/>
        <v>-102650</v>
      </c>
      <c r="J17" s="101">
        <v>100</v>
      </c>
      <c r="K17" s="88">
        <f t="shared" si="5"/>
        <v>0.2788933511825078</v>
      </c>
      <c r="L17" s="89">
        <f t="shared" si="6"/>
        <v>98</v>
      </c>
    </row>
    <row r="18" spans="1:12" ht="12.75">
      <c r="A18" s="122" t="s">
        <v>24</v>
      </c>
      <c r="B18" s="101">
        <v>341</v>
      </c>
      <c r="C18" s="88">
        <f t="shared" si="0"/>
        <v>0.2858675787602904</v>
      </c>
      <c r="D18" s="13"/>
      <c r="E18" s="88">
        <f t="shared" si="1"/>
        <v>0</v>
      </c>
      <c r="F18" s="88">
        <f t="shared" si="2"/>
        <v>-100</v>
      </c>
      <c r="G18" s="13"/>
      <c r="H18" s="88">
        <f t="shared" si="3"/>
        <v>0</v>
      </c>
      <c r="I18" s="89">
        <v>0</v>
      </c>
      <c r="J18" s="101">
        <v>80</v>
      </c>
      <c r="K18" s="88">
        <f t="shared" si="5"/>
        <v>0.22311468094600626</v>
      </c>
      <c r="L18" s="89">
        <f t="shared" si="6"/>
        <v>100</v>
      </c>
    </row>
    <row r="19" spans="1:12" ht="12.75">
      <c r="A19" s="123" t="s">
        <v>25</v>
      </c>
      <c r="B19" s="101">
        <v>269</v>
      </c>
      <c r="C19" s="88">
        <f t="shared" si="0"/>
        <v>0.22550844189594754</v>
      </c>
      <c r="D19" s="13"/>
      <c r="E19" s="88">
        <f t="shared" si="1"/>
        <v>0</v>
      </c>
      <c r="F19" s="88">
        <f t="shared" si="2"/>
        <v>-100</v>
      </c>
      <c r="G19" s="13">
        <v>5</v>
      </c>
      <c r="H19" s="88">
        <f t="shared" si="3"/>
        <v>0.0031402103940964044</v>
      </c>
      <c r="I19" s="89">
        <f t="shared" si="4"/>
        <v>100</v>
      </c>
      <c r="J19" s="101">
        <v>15</v>
      </c>
      <c r="K19" s="88">
        <f t="shared" si="5"/>
        <v>0.04183400267737617</v>
      </c>
      <c r="L19" s="89">
        <f t="shared" si="6"/>
        <v>66.66666666666667</v>
      </c>
    </row>
    <row r="20" spans="1:12" ht="12.75">
      <c r="A20" s="122" t="s">
        <v>26</v>
      </c>
      <c r="B20" s="101">
        <v>95</v>
      </c>
      <c r="C20" s="88">
        <f t="shared" si="0"/>
        <v>0.07964052780711903</v>
      </c>
      <c r="D20" s="13"/>
      <c r="E20" s="88">
        <f t="shared" si="1"/>
        <v>0</v>
      </c>
      <c r="F20" s="88">
        <f t="shared" si="2"/>
        <v>-100</v>
      </c>
      <c r="G20" s="13"/>
      <c r="H20" s="88">
        <f t="shared" si="3"/>
        <v>0</v>
      </c>
      <c r="I20" s="89">
        <v>0</v>
      </c>
      <c r="J20" s="101">
        <v>300</v>
      </c>
      <c r="K20" s="88">
        <f t="shared" si="5"/>
        <v>0.8366800535475234</v>
      </c>
      <c r="L20" s="89">
        <f t="shared" si="6"/>
        <v>100</v>
      </c>
    </row>
    <row r="21" spans="1:12" ht="12.75">
      <c r="A21" s="122" t="s">
        <v>27</v>
      </c>
      <c r="B21" s="101">
        <v>74</v>
      </c>
      <c r="C21" s="88">
        <f t="shared" si="0"/>
        <v>0.06203577955501903</v>
      </c>
      <c r="D21" s="13">
        <v>55</v>
      </c>
      <c r="E21" s="88">
        <f t="shared" si="1"/>
        <v>0.014011096788656616</v>
      </c>
      <c r="F21" s="88">
        <f t="shared" si="2"/>
        <v>-25.675675675675677</v>
      </c>
      <c r="G21" s="13"/>
      <c r="H21" s="88">
        <f t="shared" si="3"/>
        <v>0</v>
      </c>
      <c r="I21" s="89">
        <v>0</v>
      </c>
      <c r="J21" s="101"/>
      <c r="K21" s="88">
        <f t="shared" si="5"/>
        <v>0</v>
      </c>
      <c r="L21" s="89">
        <v>0</v>
      </c>
    </row>
    <row r="22" spans="1:12" ht="12.75">
      <c r="A22" s="121" t="s">
        <v>28</v>
      </c>
      <c r="B22" s="101"/>
      <c r="C22" s="88">
        <f t="shared" si="0"/>
        <v>0</v>
      </c>
      <c r="D22" s="13"/>
      <c r="E22" s="88">
        <f t="shared" si="1"/>
        <v>0</v>
      </c>
      <c r="F22" s="88">
        <v>0</v>
      </c>
      <c r="G22" s="13"/>
      <c r="H22" s="88">
        <f t="shared" si="3"/>
        <v>0</v>
      </c>
      <c r="I22" s="89">
        <v>0</v>
      </c>
      <c r="J22" s="101"/>
      <c r="K22" s="88">
        <f t="shared" si="5"/>
        <v>0</v>
      </c>
      <c r="L22" s="89">
        <v>0</v>
      </c>
    </row>
    <row r="23" spans="1:12" ht="12.75">
      <c r="A23" s="122" t="s">
        <v>29</v>
      </c>
      <c r="B23" s="101">
        <v>3246</v>
      </c>
      <c r="C23" s="88">
        <f t="shared" si="0"/>
        <v>2.7211910869674565</v>
      </c>
      <c r="D23" s="13">
        <v>5048</v>
      </c>
      <c r="E23" s="88">
        <f t="shared" si="1"/>
        <v>1.2859639379843382</v>
      </c>
      <c r="F23" s="88">
        <f t="shared" si="2"/>
        <v>55.514479359211336</v>
      </c>
      <c r="G23" s="13"/>
      <c r="H23" s="88">
        <f t="shared" si="3"/>
        <v>0</v>
      </c>
      <c r="I23" s="89">
        <v>0</v>
      </c>
      <c r="J23" s="101">
        <v>7000</v>
      </c>
      <c r="K23" s="88">
        <f t="shared" si="5"/>
        <v>19.522534582775545</v>
      </c>
      <c r="L23" s="89">
        <f t="shared" si="6"/>
        <v>100</v>
      </c>
    </row>
    <row r="24" spans="1:12" ht="12.75">
      <c r="A24" s="122" t="s">
        <v>30</v>
      </c>
      <c r="B24" s="101"/>
      <c r="C24" s="88">
        <f t="shared" si="0"/>
        <v>0</v>
      </c>
      <c r="D24" s="13"/>
      <c r="E24" s="88">
        <f t="shared" si="1"/>
        <v>0</v>
      </c>
      <c r="F24" s="88">
        <v>0</v>
      </c>
      <c r="G24" s="13">
        <v>439</v>
      </c>
      <c r="H24" s="88">
        <f t="shared" si="3"/>
        <v>0.2757104726016643</v>
      </c>
      <c r="I24" s="89">
        <f t="shared" si="4"/>
        <v>100</v>
      </c>
      <c r="J24" s="101">
        <v>1200</v>
      </c>
      <c r="K24" s="88">
        <f t="shared" si="5"/>
        <v>3.3467202141900936</v>
      </c>
      <c r="L24" s="89">
        <f t="shared" si="6"/>
        <v>63.416666666666664</v>
      </c>
    </row>
    <row r="25" spans="1:12" ht="12.75">
      <c r="A25" s="122" t="s">
        <v>31</v>
      </c>
      <c r="B25" s="101">
        <v>360</v>
      </c>
      <c r="C25" s="88">
        <f t="shared" si="0"/>
        <v>0.3017956843217142</v>
      </c>
      <c r="D25" s="13">
        <v>40</v>
      </c>
      <c r="E25" s="88">
        <f t="shared" si="1"/>
        <v>0.010189888573568447</v>
      </c>
      <c r="F25" s="88">
        <f t="shared" si="2"/>
        <v>-88.88888888888889</v>
      </c>
      <c r="G25" s="13"/>
      <c r="H25" s="88">
        <f t="shared" si="3"/>
        <v>0</v>
      </c>
      <c r="I25" s="89">
        <v>0</v>
      </c>
      <c r="J25" s="101">
        <v>1000</v>
      </c>
      <c r="K25" s="88">
        <f t="shared" si="5"/>
        <v>2.788933511825078</v>
      </c>
      <c r="L25" s="89">
        <f t="shared" si="6"/>
        <v>100</v>
      </c>
    </row>
    <row r="26" spans="1:12" ht="12.75">
      <c r="A26" s="122" t="s">
        <v>32</v>
      </c>
      <c r="B26" s="101">
        <v>16000</v>
      </c>
      <c r="C26" s="88">
        <f t="shared" si="0"/>
        <v>13.41314152540952</v>
      </c>
      <c r="D26" s="13">
        <v>200000</v>
      </c>
      <c r="E26" s="88">
        <f t="shared" si="1"/>
        <v>50.94944286784224</v>
      </c>
      <c r="F26" s="88">
        <f t="shared" si="2"/>
        <v>1150</v>
      </c>
      <c r="G26" s="13">
        <v>76</v>
      </c>
      <c r="H26" s="88">
        <f t="shared" si="3"/>
        <v>0.047731197990265345</v>
      </c>
      <c r="I26" s="89">
        <f t="shared" si="4"/>
        <v>-263057.8947368421</v>
      </c>
      <c r="J26" s="101"/>
      <c r="K26" s="88">
        <f t="shared" si="5"/>
        <v>0</v>
      </c>
      <c r="L26" s="89">
        <v>0</v>
      </c>
    </row>
    <row r="27" spans="1:12" ht="12.75">
      <c r="A27" s="122" t="s">
        <v>33</v>
      </c>
      <c r="B27" s="101">
        <v>82489</v>
      </c>
      <c r="C27" s="88">
        <f t="shared" si="0"/>
        <v>69.15228945559411</v>
      </c>
      <c r="D27" s="13">
        <v>117280</v>
      </c>
      <c r="E27" s="88">
        <f t="shared" si="1"/>
        <v>29.876753297702688</v>
      </c>
      <c r="F27" s="88">
        <f t="shared" si="2"/>
        <v>42.1765326285929</v>
      </c>
      <c r="G27" s="13">
        <v>96458</v>
      </c>
      <c r="H27" s="88">
        <f t="shared" si="3"/>
        <v>60.579682838750195</v>
      </c>
      <c r="I27" s="89">
        <f t="shared" si="4"/>
        <v>-21.586597275498143</v>
      </c>
      <c r="J27" s="101"/>
      <c r="K27" s="88">
        <f t="shared" si="5"/>
        <v>0</v>
      </c>
      <c r="L27" s="89">
        <v>0</v>
      </c>
    </row>
    <row r="28" spans="1:12" ht="12.75">
      <c r="A28" s="124" t="s">
        <v>34</v>
      </c>
      <c r="B28" s="101">
        <v>747</v>
      </c>
      <c r="C28" s="88">
        <f t="shared" si="0"/>
        <v>0.626226044967557</v>
      </c>
      <c r="D28" s="13">
        <v>48783</v>
      </c>
      <c r="E28" s="88">
        <f t="shared" si="1"/>
        <v>12.42733335710974</v>
      </c>
      <c r="F28" s="88">
        <f t="shared" si="2"/>
        <v>6430.522088353414</v>
      </c>
      <c r="G28" s="13">
        <v>43487</v>
      </c>
      <c r="H28" s="88">
        <f t="shared" si="3"/>
        <v>27.31166588161407</v>
      </c>
      <c r="I28" s="89">
        <f t="shared" si="4"/>
        <v>-12.178352151217606</v>
      </c>
      <c r="J28" s="101">
        <f>2000+51</f>
        <v>2051</v>
      </c>
      <c r="K28" s="88">
        <f t="shared" si="5"/>
        <v>5.720102632753235</v>
      </c>
      <c r="L28" s="89">
        <f t="shared" si="6"/>
        <v>-2020.2827888834715</v>
      </c>
    </row>
    <row r="29" spans="1:12" ht="12.75">
      <c r="A29" s="121" t="s">
        <v>11</v>
      </c>
      <c r="B29" s="129">
        <f>SUM(B11:B28)</f>
        <v>119286.1</v>
      </c>
      <c r="C29" s="17">
        <f>SUM(C11:C28)</f>
        <v>100.00008383213452</v>
      </c>
      <c r="D29" s="17">
        <f>SUM(D11:D28)</f>
        <v>392546</v>
      </c>
      <c r="E29" s="17">
        <f>SUM(E11:E28)</f>
        <v>100</v>
      </c>
      <c r="F29" s="17"/>
      <c r="G29" s="17">
        <f>SUM(G11:G28)</f>
        <v>159225</v>
      </c>
      <c r="H29" s="17">
        <f>SUM(H11:H28)</f>
        <v>100</v>
      </c>
      <c r="I29" s="26"/>
      <c r="J29" s="129">
        <f>SUM(J11:J28)</f>
        <v>35856</v>
      </c>
      <c r="K29" s="17">
        <f>SUM(K11:K28)</f>
        <v>100</v>
      </c>
      <c r="L29" s="26"/>
    </row>
    <row r="30" spans="1:12" ht="12.75">
      <c r="A30" s="122" t="s">
        <v>35</v>
      </c>
      <c r="B30" s="130">
        <f>+B29*100/B55</f>
        <v>9.481711240539141</v>
      </c>
      <c r="C30" s="88"/>
      <c r="D30" s="88">
        <f aca="true" t="shared" si="7" ref="D30:J30">+D29*100/D55</f>
        <v>15.20062669583296</v>
      </c>
      <c r="E30" s="88"/>
      <c r="F30" s="88"/>
      <c r="G30" s="88">
        <f t="shared" si="7"/>
        <v>8.626069827689888</v>
      </c>
      <c r="H30" s="88"/>
      <c r="I30" s="89"/>
      <c r="J30" s="130">
        <f t="shared" si="7"/>
        <v>4.169719297511146</v>
      </c>
      <c r="K30" s="88"/>
      <c r="L30" s="89"/>
    </row>
    <row r="31" spans="1:12" ht="12.75">
      <c r="A31" s="121" t="s">
        <v>36</v>
      </c>
      <c r="B31" s="101"/>
      <c r="C31" s="13"/>
      <c r="D31" s="13"/>
      <c r="E31" s="13"/>
      <c r="F31" s="13"/>
      <c r="G31" s="13"/>
      <c r="H31" s="13"/>
      <c r="I31" s="100"/>
      <c r="J31" s="101"/>
      <c r="K31" s="13"/>
      <c r="L31" s="100"/>
    </row>
    <row r="32" spans="1:12" ht="12.75">
      <c r="A32" s="122" t="s">
        <v>37</v>
      </c>
      <c r="B32" s="101">
        <v>305325</v>
      </c>
      <c r="C32" s="88">
        <f>+B32*100/911221</f>
        <v>33.50723918785893</v>
      </c>
      <c r="D32" s="13">
        <v>589878</v>
      </c>
      <c r="E32" s="88">
        <f>+D32*100/1881340</f>
        <v>31.354141197231762</v>
      </c>
      <c r="F32" s="88">
        <f aca="true" t="shared" si="8" ref="F32:F40">+((D32-B32)*100)/B32</f>
        <v>93.19675755342668</v>
      </c>
      <c r="G32" s="13">
        <v>617445</v>
      </c>
      <c r="H32" s="88">
        <f>+G32*100/1422948</f>
        <v>43.391958103880114</v>
      </c>
      <c r="I32" s="89">
        <f>+((G32-D32)*100)/D32</f>
        <v>4.67333923285832</v>
      </c>
      <c r="J32" s="101">
        <f>+J33+J34</f>
        <v>814058</v>
      </c>
      <c r="K32" s="88">
        <f>+J32*100/814058</f>
        <v>100</v>
      </c>
      <c r="L32" s="89">
        <f>+((J32-G32)*100)/G32</f>
        <v>31.84299816177959</v>
      </c>
    </row>
    <row r="33" spans="1:12" ht="12.75">
      <c r="A33" s="122" t="s">
        <v>38</v>
      </c>
      <c r="B33" s="101">
        <v>0</v>
      </c>
      <c r="C33" s="88">
        <f aca="true" t="shared" si="9" ref="C33:C40">+B33*100/911221</f>
        <v>0</v>
      </c>
      <c r="D33" s="13">
        <v>136243</v>
      </c>
      <c r="E33" s="88">
        <f aca="true" t="shared" si="10" ref="E33:E40">+D33*100/1881340</f>
        <v>7.241806372053961</v>
      </c>
      <c r="F33" s="88">
        <v>0</v>
      </c>
      <c r="G33" s="13">
        <v>129663</v>
      </c>
      <c r="H33" s="88">
        <f aca="true" t="shared" si="11" ref="H33:H40">+G33*100/1422948</f>
        <v>9.112279577328195</v>
      </c>
      <c r="I33" s="89">
        <f aca="true" t="shared" si="12" ref="I33:I39">+((G33-D33)*100)/D33</f>
        <v>-4.8296059247080585</v>
      </c>
      <c r="J33" s="101">
        <v>146530</v>
      </c>
      <c r="K33" s="88">
        <f aca="true" t="shared" si="13" ref="K33:K40">+J33*100/814058</f>
        <v>17.99994594979719</v>
      </c>
      <c r="L33" s="89">
        <f aca="true" t="shared" si="14" ref="L33:L40">+((J33-G33)*100)/G33</f>
        <v>13.008336996675999</v>
      </c>
    </row>
    <row r="34" spans="1:12" ht="12.75">
      <c r="A34" s="122" t="s">
        <v>39</v>
      </c>
      <c r="B34" s="101">
        <v>0</v>
      </c>
      <c r="C34" s="88">
        <f t="shared" si="9"/>
        <v>0</v>
      </c>
      <c r="D34" s="13">
        <v>431437</v>
      </c>
      <c r="E34" s="88">
        <f t="shared" si="10"/>
        <v>22.932431139506946</v>
      </c>
      <c r="F34" s="88">
        <v>0</v>
      </c>
      <c r="G34" s="13">
        <v>487782</v>
      </c>
      <c r="H34" s="88">
        <f t="shared" si="11"/>
        <v>34.27967852655192</v>
      </c>
      <c r="I34" s="89">
        <f t="shared" si="12"/>
        <v>13.05984419509685</v>
      </c>
      <c r="J34" s="101">
        <v>667528</v>
      </c>
      <c r="K34" s="88">
        <f t="shared" si="13"/>
        <v>82.0000540502028</v>
      </c>
      <c r="L34" s="89">
        <f t="shared" si="14"/>
        <v>36.84965824897188</v>
      </c>
    </row>
    <row r="35" spans="1:12" ht="12.75">
      <c r="A35" s="122" t="s">
        <v>40</v>
      </c>
      <c r="B35" s="101">
        <v>35905</v>
      </c>
      <c r="C35" s="88">
        <f t="shared" si="9"/>
        <v>3.9403174422011786</v>
      </c>
      <c r="D35" s="13">
        <v>22198</v>
      </c>
      <c r="E35" s="88">
        <f t="shared" si="10"/>
        <v>1.1799036856708516</v>
      </c>
      <c r="F35" s="88">
        <f t="shared" si="8"/>
        <v>-38.175741540175466</v>
      </c>
      <c r="G35" s="13"/>
      <c r="H35" s="88">
        <f t="shared" si="11"/>
        <v>0</v>
      </c>
      <c r="I35" s="89">
        <f t="shared" si="12"/>
        <v>-100</v>
      </c>
      <c r="J35" s="101"/>
      <c r="K35" s="88">
        <f t="shared" si="13"/>
        <v>0</v>
      </c>
      <c r="L35" s="89">
        <v>0</v>
      </c>
    </row>
    <row r="36" spans="1:12" ht="12.75">
      <c r="A36" s="124" t="s">
        <v>41</v>
      </c>
      <c r="B36" s="101"/>
      <c r="C36" s="88">
        <f t="shared" si="9"/>
        <v>0</v>
      </c>
      <c r="D36" s="13"/>
      <c r="E36" s="88">
        <f t="shared" si="10"/>
        <v>0</v>
      </c>
      <c r="F36" s="88">
        <v>0</v>
      </c>
      <c r="G36" s="13">
        <v>94029</v>
      </c>
      <c r="H36" s="88">
        <f t="shared" si="11"/>
        <v>6.608041896119886</v>
      </c>
      <c r="I36" s="89">
        <v>0</v>
      </c>
      <c r="J36" s="101"/>
      <c r="K36" s="88">
        <f t="shared" si="13"/>
        <v>0</v>
      </c>
      <c r="L36" s="89">
        <f t="shared" si="14"/>
        <v>-100</v>
      </c>
    </row>
    <row r="37" spans="1:12" ht="12.75">
      <c r="A37" s="122" t="s">
        <v>42</v>
      </c>
      <c r="B37" s="101">
        <v>235413</v>
      </c>
      <c r="C37" s="88">
        <f t="shared" si="9"/>
        <v>25.83489625458588</v>
      </c>
      <c r="D37" s="13">
        <v>110176</v>
      </c>
      <c r="E37" s="88">
        <f t="shared" si="10"/>
        <v>5.8562513952820865</v>
      </c>
      <c r="F37" s="88">
        <f t="shared" si="8"/>
        <v>-53.198846282915554</v>
      </c>
      <c r="G37" s="13">
        <v>19570</v>
      </c>
      <c r="H37" s="88">
        <f t="shared" si="11"/>
        <v>1.3753137851839983</v>
      </c>
      <c r="I37" s="89">
        <f t="shared" si="12"/>
        <v>-82.23751089166424</v>
      </c>
      <c r="J37" s="101"/>
      <c r="K37" s="88">
        <f t="shared" si="13"/>
        <v>0</v>
      </c>
      <c r="L37" s="89">
        <f t="shared" si="14"/>
        <v>-100</v>
      </c>
    </row>
    <row r="38" spans="1:12" ht="12.75">
      <c r="A38" s="122" t="s">
        <v>43</v>
      </c>
      <c r="B38" s="101">
        <v>330800</v>
      </c>
      <c r="C38" s="88">
        <f t="shared" si="9"/>
        <v>36.302938584602416</v>
      </c>
      <c r="D38" s="13">
        <v>543408</v>
      </c>
      <c r="E38" s="88">
        <f t="shared" si="10"/>
        <v>28.8840932526816</v>
      </c>
      <c r="F38" s="88">
        <f t="shared" si="8"/>
        <v>64.2708585247884</v>
      </c>
      <c r="G38" s="13">
        <v>0</v>
      </c>
      <c r="H38" s="88">
        <f t="shared" si="11"/>
        <v>0</v>
      </c>
      <c r="I38" s="89">
        <f t="shared" si="12"/>
        <v>-100</v>
      </c>
      <c r="J38" s="101"/>
      <c r="K38" s="88">
        <f t="shared" si="13"/>
        <v>0</v>
      </c>
      <c r="L38" s="89">
        <v>0</v>
      </c>
    </row>
    <row r="39" spans="1:12" ht="12.75">
      <c r="A39" s="122" t="s">
        <v>44</v>
      </c>
      <c r="B39" s="101">
        <v>0</v>
      </c>
      <c r="C39" s="88">
        <f t="shared" si="9"/>
        <v>0</v>
      </c>
      <c r="D39" s="13">
        <v>48000</v>
      </c>
      <c r="E39" s="88">
        <f t="shared" si="10"/>
        <v>2.5513729575727937</v>
      </c>
      <c r="F39" s="88">
        <v>0</v>
      </c>
      <c r="G39" s="13">
        <v>18000</v>
      </c>
      <c r="H39" s="88">
        <f t="shared" si="11"/>
        <v>1.2649794651666821</v>
      </c>
      <c r="I39" s="89">
        <f t="shared" si="12"/>
        <v>-62.5</v>
      </c>
      <c r="J39" s="101"/>
      <c r="K39" s="88">
        <f t="shared" si="13"/>
        <v>0</v>
      </c>
      <c r="L39" s="89">
        <f t="shared" si="14"/>
        <v>-100</v>
      </c>
    </row>
    <row r="40" spans="1:12" ht="12.75">
      <c r="A40" s="122" t="s">
        <v>45</v>
      </c>
      <c r="B40" s="101">
        <v>3778</v>
      </c>
      <c r="C40" s="88">
        <f t="shared" si="9"/>
        <v>0.4146085307515959</v>
      </c>
      <c r="D40" s="13">
        <v>0</v>
      </c>
      <c r="E40" s="88">
        <f t="shared" si="10"/>
        <v>0</v>
      </c>
      <c r="F40" s="88">
        <f t="shared" si="8"/>
        <v>-100</v>
      </c>
      <c r="G40" s="13">
        <v>56459</v>
      </c>
      <c r="H40" s="88">
        <f t="shared" si="11"/>
        <v>3.967748645769206</v>
      </c>
      <c r="I40" s="89">
        <v>0</v>
      </c>
      <c r="J40" s="101"/>
      <c r="K40" s="88">
        <f t="shared" si="13"/>
        <v>0</v>
      </c>
      <c r="L40" s="89">
        <f t="shared" si="14"/>
        <v>-100</v>
      </c>
    </row>
    <row r="41" spans="1:12" ht="12.75">
      <c r="A41" s="121" t="s">
        <v>13</v>
      </c>
      <c r="B41" s="129">
        <f>SUM(B32:B40)</f>
        <v>911221</v>
      </c>
      <c r="C41" s="17">
        <f>SUM(C32:C40)</f>
        <v>100</v>
      </c>
      <c r="D41" s="17">
        <f>SUM(D32:D40)</f>
        <v>1881340</v>
      </c>
      <c r="E41" s="17">
        <f>SUM(E32:E40)</f>
        <v>100</v>
      </c>
      <c r="F41" s="17"/>
      <c r="G41" s="17">
        <f>SUM(G32:G40)</f>
        <v>1422948</v>
      </c>
      <c r="H41" s="17">
        <f>SUM(H32:H40)</f>
        <v>100</v>
      </c>
      <c r="I41" s="26"/>
      <c r="J41" s="129">
        <f>SUM(J33:J40)</f>
        <v>814058</v>
      </c>
      <c r="K41" s="17">
        <f>SUM(K32:K40)</f>
        <v>200</v>
      </c>
      <c r="L41" s="26"/>
    </row>
    <row r="42" spans="1:12" ht="12.75">
      <c r="A42" s="122" t="s">
        <v>35</v>
      </c>
      <c r="B42" s="130">
        <f>+B41*100/B55</f>
        <v>72.43035356437437</v>
      </c>
      <c r="C42" s="88"/>
      <c r="D42" s="88">
        <f aca="true" t="shared" si="15" ref="D42:J42">+D41*100/D55</f>
        <v>72.85145442301891</v>
      </c>
      <c r="E42" s="88"/>
      <c r="F42" s="88"/>
      <c r="G42" s="88">
        <f t="shared" si="15"/>
        <v>77.08870346473023</v>
      </c>
      <c r="H42" s="88"/>
      <c r="I42" s="89"/>
      <c r="J42" s="130">
        <f t="shared" si="15"/>
        <v>94.6673737141156</v>
      </c>
      <c r="K42" s="88"/>
      <c r="L42" s="89"/>
    </row>
    <row r="43" spans="1:12" ht="12.75">
      <c r="A43" s="121" t="s">
        <v>46</v>
      </c>
      <c r="B43" s="101"/>
      <c r="C43" s="13"/>
      <c r="D43" s="13"/>
      <c r="E43" s="13"/>
      <c r="F43" s="13"/>
      <c r="G43" s="13"/>
      <c r="H43" s="13"/>
      <c r="I43" s="100"/>
      <c r="J43" s="101"/>
      <c r="K43" s="13"/>
      <c r="L43" s="100"/>
    </row>
    <row r="44" spans="1:12" ht="12.75">
      <c r="A44" s="122" t="s">
        <v>47</v>
      </c>
      <c r="B44" s="101">
        <v>194925</v>
      </c>
      <c r="C44" s="88">
        <f>+B44*100/206325</f>
        <v>94.47473645946928</v>
      </c>
      <c r="D44" s="13"/>
      <c r="E44" s="13">
        <f>+D44*100/308547</f>
        <v>0</v>
      </c>
      <c r="F44" s="88">
        <f>+((D44-B44)*100)/B44</f>
        <v>-100</v>
      </c>
      <c r="G44" s="13"/>
      <c r="H44" s="13">
        <f>+G44*100/263685</f>
        <v>0</v>
      </c>
      <c r="I44" s="89">
        <v>0</v>
      </c>
      <c r="J44" s="101"/>
      <c r="K44" s="13">
        <f>+J44*100/10000</f>
        <v>0</v>
      </c>
      <c r="L44" s="89">
        <v>0</v>
      </c>
    </row>
    <row r="45" spans="1:12" ht="12.75">
      <c r="A45" s="122" t="s">
        <v>48</v>
      </c>
      <c r="B45" s="101">
        <v>0</v>
      </c>
      <c r="C45" s="88">
        <f>+B45*100/206325</f>
        <v>0</v>
      </c>
      <c r="D45" s="13">
        <v>42709</v>
      </c>
      <c r="E45" s="88">
        <f>+D45*100/308547</f>
        <v>13.8419754526863</v>
      </c>
      <c r="F45" s="88">
        <v>0</v>
      </c>
      <c r="G45" s="13">
        <v>11371</v>
      </c>
      <c r="H45" s="88">
        <f>+G45*100/263685</f>
        <v>4.3123423782164325</v>
      </c>
      <c r="I45" s="89">
        <f>+((G45-D45)*100)/D45</f>
        <v>-73.37563511203727</v>
      </c>
      <c r="J45" s="101">
        <v>10000</v>
      </c>
      <c r="K45" s="13">
        <f>+J45*100/10000</f>
        <v>100</v>
      </c>
      <c r="L45" s="89">
        <f>+((J45-G45)*100)/G45</f>
        <v>-12.0569870723771</v>
      </c>
    </row>
    <row r="46" spans="1:12" ht="12.75">
      <c r="A46" s="123" t="s">
        <v>49</v>
      </c>
      <c r="B46" s="101">
        <v>11400</v>
      </c>
      <c r="C46" s="88">
        <f>+B46*100/206325</f>
        <v>5.525263540530716</v>
      </c>
      <c r="D46" s="13">
        <v>265838</v>
      </c>
      <c r="E46" s="88">
        <f>+D46*100/308547</f>
        <v>86.1580245473137</v>
      </c>
      <c r="F46" s="88">
        <f>+((D46-B46)*100)/B46</f>
        <v>2231.9122807017543</v>
      </c>
      <c r="G46" s="13">
        <v>252314</v>
      </c>
      <c r="H46" s="88">
        <f>+G46*100/263685</f>
        <v>95.68765762178357</v>
      </c>
      <c r="I46" s="89">
        <f>+((G46-D46)*100)/D46</f>
        <v>-5.087308812133705</v>
      </c>
      <c r="J46" s="101"/>
      <c r="K46" s="13">
        <f>+J46*100/10000</f>
        <v>0</v>
      </c>
      <c r="L46" s="89">
        <f>+((J46-G46)*100)/G46</f>
        <v>-100</v>
      </c>
    </row>
    <row r="47" spans="1:12" ht="12.75">
      <c r="A47" s="125" t="s">
        <v>15</v>
      </c>
      <c r="B47" s="129">
        <f>SUM(B44:B46)</f>
        <v>206325</v>
      </c>
      <c r="C47" s="17">
        <f>SUM(C44:C46)</f>
        <v>100</v>
      </c>
      <c r="D47" s="17">
        <f>SUM(D44:D46)</f>
        <v>308547</v>
      </c>
      <c r="E47" s="17">
        <f>SUM(E44:E46)</f>
        <v>100</v>
      </c>
      <c r="F47" s="17"/>
      <c r="G47" s="17">
        <f>SUM(G45:G46)</f>
        <v>263685</v>
      </c>
      <c r="H47" s="17">
        <f>SUM(H44:H46)</f>
        <v>100</v>
      </c>
      <c r="I47" s="26"/>
      <c r="J47" s="129">
        <f>SUM(J44:J46)</f>
        <v>10000</v>
      </c>
      <c r="K47" s="17">
        <f>SUM(K44:K46)</f>
        <v>100</v>
      </c>
      <c r="L47" s="26"/>
    </row>
    <row r="48" spans="1:12" ht="12.75">
      <c r="A48" s="123"/>
      <c r="B48" s="130">
        <f>+B47*100/B55</f>
        <v>16.400184696324537</v>
      </c>
      <c r="C48" s="88"/>
      <c r="D48" s="88">
        <f aca="true" t="shared" si="16" ref="D48:J48">+D47*100/D55</f>
        <v>11.947918881148127</v>
      </c>
      <c r="E48" s="88"/>
      <c r="F48" s="88"/>
      <c r="G48" s="88">
        <f t="shared" si="16"/>
        <v>14.28522670757989</v>
      </c>
      <c r="H48" s="88"/>
      <c r="I48" s="89"/>
      <c r="J48" s="130">
        <f t="shared" si="16"/>
        <v>1.162906988373256</v>
      </c>
      <c r="K48" s="13"/>
      <c r="L48" s="100"/>
    </row>
    <row r="49" spans="1:12" ht="12.75">
      <c r="A49" s="121" t="s">
        <v>50</v>
      </c>
      <c r="B49" s="101"/>
      <c r="C49" s="13"/>
      <c r="D49" s="13"/>
      <c r="E49" s="13"/>
      <c r="F49" s="13"/>
      <c r="G49" s="13"/>
      <c r="H49" s="13"/>
      <c r="I49" s="100"/>
      <c r="J49" s="101"/>
      <c r="K49" s="13"/>
      <c r="L49" s="100"/>
    </row>
    <row r="50" spans="1:12" ht="12.75">
      <c r="A50" s="122" t="s">
        <v>51</v>
      </c>
      <c r="B50" s="101">
        <v>21100</v>
      </c>
      <c r="C50" s="13"/>
      <c r="D50" s="13">
        <v>0</v>
      </c>
      <c r="E50" s="13"/>
      <c r="F50" s="13"/>
      <c r="G50" s="13">
        <v>0</v>
      </c>
      <c r="H50" s="13"/>
      <c r="I50" s="100"/>
      <c r="J50" s="101"/>
      <c r="K50" s="13"/>
      <c r="L50" s="100"/>
    </row>
    <row r="51" spans="1:12" ht="12.75">
      <c r="A51" s="122" t="s">
        <v>52</v>
      </c>
      <c r="B51" s="101">
        <v>133</v>
      </c>
      <c r="C51" s="13"/>
      <c r="D51" s="13">
        <v>0</v>
      </c>
      <c r="E51" s="13"/>
      <c r="F51" s="13"/>
      <c r="G51" s="13">
        <v>0</v>
      </c>
      <c r="H51" s="13"/>
      <c r="I51" s="100"/>
      <c r="J51" s="101"/>
      <c r="K51" s="13"/>
      <c r="L51" s="100"/>
    </row>
    <row r="52" spans="1:12" ht="12.75">
      <c r="A52" s="121" t="s">
        <v>17</v>
      </c>
      <c r="B52" s="129">
        <f>SUM(B50:B51)</f>
        <v>21233</v>
      </c>
      <c r="C52" s="13"/>
      <c r="D52" s="13"/>
      <c r="E52" s="13"/>
      <c r="F52" s="13"/>
      <c r="G52" s="13"/>
      <c r="H52" s="13"/>
      <c r="I52" s="100"/>
      <c r="J52" s="101"/>
      <c r="K52" s="13"/>
      <c r="L52" s="100"/>
    </row>
    <row r="53" spans="1:12" ht="12.75">
      <c r="A53" s="122"/>
      <c r="B53" s="130">
        <f>+B52*100/B55</f>
        <v>1.6877504987619478</v>
      </c>
      <c r="C53" s="13"/>
      <c r="D53" s="13"/>
      <c r="E53" s="13"/>
      <c r="F53" s="13"/>
      <c r="G53" s="13"/>
      <c r="H53" s="13"/>
      <c r="I53" s="100"/>
      <c r="J53" s="101"/>
      <c r="K53" s="13"/>
      <c r="L53" s="100"/>
    </row>
    <row r="54" spans="1:12" ht="12.75">
      <c r="A54" s="121" t="s">
        <v>53</v>
      </c>
      <c r="B54" s="101">
        <v>0</v>
      </c>
      <c r="C54" s="13"/>
      <c r="D54" s="13">
        <v>0</v>
      </c>
      <c r="E54" s="13"/>
      <c r="F54" s="13"/>
      <c r="G54" s="13">
        <v>0</v>
      </c>
      <c r="H54" s="13"/>
      <c r="I54" s="100"/>
      <c r="J54" s="101"/>
      <c r="K54" s="13"/>
      <c r="L54" s="100"/>
    </row>
    <row r="55" spans="1:12" ht="13.5" thickBot="1">
      <c r="A55" s="126" t="s">
        <v>54</v>
      </c>
      <c r="B55" s="131">
        <f>+B52+B47+B41+B29</f>
        <v>1258065.1</v>
      </c>
      <c r="C55" s="107"/>
      <c r="D55" s="106">
        <f>+D52+D47+D41+D29</f>
        <v>2582433</v>
      </c>
      <c r="E55" s="108">
        <f>+((D55-B55)/B55)*100</f>
        <v>105.27022011817988</v>
      </c>
      <c r="F55" s="107"/>
      <c r="G55" s="106">
        <f>+G52+G47+G41+G29</f>
        <v>1845858</v>
      </c>
      <c r="H55" s="108">
        <f>+((G55-D55)/D55)*100</f>
        <v>-28.522521203841496</v>
      </c>
      <c r="I55" s="109"/>
      <c r="J55" s="131">
        <f>+J52+J47+J41+J29</f>
        <v>859914</v>
      </c>
      <c r="K55" s="108">
        <f>+((J55-G55)/G55)*100</f>
        <v>-53.413859570996244</v>
      </c>
      <c r="L55" s="109"/>
    </row>
    <row r="56" ht="12.75">
      <c r="A56" s="9" t="s">
        <v>55</v>
      </c>
    </row>
    <row r="61" spans="1:12" ht="12.75">
      <c r="A61" s="66" t="s">
        <v>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 t="s">
        <v>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 t="s">
        <v>2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4:6" ht="12.75">
      <c r="D64" s="66" t="s">
        <v>3</v>
      </c>
      <c r="E64" s="66"/>
      <c r="F64" s="66"/>
    </row>
    <row r="66" spans="1:12" ht="13.5" thickBot="1">
      <c r="A66" s="110"/>
      <c r="B66" s="91" t="s">
        <v>4</v>
      </c>
      <c r="C66" s="91"/>
      <c r="D66" s="91"/>
      <c r="E66" s="91"/>
      <c r="F66" s="91"/>
      <c r="G66" s="91"/>
      <c r="H66" s="91"/>
      <c r="I66" s="91"/>
      <c r="J66" s="91" t="s">
        <v>5</v>
      </c>
      <c r="K66" s="91"/>
      <c r="L66" s="91"/>
    </row>
    <row r="67" spans="1:12" ht="12.75">
      <c r="A67" s="111" t="s">
        <v>6</v>
      </c>
      <c r="B67" s="112">
        <v>1996</v>
      </c>
      <c r="C67" s="112" t="s">
        <v>7</v>
      </c>
      <c r="D67" s="112">
        <v>1997</v>
      </c>
      <c r="E67" s="112" t="s">
        <v>7</v>
      </c>
      <c r="F67" s="112" t="s">
        <v>8</v>
      </c>
      <c r="G67" s="113">
        <v>1998</v>
      </c>
      <c r="H67" s="113" t="s">
        <v>7</v>
      </c>
      <c r="I67" s="112" t="s">
        <v>8</v>
      </c>
      <c r="J67" s="113">
        <v>1999</v>
      </c>
      <c r="K67" s="114" t="s">
        <v>7</v>
      </c>
      <c r="L67" s="115" t="s">
        <v>8</v>
      </c>
    </row>
    <row r="68" spans="1:12" ht="12.75">
      <c r="A68" s="97"/>
      <c r="B68" s="98"/>
      <c r="C68" s="98"/>
      <c r="D68" s="98"/>
      <c r="E68" s="98"/>
      <c r="F68" s="98"/>
      <c r="G68" s="46"/>
      <c r="H68" s="46"/>
      <c r="I68" s="98"/>
      <c r="J68" s="46"/>
      <c r="K68" s="13"/>
      <c r="L68" s="99"/>
    </row>
    <row r="69" spans="1:12" ht="12.75">
      <c r="A69" s="25" t="s">
        <v>9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00"/>
    </row>
    <row r="70" spans="1:12" ht="12.75">
      <c r="A70" s="25" t="s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00"/>
    </row>
    <row r="71" spans="1:12" ht="12.75">
      <c r="A71" s="101" t="s">
        <v>12</v>
      </c>
      <c r="B71" s="13">
        <v>7345</v>
      </c>
      <c r="C71" s="88">
        <f>+B71*100/119286</f>
        <v>6.157470281508307</v>
      </c>
      <c r="D71" s="13">
        <v>9571</v>
      </c>
      <c r="E71" s="88">
        <f>+D71*100/392546</f>
        <v>2.4381855884405903</v>
      </c>
      <c r="F71" s="88">
        <f>+((D71-B71)*100)/B71</f>
        <v>30.306330837304287</v>
      </c>
      <c r="G71" s="13">
        <v>8060</v>
      </c>
      <c r="H71" s="88">
        <f>+G71*100/159225</f>
        <v>5.062019155283404</v>
      </c>
      <c r="I71" s="88">
        <f>+((G71-D71)*100)/G71</f>
        <v>-18.746898263027294</v>
      </c>
      <c r="J71" s="13">
        <v>12000</v>
      </c>
      <c r="K71" s="88">
        <f>+J71*100/35856</f>
        <v>33.467202141900934</v>
      </c>
      <c r="L71" s="89">
        <f>+((J71-G71)*100)/J71</f>
        <v>32.833333333333336</v>
      </c>
    </row>
    <row r="72" spans="1:12" ht="12.75">
      <c r="A72" s="101" t="s">
        <v>14</v>
      </c>
      <c r="B72" s="13">
        <v>518</v>
      </c>
      <c r="C72" s="88">
        <f aca="true" t="shared" si="17" ref="C72:C88">+B72*100/119286</f>
        <v>0.4342504568851332</v>
      </c>
      <c r="D72" s="13">
        <v>1162</v>
      </c>
      <c r="E72" s="88">
        <f aca="true" t="shared" si="18" ref="E72:E88">+D72*100/392546</f>
        <v>0.29601626306216344</v>
      </c>
      <c r="F72" s="88">
        <f>+((D72-B72)*100)/B72</f>
        <v>124.32432432432432</v>
      </c>
      <c r="G72" s="13">
        <v>1164</v>
      </c>
      <c r="H72" s="88">
        <f aca="true" t="shared" si="19" ref="H72:H88">+G72*100/159225</f>
        <v>0.731040979745643</v>
      </c>
      <c r="I72" s="88">
        <f>+((G72-D72)*100)/G72</f>
        <v>0.1718213058419244</v>
      </c>
      <c r="J72" s="13"/>
      <c r="K72" s="88">
        <f aca="true" t="shared" si="20" ref="K72:K88">+J72*100/35856</f>
        <v>0</v>
      </c>
      <c r="L72" s="89">
        <v>0</v>
      </c>
    </row>
    <row r="73" spans="1:12" ht="12.75">
      <c r="A73" s="101" t="s">
        <v>16</v>
      </c>
      <c r="B73" s="13">
        <v>7800</v>
      </c>
      <c r="C73" s="88">
        <f t="shared" si="17"/>
        <v>6.538906493637141</v>
      </c>
      <c r="D73" s="13">
        <v>8550</v>
      </c>
      <c r="E73" s="88">
        <f t="shared" si="18"/>
        <v>2.1780886826002557</v>
      </c>
      <c r="F73" s="88">
        <f>+((D73-B73)*100)/B73</f>
        <v>9.615384615384615</v>
      </c>
      <c r="G73" s="13">
        <v>8104</v>
      </c>
      <c r="H73" s="88">
        <f t="shared" si="19"/>
        <v>5.089653006751452</v>
      </c>
      <c r="I73" s="88">
        <f>+((G73-D73)*100)/G73</f>
        <v>-5.503455083909181</v>
      </c>
      <c r="J73" s="13">
        <v>12000</v>
      </c>
      <c r="K73" s="88">
        <f t="shared" si="20"/>
        <v>33.467202141900934</v>
      </c>
      <c r="L73" s="89">
        <f>+((J73-G73)*100)/J73</f>
        <v>32.46666666666667</v>
      </c>
    </row>
    <row r="74" spans="1:12" ht="12.75">
      <c r="A74" s="101" t="s">
        <v>18</v>
      </c>
      <c r="B74" s="13"/>
      <c r="C74" s="88">
        <f t="shared" si="17"/>
        <v>0</v>
      </c>
      <c r="D74" s="13"/>
      <c r="E74" s="88">
        <f t="shared" si="18"/>
        <v>0</v>
      </c>
      <c r="F74" s="88">
        <v>0</v>
      </c>
      <c r="G74" s="13">
        <v>1430</v>
      </c>
      <c r="H74" s="88">
        <f t="shared" si="19"/>
        <v>0.8981001727115717</v>
      </c>
      <c r="I74" s="88">
        <f>+((G74-D74)*100)/G74</f>
        <v>100</v>
      </c>
      <c r="J74" s="13"/>
      <c r="K74" s="88">
        <f t="shared" si="20"/>
        <v>0</v>
      </c>
      <c r="L74" s="89">
        <v>0</v>
      </c>
    </row>
    <row r="75" spans="1:12" ht="12.75">
      <c r="A75" s="101" t="s">
        <v>19</v>
      </c>
      <c r="B75" s="13"/>
      <c r="C75" s="88">
        <f t="shared" si="17"/>
        <v>0</v>
      </c>
      <c r="D75" s="13"/>
      <c r="E75" s="88">
        <f t="shared" si="18"/>
        <v>0</v>
      </c>
      <c r="F75" s="88">
        <v>0</v>
      </c>
      <c r="G75" s="13"/>
      <c r="H75" s="88">
        <f t="shared" si="19"/>
        <v>0</v>
      </c>
      <c r="I75" s="88">
        <v>0</v>
      </c>
      <c r="J75" s="13">
        <v>100</v>
      </c>
      <c r="K75" s="88">
        <f t="shared" si="20"/>
        <v>0.2788933511825078</v>
      </c>
      <c r="L75" s="89">
        <f aca="true" t="shared" si="21" ref="L75:L80">+((J75-G75)*100)/J75</f>
        <v>100</v>
      </c>
    </row>
    <row r="76" spans="1:12" ht="12.75">
      <c r="A76" s="101" t="s">
        <v>21</v>
      </c>
      <c r="B76" s="13">
        <v>2.1</v>
      </c>
      <c r="C76" s="88">
        <f t="shared" si="17"/>
        <v>0.0017604748252099994</v>
      </c>
      <c r="D76" s="13">
        <v>2</v>
      </c>
      <c r="E76" s="88">
        <f t="shared" si="18"/>
        <v>0.0005094944286784224</v>
      </c>
      <c r="F76" s="88">
        <f>+((D76-B76)*100)/B76</f>
        <v>-4.761904761904766</v>
      </c>
      <c r="G76" s="13"/>
      <c r="H76" s="88">
        <f t="shared" si="19"/>
        <v>0</v>
      </c>
      <c r="I76" s="88">
        <v>0</v>
      </c>
      <c r="J76" s="13">
        <v>10</v>
      </c>
      <c r="K76" s="88">
        <f t="shared" si="20"/>
        <v>0.027889335118250782</v>
      </c>
      <c r="L76" s="89">
        <f t="shared" si="21"/>
        <v>100</v>
      </c>
    </row>
    <row r="77" spans="1:12" ht="12.75">
      <c r="A77" s="102" t="s">
        <v>23</v>
      </c>
      <c r="B77" s="13">
        <v>0</v>
      </c>
      <c r="C77" s="88">
        <f t="shared" si="17"/>
        <v>0</v>
      </c>
      <c r="D77" s="13">
        <v>2055</v>
      </c>
      <c r="E77" s="88">
        <f t="shared" si="18"/>
        <v>0.5235055254670791</v>
      </c>
      <c r="F77" s="88">
        <v>0</v>
      </c>
      <c r="G77" s="13">
        <v>2</v>
      </c>
      <c r="H77" s="88">
        <f t="shared" si="19"/>
        <v>0.0012560841576385617</v>
      </c>
      <c r="I77" s="88">
        <f>+((G77-D77)*100)/G77</f>
        <v>-102650</v>
      </c>
      <c r="J77" s="13">
        <v>100</v>
      </c>
      <c r="K77" s="88">
        <f t="shared" si="20"/>
        <v>0.2788933511825078</v>
      </c>
      <c r="L77" s="89">
        <f t="shared" si="21"/>
        <v>98</v>
      </c>
    </row>
    <row r="78" spans="1:12" ht="12.75">
      <c r="A78" s="101" t="s">
        <v>24</v>
      </c>
      <c r="B78" s="13">
        <v>341</v>
      </c>
      <c r="C78" s="88">
        <f t="shared" si="17"/>
        <v>0.2858675787602904</v>
      </c>
      <c r="D78" s="13"/>
      <c r="E78" s="88">
        <f t="shared" si="18"/>
        <v>0</v>
      </c>
      <c r="F78" s="88">
        <f>+((D78-B78)*100)/B78</f>
        <v>-100</v>
      </c>
      <c r="G78" s="13"/>
      <c r="H78" s="88">
        <f t="shared" si="19"/>
        <v>0</v>
      </c>
      <c r="I78" s="88">
        <v>0</v>
      </c>
      <c r="J78" s="13">
        <v>80</v>
      </c>
      <c r="K78" s="88">
        <f t="shared" si="20"/>
        <v>0.22311468094600626</v>
      </c>
      <c r="L78" s="89">
        <f t="shared" si="21"/>
        <v>100</v>
      </c>
    </row>
    <row r="79" spans="1:12" ht="12.75">
      <c r="A79" s="102" t="s">
        <v>25</v>
      </c>
      <c r="B79" s="13">
        <v>269</v>
      </c>
      <c r="C79" s="88">
        <f t="shared" si="17"/>
        <v>0.22550844189594754</v>
      </c>
      <c r="D79" s="13"/>
      <c r="E79" s="88">
        <f t="shared" si="18"/>
        <v>0</v>
      </c>
      <c r="F79" s="88">
        <f>+((D79-B79)*100)/B79</f>
        <v>-100</v>
      </c>
      <c r="G79" s="13">
        <v>5</v>
      </c>
      <c r="H79" s="88">
        <f t="shared" si="19"/>
        <v>0.0031402103940964044</v>
      </c>
      <c r="I79" s="88">
        <f>+((G79-D79)*100)/G79</f>
        <v>100</v>
      </c>
      <c r="J79" s="13">
        <v>15</v>
      </c>
      <c r="K79" s="88">
        <f t="shared" si="20"/>
        <v>0.04183400267737617</v>
      </c>
      <c r="L79" s="89">
        <f t="shared" si="21"/>
        <v>66.66666666666667</v>
      </c>
    </row>
    <row r="80" spans="1:12" ht="12.75">
      <c r="A80" s="101" t="s">
        <v>26</v>
      </c>
      <c r="B80" s="13">
        <v>95</v>
      </c>
      <c r="C80" s="88">
        <f t="shared" si="17"/>
        <v>0.07964052780711903</v>
      </c>
      <c r="D80" s="13"/>
      <c r="E80" s="88">
        <f t="shared" si="18"/>
        <v>0</v>
      </c>
      <c r="F80" s="88">
        <f>+((D80-B80)*100)/B80</f>
        <v>-100</v>
      </c>
      <c r="G80" s="13"/>
      <c r="H80" s="88">
        <f t="shared" si="19"/>
        <v>0</v>
      </c>
      <c r="I80" s="88">
        <v>0</v>
      </c>
      <c r="J80" s="13">
        <v>300</v>
      </c>
      <c r="K80" s="88">
        <f t="shared" si="20"/>
        <v>0.8366800535475234</v>
      </c>
      <c r="L80" s="89">
        <f t="shared" si="21"/>
        <v>100</v>
      </c>
    </row>
    <row r="81" spans="1:12" ht="12.75">
      <c r="A81" s="101" t="s">
        <v>27</v>
      </c>
      <c r="B81" s="13">
        <v>74</v>
      </c>
      <c r="C81" s="88">
        <f t="shared" si="17"/>
        <v>0.06203577955501903</v>
      </c>
      <c r="D81" s="13">
        <v>55</v>
      </c>
      <c r="E81" s="88">
        <f t="shared" si="18"/>
        <v>0.014011096788656616</v>
      </c>
      <c r="F81" s="88">
        <f>+((D81-B81)*100)/B81</f>
        <v>-25.675675675675677</v>
      </c>
      <c r="G81" s="13"/>
      <c r="H81" s="88">
        <f t="shared" si="19"/>
        <v>0</v>
      </c>
      <c r="I81" s="88">
        <v>0</v>
      </c>
      <c r="J81" s="13"/>
      <c r="K81" s="88">
        <f t="shared" si="20"/>
        <v>0</v>
      </c>
      <c r="L81" s="89">
        <v>0</v>
      </c>
    </row>
    <row r="82" spans="1:12" ht="12.75">
      <c r="A82" s="25" t="s">
        <v>28</v>
      </c>
      <c r="B82" s="13"/>
      <c r="C82" s="88">
        <f t="shared" si="17"/>
        <v>0</v>
      </c>
      <c r="D82" s="13"/>
      <c r="E82" s="88">
        <f t="shared" si="18"/>
        <v>0</v>
      </c>
      <c r="F82" s="88">
        <v>0</v>
      </c>
      <c r="G82" s="13"/>
      <c r="H82" s="88">
        <f t="shared" si="19"/>
        <v>0</v>
      </c>
      <c r="I82" s="88">
        <v>0</v>
      </c>
      <c r="J82" s="13"/>
      <c r="K82" s="88">
        <f t="shared" si="20"/>
        <v>0</v>
      </c>
      <c r="L82" s="89">
        <v>0</v>
      </c>
    </row>
    <row r="83" spans="1:12" ht="12.75">
      <c r="A83" s="101" t="s">
        <v>29</v>
      </c>
      <c r="B83" s="13">
        <v>3246</v>
      </c>
      <c r="C83" s="88">
        <f t="shared" si="17"/>
        <v>2.7211910869674565</v>
      </c>
      <c r="D83" s="13">
        <v>5048</v>
      </c>
      <c r="E83" s="88">
        <f t="shared" si="18"/>
        <v>1.2859639379843382</v>
      </c>
      <c r="F83" s="88">
        <f>+((D83-B83)*100)/B83</f>
        <v>55.514479359211336</v>
      </c>
      <c r="G83" s="13"/>
      <c r="H83" s="88">
        <f t="shared" si="19"/>
        <v>0</v>
      </c>
      <c r="I83" s="88">
        <v>0</v>
      </c>
      <c r="J83" s="13">
        <v>7000</v>
      </c>
      <c r="K83" s="88">
        <f t="shared" si="20"/>
        <v>19.522534582775545</v>
      </c>
      <c r="L83" s="89">
        <f>+((J83-G83)*100)/J83</f>
        <v>100</v>
      </c>
    </row>
    <row r="84" spans="1:12" ht="12.75">
      <c r="A84" s="101" t="s">
        <v>30</v>
      </c>
      <c r="B84" s="13"/>
      <c r="C84" s="88">
        <f t="shared" si="17"/>
        <v>0</v>
      </c>
      <c r="D84" s="13"/>
      <c r="E84" s="88">
        <f t="shared" si="18"/>
        <v>0</v>
      </c>
      <c r="F84" s="88">
        <v>0</v>
      </c>
      <c r="G84" s="13">
        <v>439</v>
      </c>
      <c r="H84" s="88">
        <f t="shared" si="19"/>
        <v>0.2757104726016643</v>
      </c>
      <c r="I84" s="88">
        <f>+((G84-D84)*100)/G84</f>
        <v>100</v>
      </c>
      <c r="J84" s="13">
        <v>1200</v>
      </c>
      <c r="K84" s="88">
        <f t="shared" si="20"/>
        <v>3.3467202141900936</v>
      </c>
      <c r="L84" s="89">
        <f>+((J84-G84)*100)/J84</f>
        <v>63.416666666666664</v>
      </c>
    </row>
    <row r="85" spans="1:12" ht="12.75">
      <c r="A85" s="101" t="s">
        <v>31</v>
      </c>
      <c r="B85" s="13">
        <v>360</v>
      </c>
      <c r="C85" s="88">
        <f t="shared" si="17"/>
        <v>0.3017956843217142</v>
      </c>
      <c r="D85" s="13">
        <v>40</v>
      </c>
      <c r="E85" s="88">
        <f t="shared" si="18"/>
        <v>0.010189888573568447</v>
      </c>
      <c r="F85" s="88">
        <f>+((D85-B85)*100)/B85</f>
        <v>-88.88888888888889</v>
      </c>
      <c r="G85" s="13"/>
      <c r="H85" s="88">
        <f t="shared" si="19"/>
        <v>0</v>
      </c>
      <c r="I85" s="88">
        <v>0</v>
      </c>
      <c r="J85" s="13">
        <v>1000</v>
      </c>
      <c r="K85" s="88">
        <f t="shared" si="20"/>
        <v>2.788933511825078</v>
      </c>
      <c r="L85" s="89">
        <f>+((J85-G85)*100)/J85</f>
        <v>100</v>
      </c>
    </row>
    <row r="86" spans="1:12" ht="12.75">
      <c r="A86" s="101" t="s">
        <v>32</v>
      </c>
      <c r="B86" s="13">
        <v>16000</v>
      </c>
      <c r="C86" s="88">
        <f t="shared" si="17"/>
        <v>13.41314152540952</v>
      </c>
      <c r="D86" s="13">
        <v>200000</v>
      </c>
      <c r="E86" s="88">
        <f t="shared" si="18"/>
        <v>50.94944286784224</v>
      </c>
      <c r="F86" s="88">
        <f>+((D86-B86)*100)/B86</f>
        <v>1150</v>
      </c>
      <c r="G86" s="13">
        <v>76</v>
      </c>
      <c r="H86" s="88">
        <f t="shared" si="19"/>
        <v>0.047731197990265345</v>
      </c>
      <c r="I86" s="88">
        <f>+((G86-D86)*100)/G86</f>
        <v>-263057.8947368421</v>
      </c>
      <c r="J86" s="13"/>
      <c r="K86" s="88">
        <f t="shared" si="20"/>
        <v>0</v>
      </c>
      <c r="L86" s="89">
        <v>0</v>
      </c>
    </row>
    <row r="87" spans="1:12" ht="12.75">
      <c r="A87" s="101" t="s">
        <v>33</v>
      </c>
      <c r="B87" s="13">
        <v>82489</v>
      </c>
      <c r="C87" s="88">
        <f t="shared" si="17"/>
        <v>69.15228945559411</v>
      </c>
      <c r="D87" s="13">
        <v>117280</v>
      </c>
      <c r="E87" s="88">
        <f t="shared" si="18"/>
        <v>29.876753297702688</v>
      </c>
      <c r="F87" s="88">
        <f>+((D87-B87)*100)/B87</f>
        <v>42.1765326285929</v>
      </c>
      <c r="G87" s="13">
        <v>96458</v>
      </c>
      <c r="H87" s="88">
        <f t="shared" si="19"/>
        <v>60.579682838750195</v>
      </c>
      <c r="I87" s="88">
        <f>+((G87-D87)*100)/G87</f>
        <v>-21.586597275498143</v>
      </c>
      <c r="J87" s="13"/>
      <c r="K87" s="88">
        <f t="shared" si="20"/>
        <v>0</v>
      </c>
      <c r="L87" s="89">
        <v>0</v>
      </c>
    </row>
    <row r="88" spans="1:12" ht="12.75">
      <c r="A88" s="103" t="s">
        <v>34</v>
      </c>
      <c r="B88" s="13">
        <v>747</v>
      </c>
      <c r="C88" s="88">
        <f t="shared" si="17"/>
        <v>0.626226044967557</v>
      </c>
      <c r="D88" s="13">
        <v>48783</v>
      </c>
      <c r="E88" s="88">
        <f t="shared" si="18"/>
        <v>12.42733335710974</v>
      </c>
      <c r="F88" s="88">
        <f>+((D88-B88)*100)/B88</f>
        <v>6430.522088353414</v>
      </c>
      <c r="G88" s="13">
        <v>43487</v>
      </c>
      <c r="H88" s="88">
        <f t="shared" si="19"/>
        <v>27.31166588161407</v>
      </c>
      <c r="I88" s="88">
        <f>+((G88-D88)*100)/G88</f>
        <v>-12.178352151217606</v>
      </c>
      <c r="J88" s="13">
        <f>2000+51</f>
        <v>2051</v>
      </c>
      <c r="K88" s="88">
        <f t="shared" si="20"/>
        <v>5.720102632753235</v>
      </c>
      <c r="L88" s="89">
        <f>+((J88-G88)*100)/J88</f>
        <v>-2020.2827888834715</v>
      </c>
    </row>
    <row r="89" spans="1:12" ht="12.75">
      <c r="A89" s="25" t="s">
        <v>11</v>
      </c>
      <c r="B89" s="17">
        <f>SUM(B71:B88)</f>
        <v>119286.1</v>
      </c>
      <c r="C89" s="17">
        <f>SUM(C71:C88)</f>
        <v>100.00008383213452</v>
      </c>
      <c r="D89" s="17">
        <f>SUM(D71:D88)</f>
        <v>392546</v>
      </c>
      <c r="E89" s="17">
        <f>SUM(E71:E88)</f>
        <v>100</v>
      </c>
      <c r="F89" s="17"/>
      <c r="G89" s="17">
        <f>SUM(G71:G88)</f>
        <v>159225</v>
      </c>
      <c r="H89" s="17">
        <f>SUM(H71:H88)</f>
        <v>100</v>
      </c>
      <c r="I89" s="17"/>
      <c r="J89" s="17">
        <f>SUM(J71:J88)</f>
        <v>35856</v>
      </c>
      <c r="K89" s="17">
        <f>SUM(K71:K88)</f>
        <v>100</v>
      </c>
      <c r="L89" s="26"/>
    </row>
    <row r="90" spans="1:12" ht="12.75">
      <c r="A90" s="101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00"/>
    </row>
    <row r="91" spans="1:12" ht="12.75">
      <c r="A91" s="25" t="s">
        <v>36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00"/>
    </row>
    <row r="92" spans="1:12" ht="12.75">
      <c r="A92" s="101" t="s">
        <v>37</v>
      </c>
      <c r="B92" s="13">
        <v>305325</v>
      </c>
      <c r="C92" s="88">
        <f>+B92*100/911221</f>
        <v>33.50723918785893</v>
      </c>
      <c r="D92" s="13">
        <v>589878</v>
      </c>
      <c r="E92" s="88">
        <f>+D92*100/1881340</f>
        <v>31.354141197231762</v>
      </c>
      <c r="F92" s="88">
        <f>+((D92-B92)*100)/B92</f>
        <v>93.19675755342668</v>
      </c>
      <c r="G92" s="13">
        <v>617445</v>
      </c>
      <c r="H92" s="88">
        <f>+G92*100/1422948</f>
        <v>43.391958103880114</v>
      </c>
      <c r="I92" s="88">
        <f>+((G92-D92)*100)/D92</f>
        <v>4.67333923285832</v>
      </c>
      <c r="J92" s="13"/>
      <c r="K92" s="88">
        <f>+J92*100/814058</f>
        <v>0</v>
      </c>
      <c r="L92" s="89">
        <f>+((J92-G92)*100)/G92</f>
        <v>-100</v>
      </c>
    </row>
    <row r="93" spans="1:12" ht="12.75">
      <c r="A93" s="101" t="s">
        <v>38</v>
      </c>
      <c r="B93" s="13">
        <v>0</v>
      </c>
      <c r="C93" s="88">
        <f aca="true" t="shared" si="22" ref="C93:C100">+B93*100/911221</f>
        <v>0</v>
      </c>
      <c r="D93" s="13">
        <v>136243</v>
      </c>
      <c r="E93" s="88">
        <f aca="true" t="shared" si="23" ref="E93:E100">+D93*100/1881340</f>
        <v>7.241806372053961</v>
      </c>
      <c r="F93" s="88">
        <v>0</v>
      </c>
      <c r="G93" s="13">
        <v>129663</v>
      </c>
      <c r="H93" s="88">
        <f aca="true" t="shared" si="24" ref="H93:H100">+G93*100/1422948</f>
        <v>9.112279577328195</v>
      </c>
      <c r="I93" s="88">
        <f>+((G93-D93)*100)/D93</f>
        <v>-4.8296059247080585</v>
      </c>
      <c r="J93" s="13">
        <v>146530</v>
      </c>
      <c r="K93" s="88">
        <f aca="true" t="shared" si="25" ref="K93:K100">+J93*100/814058</f>
        <v>17.99994594979719</v>
      </c>
      <c r="L93" s="89">
        <f>+((J93-G93)*100)/G93</f>
        <v>13.008336996675999</v>
      </c>
    </row>
    <row r="94" spans="1:12" ht="12.75">
      <c r="A94" s="101" t="s">
        <v>39</v>
      </c>
      <c r="B94" s="13">
        <v>0</v>
      </c>
      <c r="C94" s="88">
        <f t="shared" si="22"/>
        <v>0</v>
      </c>
      <c r="D94" s="13">
        <v>431437</v>
      </c>
      <c r="E94" s="88">
        <f t="shared" si="23"/>
        <v>22.932431139506946</v>
      </c>
      <c r="F94" s="88">
        <v>0</v>
      </c>
      <c r="G94" s="13">
        <v>487782</v>
      </c>
      <c r="H94" s="88">
        <f t="shared" si="24"/>
        <v>34.27967852655192</v>
      </c>
      <c r="I94" s="88">
        <f>+((G94-D94)*100)/D94</f>
        <v>13.05984419509685</v>
      </c>
      <c r="J94" s="13">
        <v>667528</v>
      </c>
      <c r="K94" s="88">
        <f t="shared" si="25"/>
        <v>82.0000540502028</v>
      </c>
      <c r="L94" s="89">
        <f>+((J94-G94)*100)/G94</f>
        <v>36.84965824897188</v>
      </c>
    </row>
    <row r="95" spans="1:12" ht="12.75">
      <c r="A95" s="101" t="s">
        <v>40</v>
      </c>
      <c r="B95" s="13">
        <v>35905</v>
      </c>
      <c r="C95" s="88">
        <f t="shared" si="22"/>
        <v>3.9403174422011786</v>
      </c>
      <c r="D95" s="13">
        <v>22198</v>
      </c>
      <c r="E95" s="88">
        <f t="shared" si="23"/>
        <v>1.1799036856708516</v>
      </c>
      <c r="F95" s="88">
        <f>+((D95-B95)*100)/B95</f>
        <v>-38.175741540175466</v>
      </c>
      <c r="G95" s="13"/>
      <c r="H95" s="88">
        <f t="shared" si="24"/>
        <v>0</v>
      </c>
      <c r="I95" s="88">
        <f>+((G95-D95)*100)/D95</f>
        <v>-100</v>
      </c>
      <c r="J95" s="13"/>
      <c r="K95" s="88">
        <f t="shared" si="25"/>
        <v>0</v>
      </c>
      <c r="L95" s="89">
        <v>0</v>
      </c>
    </row>
    <row r="96" spans="1:12" ht="12.75">
      <c r="A96" s="103" t="s">
        <v>41</v>
      </c>
      <c r="B96" s="13"/>
      <c r="C96" s="88">
        <f t="shared" si="22"/>
        <v>0</v>
      </c>
      <c r="D96" s="13"/>
      <c r="E96" s="88">
        <f t="shared" si="23"/>
        <v>0</v>
      </c>
      <c r="F96" s="88">
        <v>0</v>
      </c>
      <c r="G96" s="13">
        <v>94029</v>
      </c>
      <c r="H96" s="88">
        <f t="shared" si="24"/>
        <v>6.608041896119886</v>
      </c>
      <c r="I96" s="88">
        <v>0</v>
      </c>
      <c r="J96" s="13"/>
      <c r="K96" s="88">
        <f t="shared" si="25"/>
        <v>0</v>
      </c>
      <c r="L96" s="89">
        <f>+((J96-G96)*100)/G96</f>
        <v>-100</v>
      </c>
    </row>
    <row r="97" spans="1:12" ht="12.75">
      <c r="A97" s="101" t="s">
        <v>42</v>
      </c>
      <c r="B97" s="13">
        <v>235413</v>
      </c>
      <c r="C97" s="88">
        <f t="shared" si="22"/>
        <v>25.83489625458588</v>
      </c>
      <c r="D97" s="13">
        <v>110176</v>
      </c>
      <c r="E97" s="88">
        <f t="shared" si="23"/>
        <v>5.8562513952820865</v>
      </c>
      <c r="F97" s="88">
        <f>+((D97-B97)*100)/B97</f>
        <v>-53.198846282915554</v>
      </c>
      <c r="G97" s="13">
        <v>19570</v>
      </c>
      <c r="H97" s="88">
        <f t="shared" si="24"/>
        <v>1.3753137851839983</v>
      </c>
      <c r="I97" s="88">
        <f>+((G97-D97)*100)/D97</f>
        <v>-82.23751089166424</v>
      </c>
      <c r="J97" s="13"/>
      <c r="K97" s="88">
        <f t="shared" si="25"/>
        <v>0</v>
      </c>
      <c r="L97" s="89">
        <f>+((J97-G97)*100)/G97</f>
        <v>-100</v>
      </c>
    </row>
    <row r="98" spans="1:12" ht="12.75">
      <c r="A98" s="101" t="s">
        <v>43</v>
      </c>
      <c r="B98" s="13">
        <v>330800</v>
      </c>
      <c r="C98" s="88">
        <f t="shared" si="22"/>
        <v>36.302938584602416</v>
      </c>
      <c r="D98" s="13">
        <v>543408</v>
      </c>
      <c r="E98" s="88">
        <f t="shared" si="23"/>
        <v>28.8840932526816</v>
      </c>
      <c r="F98" s="88">
        <f>+((D98-B98)*100)/B98</f>
        <v>64.2708585247884</v>
      </c>
      <c r="G98" s="13">
        <v>0</v>
      </c>
      <c r="H98" s="88">
        <f t="shared" si="24"/>
        <v>0</v>
      </c>
      <c r="I98" s="88">
        <f>+((G98-D98)*100)/D98</f>
        <v>-100</v>
      </c>
      <c r="J98" s="13"/>
      <c r="K98" s="88">
        <f t="shared" si="25"/>
        <v>0</v>
      </c>
      <c r="L98" s="89">
        <v>0</v>
      </c>
    </row>
    <row r="99" spans="1:12" ht="12.75">
      <c r="A99" s="101" t="s">
        <v>44</v>
      </c>
      <c r="B99" s="13">
        <v>0</v>
      </c>
      <c r="C99" s="88">
        <f t="shared" si="22"/>
        <v>0</v>
      </c>
      <c r="D99" s="13">
        <v>48000</v>
      </c>
      <c r="E99" s="88">
        <f t="shared" si="23"/>
        <v>2.5513729575727937</v>
      </c>
      <c r="F99" s="88">
        <v>0</v>
      </c>
      <c r="G99" s="13">
        <v>18000</v>
      </c>
      <c r="H99" s="88">
        <f t="shared" si="24"/>
        <v>1.2649794651666821</v>
      </c>
      <c r="I99" s="88">
        <f>+((G99-D99)*100)/D99</f>
        <v>-62.5</v>
      </c>
      <c r="J99" s="13"/>
      <c r="K99" s="88">
        <f t="shared" si="25"/>
        <v>0</v>
      </c>
      <c r="L99" s="89">
        <f>+((J99-G99)*100)/G99</f>
        <v>-100</v>
      </c>
    </row>
    <row r="100" spans="1:12" ht="12.75">
      <c r="A100" s="101" t="s">
        <v>45</v>
      </c>
      <c r="B100" s="13">
        <v>3778</v>
      </c>
      <c r="C100" s="88">
        <f t="shared" si="22"/>
        <v>0.4146085307515959</v>
      </c>
      <c r="D100" s="13">
        <v>0</v>
      </c>
      <c r="E100" s="88">
        <f t="shared" si="23"/>
        <v>0</v>
      </c>
      <c r="F100" s="88">
        <f>+((D100-B100)*100)/B100</f>
        <v>-100</v>
      </c>
      <c r="G100" s="13">
        <v>56459</v>
      </c>
      <c r="H100" s="88">
        <f t="shared" si="24"/>
        <v>3.967748645769206</v>
      </c>
      <c r="I100" s="88">
        <v>0</v>
      </c>
      <c r="J100" s="13"/>
      <c r="K100" s="88">
        <f t="shared" si="25"/>
        <v>0</v>
      </c>
      <c r="L100" s="89">
        <f>+((J100-G100)*100)/G100</f>
        <v>-100</v>
      </c>
    </row>
    <row r="101" spans="1:12" ht="12.75">
      <c r="A101" s="25" t="s">
        <v>13</v>
      </c>
      <c r="B101" s="17">
        <f>SUM(B92:B100)</f>
        <v>911221</v>
      </c>
      <c r="C101" s="17">
        <f>SUM(C92:C100)</f>
        <v>100</v>
      </c>
      <c r="D101" s="17">
        <f>SUM(D92:D100)</f>
        <v>1881340</v>
      </c>
      <c r="E101" s="17">
        <f>SUM(E92:E100)</f>
        <v>100</v>
      </c>
      <c r="F101" s="17"/>
      <c r="G101" s="17">
        <f>SUM(G92:G100)</f>
        <v>1422948</v>
      </c>
      <c r="H101" s="17">
        <f>SUM(H92:H100)</f>
        <v>100</v>
      </c>
      <c r="I101" s="17"/>
      <c r="J101" s="17">
        <f>SUM(J93:J100)</f>
        <v>814058</v>
      </c>
      <c r="K101" s="17">
        <f>SUM(K92:K100)</f>
        <v>100</v>
      </c>
      <c r="L101" s="26"/>
    </row>
    <row r="102" spans="1:12" ht="12.75">
      <c r="A102" s="10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00"/>
    </row>
    <row r="103" spans="1:12" ht="12.75">
      <c r="A103" s="25" t="s">
        <v>46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00"/>
    </row>
    <row r="104" spans="1:12" ht="12.75">
      <c r="A104" s="101" t="s">
        <v>47</v>
      </c>
      <c r="B104" s="13">
        <v>194925</v>
      </c>
      <c r="C104" s="88">
        <f>+B104*100/206325</f>
        <v>94.47473645946928</v>
      </c>
      <c r="D104" s="13"/>
      <c r="E104" s="13">
        <f>+D104*100/308547</f>
        <v>0</v>
      </c>
      <c r="F104" s="88">
        <f>+((D104-B104)*100)/B104</f>
        <v>-100</v>
      </c>
      <c r="G104" s="13"/>
      <c r="H104" s="13">
        <f>+G104*100/263685</f>
        <v>0</v>
      </c>
      <c r="I104" s="88">
        <v>0</v>
      </c>
      <c r="J104" s="13"/>
      <c r="K104" s="13">
        <f>+J104*100/10000</f>
        <v>0</v>
      </c>
      <c r="L104" s="89">
        <v>0</v>
      </c>
    </row>
    <row r="105" spans="1:12" ht="12.75">
      <c r="A105" s="101" t="s">
        <v>48</v>
      </c>
      <c r="B105" s="13">
        <v>0</v>
      </c>
      <c r="C105" s="88">
        <f>+B105*100/206325</f>
        <v>0</v>
      </c>
      <c r="D105" s="13">
        <v>42709</v>
      </c>
      <c r="E105" s="88">
        <f>+D105*100/308547</f>
        <v>13.8419754526863</v>
      </c>
      <c r="F105" s="88">
        <v>0</v>
      </c>
      <c r="G105" s="13">
        <v>11371</v>
      </c>
      <c r="H105" s="88">
        <f>+G105*100/263685</f>
        <v>4.3123423782164325</v>
      </c>
      <c r="I105" s="88">
        <f>+((G105-D105)*100)/D105</f>
        <v>-73.37563511203727</v>
      </c>
      <c r="J105" s="13">
        <v>10000</v>
      </c>
      <c r="K105" s="13">
        <f>+J105*100/10000</f>
        <v>100</v>
      </c>
      <c r="L105" s="89">
        <f>+((J105-G105)*100)/G105</f>
        <v>-12.0569870723771</v>
      </c>
    </row>
    <row r="106" spans="1:12" ht="12.75">
      <c r="A106" s="102" t="s">
        <v>49</v>
      </c>
      <c r="B106" s="13">
        <v>11400</v>
      </c>
      <c r="C106" s="88">
        <f>+B106*100/206325</f>
        <v>5.525263540530716</v>
      </c>
      <c r="D106" s="13">
        <v>265838</v>
      </c>
      <c r="E106" s="88">
        <f>+D106*100/308547</f>
        <v>86.1580245473137</v>
      </c>
      <c r="F106" s="88">
        <f>+((D106-B106)*100)/B106</f>
        <v>2231.9122807017543</v>
      </c>
      <c r="G106" s="13">
        <v>252314</v>
      </c>
      <c r="H106" s="88">
        <f>+G106*100/263685</f>
        <v>95.68765762178357</v>
      </c>
      <c r="I106" s="88">
        <f>+((G106-D106)*100)/D106</f>
        <v>-5.087308812133705</v>
      </c>
      <c r="J106" s="13"/>
      <c r="K106" s="13">
        <f>+J106*100/10000</f>
        <v>0</v>
      </c>
      <c r="L106" s="89">
        <f>+((J106-G106)*100)/G106</f>
        <v>-100</v>
      </c>
    </row>
    <row r="107" spans="1:12" ht="12.75">
      <c r="A107" s="104" t="s">
        <v>15</v>
      </c>
      <c r="B107" s="17">
        <f>SUM(B104:B106)</f>
        <v>206325</v>
      </c>
      <c r="C107" s="17">
        <f>SUM(C104:C106)</f>
        <v>100</v>
      </c>
      <c r="D107" s="17">
        <f>SUM(D104:D106)</f>
        <v>308547</v>
      </c>
      <c r="E107" s="17">
        <f>SUM(E104:E106)</f>
        <v>100</v>
      </c>
      <c r="F107" s="17"/>
      <c r="G107" s="17">
        <f>SUM(G105:G106)</f>
        <v>263685</v>
      </c>
      <c r="H107" s="17">
        <f>SUM(H104:H106)</f>
        <v>100</v>
      </c>
      <c r="I107" s="17"/>
      <c r="J107" s="17">
        <f>SUM(J104:J106)</f>
        <v>10000</v>
      </c>
      <c r="K107" s="17">
        <f>SUM(K104:K106)</f>
        <v>100</v>
      </c>
      <c r="L107" s="26"/>
    </row>
    <row r="108" spans="1:12" ht="12.75">
      <c r="A108" s="102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00"/>
    </row>
    <row r="109" spans="1:12" ht="12.75">
      <c r="A109" s="25" t="s">
        <v>50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00"/>
    </row>
    <row r="110" spans="1:12" ht="12.75">
      <c r="A110" s="101" t="s">
        <v>51</v>
      </c>
      <c r="B110" s="13">
        <v>21100</v>
      </c>
      <c r="C110" s="13"/>
      <c r="D110" s="13">
        <v>0</v>
      </c>
      <c r="E110" s="13"/>
      <c r="F110" s="13"/>
      <c r="G110" s="13">
        <v>0</v>
      </c>
      <c r="H110" s="13"/>
      <c r="I110" s="13"/>
      <c r="J110" s="13"/>
      <c r="K110" s="13"/>
      <c r="L110" s="100"/>
    </row>
    <row r="111" spans="1:12" ht="12.75">
      <c r="A111" s="101" t="s">
        <v>52</v>
      </c>
      <c r="B111" s="13">
        <v>133</v>
      </c>
      <c r="C111" s="13"/>
      <c r="D111" s="13">
        <v>0</v>
      </c>
      <c r="E111" s="13"/>
      <c r="F111" s="13"/>
      <c r="G111" s="13">
        <v>0</v>
      </c>
      <c r="H111" s="13"/>
      <c r="I111" s="13"/>
      <c r="J111" s="13"/>
      <c r="K111" s="13"/>
      <c r="L111" s="100"/>
    </row>
    <row r="112" spans="1:12" ht="12.75">
      <c r="A112" s="25" t="s">
        <v>17</v>
      </c>
      <c r="B112" s="17">
        <f>SUM(B110:B111)</f>
        <v>21233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00"/>
    </row>
    <row r="113" spans="1:12" ht="12.75">
      <c r="A113" s="10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00"/>
    </row>
    <row r="114" spans="1:12" ht="12.75">
      <c r="A114" s="25" t="s">
        <v>53</v>
      </c>
      <c r="B114" s="13">
        <v>0</v>
      </c>
      <c r="C114" s="13"/>
      <c r="D114" s="13">
        <v>0</v>
      </c>
      <c r="E114" s="13"/>
      <c r="F114" s="13"/>
      <c r="G114" s="13">
        <v>0</v>
      </c>
      <c r="H114" s="13"/>
      <c r="I114" s="13"/>
      <c r="J114" s="13"/>
      <c r="K114" s="13"/>
      <c r="L114" s="100"/>
    </row>
    <row r="115" spans="1:12" ht="13.5" thickBot="1">
      <c r="A115" s="105" t="s">
        <v>54</v>
      </c>
      <c r="B115" s="106">
        <f>+B112+B107+B101+B89</f>
        <v>1258065.1</v>
      </c>
      <c r="C115" s="107"/>
      <c r="D115" s="106">
        <f>+D112+D107+D101+D89</f>
        <v>2582433</v>
      </c>
      <c r="E115" s="108">
        <f>+((D115-B115)/B115)*100</f>
        <v>105.27022011817988</v>
      </c>
      <c r="F115" s="107"/>
      <c r="G115" s="106">
        <f>+G112+G107+G101+G89</f>
        <v>1845858</v>
      </c>
      <c r="H115" s="108">
        <f>+((G115-D115)/D115)*100</f>
        <v>-28.522521203841496</v>
      </c>
      <c r="I115" s="107"/>
      <c r="J115" s="106">
        <f>+J112+J107+J101+J89</f>
        <v>859914</v>
      </c>
      <c r="K115" s="108">
        <f>+((J115-G115)/G115)*100</f>
        <v>-53.413859570996244</v>
      </c>
      <c r="L115" s="109"/>
    </row>
    <row r="116" ht="12.75">
      <c r="A116" s="9" t="s">
        <v>55</v>
      </c>
    </row>
  </sheetData>
  <mergeCells count="2">
    <mergeCell ref="A1:L1"/>
    <mergeCell ref="A4:L4"/>
  </mergeCells>
  <printOptions horizontalCentered="1" verticalCentered="1"/>
  <pageMargins left="1.1811023622047245" right="1.1811023622047245" top="1.1811023622047245" bottom="0.984251968503937" header="0" footer="0"/>
  <pageSetup fitToHeight="1" fitToWidth="1" horizontalDpi="300" verticalDpi="3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50" zoomScaleNormal="50" workbookViewId="0" topLeftCell="A22">
      <selection activeCell="A1" sqref="A1:L54"/>
    </sheetView>
  </sheetViews>
  <sheetFormatPr defaultColWidth="11.421875" defaultRowHeight="12.75"/>
  <cols>
    <col min="1" max="1" width="34.57421875" style="0" customWidth="1"/>
    <col min="2" max="2" width="11.57421875" style="0" bestFit="1" customWidth="1"/>
    <col min="3" max="3" width="8.7109375" style="0" customWidth="1"/>
    <col min="4" max="4" width="12.421875" style="0" bestFit="1" customWidth="1"/>
    <col min="5" max="5" width="8.7109375" style="0" customWidth="1"/>
    <col min="6" max="6" width="12.00390625" style="0" customWidth="1"/>
    <col min="7" max="7" width="11.57421875" style="0" bestFit="1" customWidth="1"/>
    <col min="8" max="8" width="8.7109375" style="0" customWidth="1"/>
    <col min="9" max="9" width="12.8515625" style="0" customWidth="1"/>
    <col min="10" max="10" width="11.57421875" style="0" bestFit="1" customWidth="1"/>
    <col min="11" max="11" width="15.00390625" style="0" customWidth="1"/>
    <col min="12" max="12" width="22.8515625" style="0" customWidth="1"/>
  </cols>
  <sheetData>
    <row r="1" spans="1:12" ht="15.75">
      <c r="A1" s="186" t="s">
        <v>183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>
      <c r="A3" s="14"/>
      <c r="B3" s="14"/>
      <c r="C3" s="14"/>
      <c r="D3" s="67" t="s">
        <v>56</v>
      </c>
      <c r="E3" s="67"/>
      <c r="F3" s="67"/>
      <c r="G3" s="14"/>
      <c r="H3" s="14"/>
      <c r="I3" s="14"/>
      <c r="J3" s="14"/>
      <c r="K3" s="14"/>
      <c r="L3" s="14"/>
    </row>
    <row r="4" spans="1:12" ht="12.75">
      <c r="A4" s="14"/>
      <c r="B4" s="14"/>
      <c r="C4" s="14"/>
      <c r="D4" s="67" t="s">
        <v>3</v>
      </c>
      <c r="E4" s="67"/>
      <c r="F4" s="67"/>
      <c r="G4" s="14"/>
      <c r="H4" s="14"/>
      <c r="I4" s="14"/>
      <c r="J4" s="14"/>
      <c r="K4" s="14"/>
      <c r="L4" s="14"/>
    </row>
    <row r="5" spans="1:12" ht="14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3" ht="36">
      <c r="A6" s="183"/>
      <c r="B6" s="184">
        <v>1996</v>
      </c>
      <c r="C6" s="184" t="s">
        <v>7</v>
      </c>
      <c r="D6" s="184">
        <v>1997</v>
      </c>
      <c r="E6" s="184" t="s">
        <v>7</v>
      </c>
      <c r="F6" s="183" t="s">
        <v>180</v>
      </c>
      <c r="G6" s="184">
        <v>1998</v>
      </c>
      <c r="H6" s="184" t="s">
        <v>7</v>
      </c>
      <c r="I6" s="183" t="s">
        <v>180</v>
      </c>
      <c r="J6" s="184">
        <v>1999</v>
      </c>
      <c r="K6" s="184" t="s">
        <v>7</v>
      </c>
      <c r="L6" s="183" t="s">
        <v>180</v>
      </c>
      <c r="M6" s="10"/>
    </row>
    <row r="7" spans="1:12" ht="15">
      <c r="A7" s="178" t="s">
        <v>57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4.25">
      <c r="A8" s="16" t="s">
        <v>58</v>
      </c>
      <c r="B8" s="16">
        <v>66534</v>
      </c>
      <c r="C8" s="32">
        <f>+B8*100/159198</f>
        <v>41.793238608525236</v>
      </c>
      <c r="D8" s="16">
        <v>84137</v>
      </c>
      <c r="E8" s="32">
        <f>+D8*100/202376</f>
        <v>41.57459382535478</v>
      </c>
      <c r="F8" s="32">
        <f>+((D8-B8)*100)/B8</f>
        <v>26.457149727958637</v>
      </c>
      <c r="G8" s="16">
        <v>144084</v>
      </c>
      <c r="H8" s="32">
        <f>+G8*100/250967</f>
        <v>57.41153219347564</v>
      </c>
      <c r="I8" s="32">
        <f>+((G8-D8)*100)/D8</f>
        <v>71.24927202063301</v>
      </c>
      <c r="J8" s="16">
        <v>123339</v>
      </c>
      <c r="K8" s="32">
        <f>+J8*100/192307</f>
        <v>64.13651089143922</v>
      </c>
      <c r="L8" s="32">
        <f>+((J8-G8)*100)/G8</f>
        <v>-14.397851253435496</v>
      </c>
    </row>
    <row r="9" spans="1:12" ht="14.25">
      <c r="A9" s="16" t="s">
        <v>59</v>
      </c>
      <c r="B9" s="16">
        <v>74103</v>
      </c>
      <c r="C9" s="32">
        <f>+B9*100/159198</f>
        <v>46.547695322805566</v>
      </c>
      <c r="D9" s="16">
        <v>70099</v>
      </c>
      <c r="E9" s="32">
        <f>+D9*100/202376</f>
        <v>34.63800055342531</v>
      </c>
      <c r="F9" s="32">
        <f>+((D9-B9)*100)/B9</f>
        <v>-5.403290015249045</v>
      </c>
      <c r="G9" s="16">
        <v>69684</v>
      </c>
      <c r="H9" s="32">
        <f>+G9*100/250967</f>
        <v>27.766200337096112</v>
      </c>
      <c r="I9" s="32">
        <f>+((G9-D9)*100)/D9</f>
        <v>-0.5920198576299234</v>
      </c>
      <c r="J9" s="16">
        <v>24532</v>
      </c>
      <c r="K9" s="32">
        <f>+J9*100/192307</f>
        <v>12.756685924069327</v>
      </c>
      <c r="L9" s="32">
        <f>+((J9-G9)*100)/G9</f>
        <v>-64.79536191952242</v>
      </c>
    </row>
    <row r="10" spans="1:12" ht="14.25">
      <c r="A10" s="16" t="s">
        <v>60</v>
      </c>
      <c r="B10" s="16">
        <v>18561</v>
      </c>
      <c r="C10" s="32">
        <f>+B10*100/159198</f>
        <v>11.659066068669205</v>
      </c>
      <c r="D10" s="16">
        <v>48140</v>
      </c>
      <c r="E10" s="32">
        <f>+D10*100/202376</f>
        <v>23.787405621219907</v>
      </c>
      <c r="F10" s="32">
        <f>+((D10-B10)*100)/B10</f>
        <v>159.3610258067992</v>
      </c>
      <c r="G10" s="16">
        <v>37199</v>
      </c>
      <c r="H10" s="32">
        <f>+G10*100/250967</f>
        <v>14.822267469428251</v>
      </c>
      <c r="I10" s="32">
        <f>+((G10-D10)*100)/D10</f>
        <v>-22.72746157041961</v>
      </c>
      <c r="J10" s="16">
        <v>44436</v>
      </c>
      <c r="K10" s="32">
        <f>+J10*100/192307</f>
        <v>23.106803184491465</v>
      </c>
      <c r="L10" s="32">
        <f>+((J10-G10)*100)/G10</f>
        <v>19.454824054410064</v>
      </c>
    </row>
    <row r="11" spans="1:12" ht="14.25">
      <c r="A11" s="16" t="s">
        <v>61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>
      <c r="A12" s="178" t="s">
        <v>62</v>
      </c>
      <c r="B12" s="16">
        <f>SUM(B8:B11)</f>
        <v>159198</v>
      </c>
      <c r="C12" s="32">
        <f>SUM(C8:C11)</f>
        <v>100</v>
      </c>
      <c r="D12" s="16">
        <f>SUM(D8:D11)</f>
        <v>202376</v>
      </c>
      <c r="E12" s="32">
        <f>SUM(E8:E11)</f>
        <v>100</v>
      </c>
      <c r="F12" s="32">
        <f>+((D12-B12)*100)/B12</f>
        <v>27.122200027638538</v>
      </c>
      <c r="G12" s="16">
        <f>SUM(G8:G11)</f>
        <v>250967</v>
      </c>
      <c r="H12" s="32">
        <f>SUM(H8:H11)</f>
        <v>100</v>
      </c>
      <c r="I12" s="32">
        <f>+((G12-D12)*100)/D12</f>
        <v>24.010258133375498</v>
      </c>
      <c r="J12" s="16">
        <f>SUM(J8:J11)</f>
        <v>192307</v>
      </c>
      <c r="K12" s="32">
        <f>SUM(K8:K11)</f>
        <v>100.00000000000001</v>
      </c>
      <c r="L12" s="32">
        <f>+((J12-G12)*100)/G12</f>
        <v>-23.37359095020461</v>
      </c>
    </row>
    <row r="13" spans="1:12" ht="15">
      <c r="A13" s="178"/>
      <c r="B13" s="16"/>
      <c r="C13" s="16"/>
      <c r="D13" s="16"/>
      <c r="E13" s="16"/>
      <c r="F13" s="32"/>
      <c r="G13" s="16"/>
      <c r="H13" s="16"/>
      <c r="I13" s="16"/>
      <c r="J13" s="16"/>
      <c r="K13" s="16"/>
      <c r="L13" s="16"/>
    </row>
    <row r="14" spans="1:12" ht="14.25">
      <c r="A14" s="16" t="s">
        <v>63</v>
      </c>
      <c r="B14" s="16">
        <v>12000</v>
      </c>
      <c r="C14" s="16">
        <f>+B14*100/12000</f>
        <v>100</v>
      </c>
      <c r="D14" s="16">
        <v>3051</v>
      </c>
      <c r="E14" s="16">
        <f>+D14*100/3051</f>
        <v>100</v>
      </c>
      <c r="F14" s="32">
        <f>+((D14-B14)*100)/B14</f>
        <v>-74.575</v>
      </c>
      <c r="G14" s="16">
        <v>0</v>
      </c>
      <c r="H14" s="16"/>
      <c r="I14" s="16"/>
      <c r="J14" s="16">
        <v>0</v>
      </c>
      <c r="K14" s="16"/>
      <c r="L14" s="16"/>
    </row>
    <row r="15" spans="1:12" ht="15">
      <c r="A15" s="178" t="s">
        <v>64</v>
      </c>
      <c r="B15" s="16">
        <f>SUM(B14)</f>
        <v>12000</v>
      </c>
      <c r="C15" s="16">
        <f>SUM(C14)</f>
        <v>100</v>
      </c>
      <c r="D15" s="16">
        <f>SUM(D14)</f>
        <v>3051</v>
      </c>
      <c r="E15" s="16">
        <f>SUM(E14)</f>
        <v>100</v>
      </c>
      <c r="F15" s="16"/>
      <c r="G15" s="16"/>
      <c r="H15" s="16"/>
      <c r="I15" s="16"/>
      <c r="J15" s="16"/>
      <c r="K15" s="16"/>
      <c r="L15" s="16"/>
    </row>
    <row r="16" spans="1:12" ht="15">
      <c r="A16" s="17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4.25">
      <c r="A17" s="16" t="s">
        <v>65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4.25">
      <c r="A18" s="16" t="s">
        <v>66</v>
      </c>
      <c r="B18" s="16">
        <v>280193</v>
      </c>
      <c r="C18" s="32">
        <f>+B18*100/557471</f>
        <v>50.26144857759417</v>
      </c>
      <c r="D18" s="16">
        <v>1176690</v>
      </c>
      <c r="E18" s="32">
        <f>+D18*100/1690002</f>
        <v>69.62654482065702</v>
      </c>
      <c r="F18" s="32">
        <f>+((D18-B18)*100)/B18</f>
        <v>319.9569582394992</v>
      </c>
      <c r="G18" s="16">
        <v>131664</v>
      </c>
      <c r="H18" s="32">
        <f>+G18*100/401543</f>
        <v>32.789514448016774</v>
      </c>
      <c r="I18" s="32">
        <f>+((G18-D18)*100)/D18</f>
        <v>-88.81064681436912</v>
      </c>
      <c r="J18" s="16">
        <v>305018</v>
      </c>
      <c r="K18" s="32">
        <f>+J18*100/687528</f>
        <v>44.36444770249357</v>
      </c>
      <c r="L18" s="32">
        <f>+((J18-G18)*100)/G18</f>
        <v>131.6639324340746</v>
      </c>
    </row>
    <row r="19" spans="1:12" ht="14.25">
      <c r="A19" s="16" t="s">
        <v>67</v>
      </c>
      <c r="B19" s="16">
        <v>277278</v>
      </c>
      <c r="C19" s="32">
        <f>+B19*100/557471</f>
        <v>49.73855142240583</v>
      </c>
      <c r="D19" s="16">
        <v>513312</v>
      </c>
      <c r="E19" s="32">
        <f>+D19*100/1690002</f>
        <v>30.373455179342983</v>
      </c>
      <c r="F19" s="32">
        <f>+((D19-B19)*100)/B19</f>
        <v>85.1253976153896</v>
      </c>
      <c r="G19" s="16">
        <v>269879</v>
      </c>
      <c r="H19" s="32">
        <f>+G19*100/401543</f>
        <v>67.21048555198323</v>
      </c>
      <c r="I19" s="32">
        <f>+((G19-D19)*100)/D19</f>
        <v>-47.42398385387445</v>
      </c>
      <c r="J19" s="16">
        <v>382510</v>
      </c>
      <c r="K19" s="32">
        <f>+J19*100/J20</f>
        <v>55.63555229750643</v>
      </c>
      <c r="L19" s="32">
        <f>+((J19-G19)*100)/G19</f>
        <v>41.73388814987457</v>
      </c>
    </row>
    <row r="20" spans="1:12" ht="15">
      <c r="A20" s="178" t="s">
        <v>68</v>
      </c>
      <c r="B20" s="16">
        <f>SUM(B18:B19)</f>
        <v>557471</v>
      </c>
      <c r="C20" s="32">
        <f>SUM(C18:C19)</f>
        <v>100</v>
      </c>
      <c r="D20" s="16">
        <f>SUM(D18:D19)</f>
        <v>1690002</v>
      </c>
      <c r="E20" s="32">
        <f>SUM(E18:E19)</f>
        <v>100</v>
      </c>
      <c r="F20" s="32">
        <f>+((D20-B20)*100)/B20</f>
        <v>203.15514170243833</v>
      </c>
      <c r="G20" s="16">
        <f>SUM(G18:G19)</f>
        <v>401543</v>
      </c>
      <c r="H20" s="32">
        <f>SUM(H18:H19)</f>
        <v>100</v>
      </c>
      <c r="I20" s="32">
        <f>+((G20-D20)*100)/D20</f>
        <v>-76.24008728983753</v>
      </c>
      <c r="J20" s="16">
        <f>SUM(J18:J19)</f>
        <v>687528</v>
      </c>
      <c r="K20" s="32">
        <f>SUM(K18:K19)</f>
        <v>100</v>
      </c>
      <c r="L20" s="32">
        <f>+((J20-G20)*100)/G20</f>
        <v>71.22151301355024</v>
      </c>
    </row>
    <row r="21" spans="1:12" ht="15">
      <c r="A21" s="17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78" t="s">
        <v>69</v>
      </c>
      <c r="B22" s="178">
        <f>+B20+B15+B12</f>
        <v>728669</v>
      </c>
      <c r="C22" s="16"/>
      <c r="D22" s="178">
        <f>+D20+D15+D12</f>
        <v>1895429</v>
      </c>
      <c r="E22" s="16"/>
      <c r="F22" s="16">
        <v>160.12208561088778</v>
      </c>
      <c r="G22" s="178">
        <f>+G20+G15+G12</f>
        <v>652510</v>
      </c>
      <c r="H22" s="16"/>
      <c r="I22" s="32">
        <f>+((G22-D22)/D22)*100</f>
        <v>-65.57454803107899</v>
      </c>
      <c r="J22" s="178">
        <f>+J20+J15+J12</f>
        <v>879835</v>
      </c>
      <c r="K22" s="16"/>
      <c r="L22" s="16">
        <f>+((J22-G22)/G22)*100</f>
        <v>34.838546535685275</v>
      </c>
    </row>
    <row r="23" spans="1:12" ht="15">
      <c r="A23" s="179"/>
      <c r="B23" s="179"/>
      <c r="C23" s="180"/>
      <c r="D23" s="179"/>
      <c r="E23" s="180"/>
      <c r="F23" s="180"/>
      <c r="G23" s="179"/>
      <c r="H23" s="180"/>
      <c r="I23" s="180"/>
      <c r="J23" s="179"/>
      <c r="K23" s="180"/>
      <c r="L23" s="180"/>
    </row>
    <row r="24" spans="1:12" ht="15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</row>
    <row r="25" spans="1:12" ht="15">
      <c r="A25" s="179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</row>
    <row r="26" spans="1:12" ht="15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</row>
    <row r="27" spans="1:12" ht="15">
      <c r="A27" s="179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</row>
    <row r="28" spans="1:12" ht="15">
      <c r="A28" s="179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  <row r="29" spans="1:12" ht="15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</row>
    <row r="30" spans="6:12" ht="19.5" customHeight="1">
      <c r="F30" s="180"/>
      <c r="G30" s="180"/>
      <c r="H30" s="180"/>
      <c r="I30" s="180"/>
      <c r="J30" s="180"/>
      <c r="K30" s="180"/>
      <c r="L30" s="180"/>
    </row>
    <row r="31" spans="6:12" ht="19.5" customHeight="1">
      <c r="F31" s="180"/>
      <c r="G31" s="180"/>
      <c r="H31" s="180"/>
      <c r="I31" s="180"/>
      <c r="J31" s="180"/>
      <c r="K31" s="180"/>
      <c r="L31" s="180"/>
    </row>
    <row r="32" spans="6:12" ht="19.5" customHeight="1">
      <c r="F32" s="180"/>
      <c r="G32" s="180"/>
      <c r="H32" s="180"/>
      <c r="I32" s="180"/>
      <c r="J32" s="180"/>
      <c r="K32" s="180"/>
      <c r="L32" s="180"/>
    </row>
    <row r="33" spans="6:12" ht="19.5" customHeight="1">
      <c r="F33" s="180"/>
      <c r="G33" s="180"/>
      <c r="H33" s="180"/>
      <c r="I33" s="180"/>
      <c r="J33" s="180"/>
      <c r="K33" s="180"/>
      <c r="L33" s="180"/>
    </row>
    <row r="34" spans="6:12" ht="19.5" customHeight="1">
      <c r="F34" s="180"/>
      <c r="G34" s="180"/>
      <c r="H34" s="180"/>
      <c r="I34" s="180"/>
      <c r="J34" s="180"/>
      <c r="K34" s="180"/>
      <c r="L34" s="180"/>
    </row>
    <row r="35" spans="1:12" ht="14.2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1:5" ht="19.5" customHeight="1">
      <c r="A36" s="16"/>
      <c r="B36" s="181">
        <v>1996</v>
      </c>
      <c r="C36" s="181">
        <v>1997</v>
      </c>
      <c r="D36" s="181">
        <v>1998</v>
      </c>
      <c r="E36" s="181">
        <v>1999</v>
      </c>
    </row>
    <row r="37" spans="1:5" ht="19.5" customHeight="1">
      <c r="A37" s="178" t="s">
        <v>57</v>
      </c>
      <c r="B37" s="16">
        <v>159198</v>
      </c>
      <c r="C37" s="16">
        <v>202376</v>
      </c>
      <c r="D37" s="16">
        <v>250967</v>
      </c>
      <c r="E37" s="16">
        <v>192307</v>
      </c>
    </row>
    <row r="38" spans="1:5" ht="19.5" customHeight="1">
      <c r="A38" s="178" t="s">
        <v>70</v>
      </c>
      <c r="B38" s="16">
        <v>12000</v>
      </c>
      <c r="C38" s="16">
        <v>3051</v>
      </c>
      <c r="D38" s="16">
        <v>0</v>
      </c>
      <c r="E38" s="16">
        <v>0</v>
      </c>
    </row>
    <row r="39" spans="1:5" ht="19.5" customHeight="1">
      <c r="A39" s="178" t="s">
        <v>71</v>
      </c>
      <c r="B39" s="16">
        <v>280193</v>
      </c>
      <c r="C39" s="16">
        <v>1176690</v>
      </c>
      <c r="D39" s="16">
        <v>131664</v>
      </c>
      <c r="E39" s="16">
        <v>305018</v>
      </c>
    </row>
    <row r="40" spans="1:5" ht="19.5" customHeight="1">
      <c r="A40" s="178" t="s">
        <v>72</v>
      </c>
      <c r="B40" s="16">
        <v>277278</v>
      </c>
      <c r="C40" s="16">
        <v>513312</v>
      </c>
      <c r="D40" s="16">
        <v>269879</v>
      </c>
      <c r="E40" s="16">
        <v>382510</v>
      </c>
    </row>
  </sheetData>
  <mergeCells count="1">
    <mergeCell ref="A1:L1"/>
  </mergeCells>
  <printOptions horizontalCentered="1" verticalCentered="1"/>
  <pageMargins left="1.1811023622047245" right="1.1811023622047245" top="1.1811023622047245" bottom="0.984251968503937" header="0" footer="0"/>
  <pageSetup fitToHeight="1" fitToWidth="1" horizontalDpi="300" verticalDpi="3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65"/>
  <sheetViews>
    <sheetView zoomScale="50" zoomScaleNormal="50" workbookViewId="0" topLeftCell="A36">
      <selection activeCell="F66" sqref="F66"/>
    </sheetView>
  </sheetViews>
  <sheetFormatPr defaultColWidth="11.421875" defaultRowHeight="12.75"/>
  <cols>
    <col min="1" max="1" width="28.7109375" style="0" customWidth="1"/>
    <col min="2" max="3" width="10.7109375" style="0" customWidth="1"/>
    <col min="4" max="4" width="11.28125" style="0" customWidth="1"/>
    <col min="5" max="5" width="10.28125" style="0" customWidth="1"/>
    <col min="6" max="6" width="10.421875" style="0" customWidth="1"/>
    <col min="7" max="7" width="9.7109375" style="0" customWidth="1"/>
    <col min="8" max="8" width="10.140625" style="0" customWidth="1"/>
    <col min="9" max="9" width="10.7109375" style="0" customWidth="1"/>
    <col min="10" max="10" width="10.140625" style="0" customWidth="1"/>
    <col min="11" max="11" width="11.28125" style="0" customWidth="1"/>
    <col min="12" max="12" width="10.421875" style="0" customWidth="1"/>
    <col min="13" max="13" width="11.57421875" style="0" customWidth="1"/>
    <col min="14" max="14" width="16.140625" style="1" customWidth="1"/>
  </cols>
  <sheetData>
    <row r="2" spans="1:14" ht="15.75">
      <c r="A2" s="186" t="s">
        <v>73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5" spans="1:37" ht="26.25" customHeight="1">
      <c r="A5" s="187" t="s">
        <v>74</v>
      </c>
      <c r="B5" s="167" t="s">
        <v>75</v>
      </c>
      <c r="C5" s="168"/>
      <c r="D5" s="169"/>
      <c r="E5" s="167" t="s">
        <v>76</v>
      </c>
      <c r="F5" s="168"/>
      <c r="G5" s="169"/>
      <c r="H5" s="167" t="s">
        <v>77</v>
      </c>
      <c r="I5" s="168"/>
      <c r="J5" s="169"/>
      <c r="K5" s="167" t="s">
        <v>78</v>
      </c>
      <c r="L5" s="168"/>
      <c r="M5" s="169"/>
      <c r="N5" s="166" t="s">
        <v>79</v>
      </c>
      <c r="AG5" s="2" t="s">
        <v>80</v>
      </c>
      <c r="AH5">
        <v>181771</v>
      </c>
      <c r="AJ5" s="2" t="s">
        <v>80</v>
      </c>
      <c r="AK5">
        <v>181771</v>
      </c>
    </row>
    <row r="6" spans="1:37" ht="15.75">
      <c r="A6" s="188"/>
      <c r="B6" s="171">
        <v>1996</v>
      </c>
      <c r="C6" s="171">
        <v>1997</v>
      </c>
      <c r="D6" s="171">
        <v>1998</v>
      </c>
      <c r="E6" s="171">
        <v>1996</v>
      </c>
      <c r="F6" s="171">
        <v>1997</v>
      </c>
      <c r="G6" s="171">
        <v>1998</v>
      </c>
      <c r="H6" s="171">
        <v>1996</v>
      </c>
      <c r="I6" s="171">
        <v>1997</v>
      </c>
      <c r="J6" s="171">
        <v>1998</v>
      </c>
      <c r="K6" s="171">
        <v>1996</v>
      </c>
      <c r="L6" s="171">
        <v>1997</v>
      </c>
      <c r="M6" s="171">
        <v>1998</v>
      </c>
      <c r="N6" s="170"/>
      <c r="AG6" s="2" t="s">
        <v>81</v>
      </c>
      <c r="AH6">
        <v>940630</v>
      </c>
      <c r="AJ6" s="2" t="s">
        <v>81</v>
      </c>
      <c r="AK6">
        <v>401074</v>
      </c>
    </row>
    <row r="7" spans="1:37" ht="15.75">
      <c r="A7" s="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AG7" s="2" t="s">
        <v>82</v>
      </c>
      <c r="AH7">
        <v>346871</v>
      </c>
      <c r="AJ7" s="2" t="s">
        <v>82</v>
      </c>
      <c r="AK7">
        <v>346871</v>
      </c>
    </row>
    <row r="8" spans="1:37" ht="15.75">
      <c r="A8" s="2" t="s">
        <v>80</v>
      </c>
      <c r="B8" s="4">
        <v>13575</v>
      </c>
      <c r="C8" s="4">
        <v>46294</v>
      </c>
      <c r="D8" s="4">
        <v>32883</v>
      </c>
      <c r="E8" s="3"/>
      <c r="F8" s="4">
        <v>15871</v>
      </c>
      <c r="G8" s="3"/>
      <c r="H8" s="4">
        <v>23745</v>
      </c>
      <c r="I8" s="4">
        <v>4939</v>
      </c>
      <c r="J8" s="3"/>
      <c r="K8" s="4">
        <v>14224</v>
      </c>
      <c r="L8" s="4">
        <v>17740</v>
      </c>
      <c r="M8" s="4">
        <v>12500</v>
      </c>
      <c r="N8" s="172">
        <f>+M8+L8+K8+I8+H8+F8+D8+C8+B8</f>
        <v>181771</v>
      </c>
      <c r="AG8" s="2" t="s">
        <v>83</v>
      </c>
      <c r="AH8">
        <v>153252</v>
      </c>
      <c r="AJ8" s="2" t="s">
        <v>83</v>
      </c>
      <c r="AK8">
        <v>153252</v>
      </c>
    </row>
    <row r="9" spans="1:37" ht="11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"/>
      <c r="AG9" s="2" t="s">
        <v>84</v>
      </c>
      <c r="AH9">
        <v>600</v>
      </c>
      <c r="AJ9" s="2" t="s">
        <v>84</v>
      </c>
      <c r="AK9">
        <v>600</v>
      </c>
    </row>
    <row r="10" spans="1:37" ht="15.75">
      <c r="A10" s="2" t="s">
        <v>81</v>
      </c>
      <c r="B10" s="4">
        <v>19369</v>
      </c>
      <c r="C10" s="4">
        <v>108000</v>
      </c>
      <c r="D10" s="4">
        <v>31066</v>
      </c>
      <c r="E10" s="3"/>
      <c r="F10" s="4">
        <v>5000</v>
      </c>
      <c r="G10" s="3"/>
      <c r="H10" s="3"/>
      <c r="I10" s="4">
        <v>301190</v>
      </c>
      <c r="J10" s="4">
        <v>15155</v>
      </c>
      <c r="K10" s="4">
        <v>38725</v>
      </c>
      <c r="L10" s="4">
        <v>238366</v>
      </c>
      <c r="M10" s="4">
        <v>183759</v>
      </c>
      <c r="N10" s="172">
        <f>+M10+L10+K10+J10+I10+F10+D10+C10+B10</f>
        <v>940630</v>
      </c>
      <c r="AG10" s="2" t="s">
        <v>85</v>
      </c>
      <c r="AH10">
        <v>14177</v>
      </c>
      <c r="AJ10" s="2" t="s">
        <v>85</v>
      </c>
      <c r="AK10">
        <v>14177</v>
      </c>
    </row>
    <row r="11" spans="1:37" ht="10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"/>
      <c r="AG11" s="2" t="s">
        <v>86</v>
      </c>
      <c r="AH11">
        <v>37030</v>
      </c>
      <c r="AJ11" s="2" t="s">
        <v>86</v>
      </c>
      <c r="AK11">
        <v>37030</v>
      </c>
    </row>
    <row r="12" spans="1:37" ht="15.75">
      <c r="A12" s="2" t="s">
        <v>82</v>
      </c>
      <c r="B12" s="4">
        <v>15527</v>
      </c>
      <c r="C12" s="4">
        <v>28751</v>
      </c>
      <c r="D12" s="4">
        <v>28821</v>
      </c>
      <c r="E12" s="3"/>
      <c r="F12" s="4">
        <v>9720</v>
      </c>
      <c r="G12" s="3"/>
      <c r="H12" s="4">
        <v>38000</v>
      </c>
      <c r="I12" s="4">
        <v>182900</v>
      </c>
      <c r="J12" s="3"/>
      <c r="K12" s="4">
        <v>22152</v>
      </c>
      <c r="L12" s="3"/>
      <c r="M12" s="4">
        <v>21000</v>
      </c>
      <c r="N12" s="172">
        <f>+M12+K12+I12+H12+F12+D12+C12+B12</f>
        <v>346871</v>
      </c>
      <c r="AG12" s="2" t="s">
        <v>87</v>
      </c>
      <c r="AH12">
        <v>4950</v>
      </c>
      <c r="AJ12" s="2" t="s">
        <v>87</v>
      </c>
      <c r="AK12">
        <v>4950</v>
      </c>
    </row>
    <row r="13" spans="1:37" ht="11.2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6"/>
      <c r="AG13" s="2" t="s">
        <v>88</v>
      </c>
      <c r="AH13">
        <v>200</v>
      </c>
      <c r="AJ13" s="2" t="s">
        <v>88</v>
      </c>
      <c r="AK13">
        <v>200</v>
      </c>
    </row>
    <row r="14" spans="1:37" ht="15.75">
      <c r="A14" s="2" t="s">
        <v>83</v>
      </c>
      <c r="B14" s="4">
        <v>12434</v>
      </c>
      <c r="C14" s="4">
        <v>32523</v>
      </c>
      <c r="D14" s="4">
        <v>24228</v>
      </c>
      <c r="E14" s="3"/>
      <c r="F14" s="4">
        <v>4585</v>
      </c>
      <c r="G14" s="3"/>
      <c r="H14" s="4">
        <v>2100</v>
      </c>
      <c r="I14" s="4">
        <v>23916</v>
      </c>
      <c r="J14" s="3"/>
      <c r="K14" s="4">
        <v>23677</v>
      </c>
      <c r="L14" s="4">
        <v>15686</v>
      </c>
      <c r="M14" s="4">
        <v>14103</v>
      </c>
      <c r="N14" s="172">
        <f>+M14+L14+K14+I14+H14+F14+D14+C14+B14</f>
        <v>153252</v>
      </c>
      <c r="AG14" s="2" t="s">
        <v>89</v>
      </c>
      <c r="AH14">
        <v>29844</v>
      </c>
      <c r="AJ14" s="2" t="s">
        <v>89</v>
      </c>
      <c r="AK14">
        <v>29844</v>
      </c>
    </row>
    <row r="15" spans="1:37" ht="10.5" customHeight="1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  <c r="AG15" s="2" t="s">
        <v>90</v>
      </c>
      <c r="AH15">
        <v>21538</v>
      </c>
      <c r="AJ15" s="2" t="s">
        <v>90</v>
      </c>
      <c r="AK15">
        <v>21538</v>
      </c>
    </row>
    <row r="16" spans="1:36" ht="15.75">
      <c r="A16" s="2" t="s">
        <v>91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6"/>
      <c r="AG16" s="2" t="s">
        <v>92</v>
      </c>
      <c r="AJ16" s="2" t="s">
        <v>92</v>
      </c>
    </row>
    <row r="17" spans="1:36" ht="5.2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6"/>
      <c r="AG17" s="2" t="s">
        <v>93</v>
      </c>
      <c r="AJ17" s="2" t="s">
        <v>93</v>
      </c>
    </row>
    <row r="18" spans="1:37" ht="15.75">
      <c r="A18" s="2" t="s">
        <v>84</v>
      </c>
      <c r="B18" s="3">
        <v>600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73">
        <v>600</v>
      </c>
      <c r="AG18" s="2" t="s">
        <v>94</v>
      </c>
      <c r="AH18">
        <v>6599</v>
      </c>
      <c r="AJ18" s="2" t="s">
        <v>94</v>
      </c>
      <c r="AK18">
        <v>6599</v>
      </c>
    </row>
    <row r="19" spans="1:37" ht="15.75">
      <c r="A19" s="2" t="s">
        <v>85</v>
      </c>
      <c r="B19" s="4">
        <v>5437</v>
      </c>
      <c r="C19" s="3"/>
      <c r="D19" s="4">
        <v>5253</v>
      </c>
      <c r="E19" s="3"/>
      <c r="F19" s="3"/>
      <c r="G19" s="3"/>
      <c r="H19" s="3"/>
      <c r="I19" s="3"/>
      <c r="J19" s="3"/>
      <c r="K19" s="4">
        <v>3487</v>
      </c>
      <c r="L19" s="3"/>
      <c r="M19" s="3"/>
      <c r="N19" s="172">
        <f>+K19+D19+B19</f>
        <v>14177</v>
      </c>
      <c r="AG19" s="2" t="s">
        <v>95</v>
      </c>
      <c r="AH19">
        <v>950</v>
      </c>
      <c r="AJ19" s="2" t="s">
        <v>95</v>
      </c>
      <c r="AK19">
        <v>950</v>
      </c>
    </row>
    <row r="20" spans="1:37" ht="15.75">
      <c r="A20" s="2" t="s">
        <v>86</v>
      </c>
      <c r="B20" s="4">
        <v>6000</v>
      </c>
      <c r="C20" s="4">
        <v>9287</v>
      </c>
      <c r="D20" s="4">
        <v>8463</v>
      </c>
      <c r="E20" s="3"/>
      <c r="F20" s="3"/>
      <c r="G20" s="3"/>
      <c r="H20" s="3"/>
      <c r="I20" s="3"/>
      <c r="J20" s="3"/>
      <c r="K20" s="4">
        <v>7814</v>
      </c>
      <c r="L20" s="4">
        <v>5466</v>
      </c>
      <c r="M20" s="3"/>
      <c r="N20" s="172">
        <f>+L20+K20+D20+C20+B20</f>
        <v>37030</v>
      </c>
      <c r="AG20" s="2" t="s">
        <v>96</v>
      </c>
      <c r="AH20">
        <v>34310</v>
      </c>
      <c r="AJ20" s="2" t="s">
        <v>96</v>
      </c>
      <c r="AK20">
        <v>34310</v>
      </c>
    </row>
    <row r="21" spans="1:37" ht="15.75">
      <c r="A21" s="2" t="s">
        <v>87</v>
      </c>
      <c r="B21" s="4">
        <v>4950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72">
        <v>4950</v>
      </c>
      <c r="AG21" s="2" t="s">
        <v>97</v>
      </c>
      <c r="AH21">
        <v>104752</v>
      </c>
      <c r="AJ21" s="2" t="s">
        <v>97</v>
      </c>
      <c r="AK21">
        <v>104752</v>
      </c>
    </row>
    <row r="22" spans="1:14" ht="15.75">
      <c r="A22" s="2" t="s">
        <v>88</v>
      </c>
      <c r="B22" s="3"/>
      <c r="C22" s="3"/>
      <c r="D22" s="3"/>
      <c r="E22" s="3"/>
      <c r="F22" s="3"/>
      <c r="G22" s="3"/>
      <c r="H22" s="3"/>
      <c r="I22" s="3"/>
      <c r="J22" s="3"/>
      <c r="K22" s="3">
        <v>200</v>
      </c>
      <c r="L22" s="3"/>
      <c r="M22" s="3"/>
      <c r="N22" s="173">
        <v>200</v>
      </c>
    </row>
    <row r="23" spans="1:14" ht="15.75">
      <c r="A23" s="2" t="s">
        <v>89</v>
      </c>
      <c r="B23" s="3"/>
      <c r="C23" s="3"/>
      <c r="D23" s="3"/>
      <c r="E23" s="3"/>
      <c r="F23" s="4">
        <v>29844</v>
      </c>
      <c r="G23" s="3"/>
      <c r="H23" s="3"/>
      <c r="I23" s="3"/>
      <c r="J23" s="3"/>
      <c r="K23" s="3"/>
      <c r="L23" s="3"/>
      <c r="M23" s="3"/>
      <c r="N23" s="172">
        <v>29844</v>
      </c>
    </row>
    <row r="24" spans="1:14" ht="15.75">
      <c r="A24" s="2" t="s">
        <v>90</v>
      </c>
      <c r="B24" s="3"/>
      <c r="C24" s="3"/>
      <c r="D24" s="3"/>
      <c r="E24" s="3"/>
      <c r="F24" s="3"/>
      <c r="G24" s="3"/>
      <c r="H24" s="4">
        <v>8000</v>
      </c>
      <c r="I24" s="3"/>
      <c r="J24" s="3"/>
      <c r="K24" s="4">
        <v>13538</v>
      </c>
      <c r="L24" s="3"/>
      <c r="M24" s="3"/>
      <c r="N24" s="172">
        <f>+K24+H24</f>
        <v>21538</v>
      </c>
    </row>
    <row r="25" spans="1:14" ht="15.75">
      <c r="A25" s="2" t="s">
        <v>92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</row>
    <row r="26" spans="1:14" ht="15.75">
      <c r="A26" s="2" t="s">
        <v>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</row>
    <row r="27" spans="1:14" ht="15.75">
      <c r="A27" s="2" t="s">
        <v>94</v>
      </c>
      <c r="B27" s="3"/>
      <c r="C27" s="3"/>
      <c r="D27" s="3"/>
      <c r="E27" s="3"/>
      <c r="F27" s="3"/>
      <c r="G27" s="3"/>
      <c r="H27" s="3"/>
      <c r="I27" s="3"/>
      <c r="J27" s="3"/>
      <c r="K27" s="4">
        <v>6599</v>
      </c>
      <c r="L27" s="3"/>
      <c r="M27" s="3"/>
      <c r="N27" s="172">
        <v>6599</v>
      </c>
    </row>
    <row r="28" spans="1:14" ht="15.75">
      <c r="A28" s="2" t="s">
        <v>95</v>
      </c>
      <c r="B28" s="3"/>
      <c r="C28" s="3"/>
      <c r="D28" s="3">
        <v>950</v>
      </c>
      <c r="E28" s="3"/>
      <c r="F28" s="3"/>
      <c r="G28" s="3"/>
      <c r="H28" s="3"/>
      <c r="I28" s="3"/>
      <c r="J28" s="3"/>
      <c r="K28" s="3"/>
      <c r="L28" s="3"/>
      <c r="M28" s="3"/>
      <c r="N28" s="173">
        <v>950</v>
      </c>
    </row>
    <row r="29" spans="1:14" ht="15.75">
      <c r="A29" s="2" t="s">
        <v>96</v>
      </c>
      <c r="B29" s="3"/>
      <c r="C29" s="4">
        <v>16890</v>
      </c>
      <c r="D29" s="3"/>
      <c r="E29" s="3"/>
      <c r="F29" s="4">
        <v>8900</v>
      </c>
      <c r="G29" s="3"/>
      <c r="H29" s="3"/>
      <c r="I29" s="4">
        <v>8520</v>
      </c>
      <c r="J29" s="3"/>
      <c r="K29" s="3"/>
      <c r="L29" s="3"/>
      <c r="M29" s="3"/>
      <c r="N29" s="172">
        <f>+I29+F29+C29</f>
        <v>34310</v>
      </c>
    </row>
    <row r="30" spans="1:14" ht="15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</row>
    <row r="31" spans="1:14" ht="15.75">
      <c r="A31" s="2" t="s">
        <v>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4">
        <v>67180</v>
      </c>
      <c r="M31" s="4">
        <v>37545</v>
      </c>
      <c r="N31" s="172">
        <f>+M31+L31</f>
        <v>104725</v>
      </c>
    </row>
    <row r="32" spans="1:14" ht="15.75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pans="1:14" ht="15.75">
      <c r="A33" s="174" t="s">
        <v>79</v>
      </c>
      <c r="B33" s="175">
        <v>77892</v>
      </c>
      <c r="C33" s="175">
        <v>241745</v>
      </c>
      <c r="D33" s="175">
        <v>131664</v>
      </c>
      <c r="E33" s="176"/>
      <c r="F33" s="175">
        <v>73920</v>
      </c>
      <c r="G33" s="176"/>
      <c r="H33" s="175">
        <v>71845</v>
      </c>
      <c r="I33" s="175">
        <v>521465</v>
      </c>
      <c r="J33" s="175">
        <v>15155</v>
      </c>
      <c r="K33" s="175">
        <v>130416</v>
      </c>
      <c r="L33" s="175">
        <v>344438</v>
      </c>
      <c r="M33" s="175">
        <v>268907</v>
      </c>
      <c r="N33" s="175">
        <f>+M33+L33+K33+J33+I33+H33+F33+D33+C33+B33</f>
        <v>1877447</v>
      </c>
    </row>
    <row r="36" ht="18" customHeight="1">
      <c r="N36"/>
    </row>
    <row r="37" ht="18" customHeight="1">
      <c r="N37"/>
    </row>
    <row r="38" ht="18" customHeight="1">
      <c r="N38"/>
    </row>
    <row r="39" ht="18" customHeight="1">
      <c r="N39"/>
    </row>
    <row r="40" ht="18" customHeight="1">
      <c r="N40"/>
    </row>
    <row r="41" ht="18" customHeight="1">
      <c r="N41"/>
    </row>
    <row r="42" ht="18" customHeight="1">
      <c r="N42"/>
    </row>
    <row r="43" ht="18" customHeight="1">
      <c r="N43"/>
    </row>
    <row r="44" ht="18" customHeight="1">
      <c r="N44"/>
    </row>
    <row r="45" ht="18" customHeight="1">
      <c r="N45"/>
    </row>
    <row r="46" ht="18" customHeight="1">
      <c r="N46"/>
    </row>
    <row r="47" ht="18" customHeight="1">
      <c r="N47"/>
    </row>
    <row r="48" ht="18" customHeight="1">
      <c r="N48"/>
    </row>
    <row r="49" ht="18" customHeight="1">
      <c r="N49"/>
    </row>
    <row r="50" ht="18" customHeight="1">
      <c r="N50"/>
    </row>
    <row r="51" ht="18" customHeight="1">
      <c r="N51"/>
    </row>
    <row r="52" ht="18" customHeight="1">
      <c r="N52"/>
    </row>
    <row r="53" ht="18" customHeight="1">
      <c r="N53"/>
    </row>
    <row r="54" ht="18" customHeight="1">
      <c r="N54"/>
    </row>
    <row r="55" ht="18" customHeight="1">
      <c r="N55"/>
    </row>
    <row r="56" ht="18" customHeight="1">
      <c r="N56"/>
    </row>
    <row r="57" ht="18" customHeight="1">
      <c r="N57"/>
    </row>
    <row r="58" ht="18" customHeight="1">
      <c r="N58"/>
    </row>
    <row r="59" spans="8:13" ht="18" customHeight="1">
      <c r="H59" s="1" t="s">
        <v>98</v>
      </c>
      <c r="I59" s="1"/>
      <c r="J59" s="1"/>
      <c r="K59" s="1"/>
      <c r="L59" s="1"/>
      <c r="M59" s="1"/>
    </row>
    <row r="60" spans="8:13" ht="18" customHeight="1">
      <c r="H60" s="1" t="s">
        <v>99</v>
      </c>
      <c r="I60" s="1"/>
      <c r="J60" s="1"/>
      <c r="K60" s="1"/>
      <c r="L60" s="1"/>
      <c r="M60" s="1"/>
    </row>
    <row r="61" spans="8:13" ht="18" customHeight="1">
      <c r="H61" s="1" t="s">
        <v>100</v>
      </c>
      <c r="I61" s="1"/>
      <c r="J61" s="1"/>
      <c r="K61" s="1"/>
      <c r="L61" s="1"/>
      <c r="M61" s="1"/>
    </row>
    <row r="62" spans="8:13" ht="18" customHeight="1">
      <c r="H62" s="1" t="s">
        <v>101</v>
      </c>
      <c r="I62" s="1"/>
      <c r="J62" s="1"/>
      <c r="K62" s="1"/>
      <c r="L62" s="1"/>
      <c r="M62" s="1"/>
    </row>
    <row r="63" spans="8:13" ht="18" customHeight="1">
      <c r="H63" s="1" t="s">
        <v>102</v>
      </c>
      <c r="I63" s="1"/>
      <c r="J63" s="1"/>
      <c r="K63" s="1"/>
      <c r="L63" s="1"/>
      <c r="M63" s="1"/>
    </row>
    <row r="64" spans="8:13" ht="18" customHeight="1">
      <c r="H64" s="1" t="s">
        <v>103</v>
      </c>
      <c r="I64" s="1"/>
      <c r="J64" s="1"/>
      <c r="K64" s="1"/>
      <c r="L64" s="1"/>
      <c r="M64" s="1"/>
    </row>
    <row r="65" ht="18" customHeight="1">
      <c r="N65"/>
    </row>
  </sheetData>
  <mergeCells count="2">
    <mergeCell ref="A2:N2"/>
    <mergeCell ref="A5:A6"/>
  </mergeCells>
  <printOptions horizontalCentered="1" verticalCentered="1"/>
  <pageMargins left="1.1811023622047245" right="1.1811023622047245" top="1.1811023622047245" bottom="0.984251968503937" header="0" footer="0"/>
  <pageSetup horizontalDpi="300" verticalDpi="3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9">
      <selection activeCell="A30" sqref="A30"/>
    </sheetView>
  </sheetViews>
  <sheetFormatPr defaultColWidth="11.421875" defaultRowHeight="12.75"/>
  <cols>
    <col min="1" max="1" width="13.00390625" style="0" customWidth="1"/>
    <col min="2" max="4" width="15.28125" style="0" customWidth="1"/>
  </cols>
  <sheetData>
    <row r="1" spans="1:2" ht="12.75">
      <c r="A1" t="s">
        <v>104</v>
      </c>
      <c r="B1" t="s">
        <v>1</v>
      </c>
    </row>
    <row r="2" ht="12.75">
      <c r="A2" t="s">
        <v>105</v>
      </c>
    </row>
    <row r="3" spans="1:3" ht="12.75">
      <c r="A3" t="s">
        <v>106</v>
      </c>
      <c r="C3">
        <v>100000000</v>
      </c>
    </row>
    <row r="4" spans="1:3" ht="12.75">
      <c r="A4" t="s">
        <v>107</v>
      </c>
      <c r="C4">
        <v>11</v>
      </c>
    </row>
    <row r="5" spans="1:3" ht="12.75">
      <c r="A5" t="s">
        <v>108</v>
      </c>
      <c r="C5">
        <v>1</v>
      </c>
    </row>
    <row r="6" spans="1:3" ht="12.75">
      <c r="A6" t="s">
        <v>109</v>
      </c>
      <c r="C6" s="44">
        <v>0.3</v>
      </c>
    </row>
    <row r="8" spans="1:4" ht="12.75">
      <c r="A8" s="46" t="s">
        <v>110</v>
      </c>
      <c r="B8" s="46" t="s">
        <v>111</v>
      </c>
      <c r="C8" s="46" t="s">
        <v>112</v>
      </c>
      <c r="D8" s="46" t="s">
        <v>79</v>
      </c>
    </row>
    <row r="9" spans="1:4" ht="12.75">
      <c r="A9" s="11">
        <v>1999</v>
      </c>
      <c r="B9" s="11"/>
      <c r="C9" s="45">
        <v>137837838</v>
      </c>
      <c r="D9" s="45">
        <f>+C9</f>
        <v>137837838</v>
      </c>
    </row>
    <row r="10" spans="1:4" ht="12.75">
      <c r="A10" s="11">
        <v>2000</v>
      </c>
      <c r="B10" s="45">
        <v>17000000</v>
      </c>
      <c r="C10" s="45">
        <v>323756757</v>
      </c>
      <c r="D10" s="45">
        <f aca="true" t="shared" si="0" ref="D10:D21">+C10+B10</f>
        <v>340756757</v>
      </c>
    </row>
    <row r="11" spans="1:4" ht="12.75">
      <c r="A11" s="11">
        <v>2001</v>
      </c>
      <c r="B11" s="45">
        <v>44250000</v>
      </c>
      <c r="C11" s="45">
        <v>313804054</v>
      </c>
      <c r="D11" s="45">
        <f t="shared" si="0"/>
        <v>358054054</v>
      </c>
    </row>
    <row r="12" spans="1:4" ht="12.75">
      <c r="A12" s="11">
        <v>2002</v>
      </c>
      <c r="B12" s="45">
        <v>58500000</v>
      </c>
      <c r="C12" s="45">
        <v>298094595</v>
      </c>
      <c r="D12" s="45">
        <f t="shared" si="0"/>
        <v>356594595</v>
      </c>
    </row>
    <row r="13" spans="1:4" ht="12.75">
      <c r="A13" s="11">
        <v>2003</v>
      </c>
      <c r="B13" s="45">
        <v>78500000</v>
      </c>
      <c r="C13" s="45">
        <v>276689189</v>
      </c>
      <c r="D13" s="45">
        <f t="shared" si="0"/>
        <v>355189189</v>
      </c>
    </row>
    <row r="14" spans="1:4" ht="12.75">
      <c r="A14" s="11">
        <v>2004</v>
      </c>
      <c r="B14" s="45">
        <v>94250000</v>
      </c>
      <c r="C14" s="45">
        <v>248939189</v>
      </c>
      <c r="D14" s="45">
        <f t="shared" si="0"/>
        <v>343189189</v>
      </c>
    </row>
    <row r="15" spans="1:4" ht="12.75">
      <c r="A15" s="11">
        <v>2005</v>
      </c>
      <c r="B15" s="45">
        <v>100000000</v>
      </c>
      <c r="C15" s="45">
        <v>217297297</v>
      </c>
      <c r="D15" s="45">
        <f t="shared" si="0"/>
        <v>317297297</v>
      </c>
    </row>
    <row r="16" spans="1:4" ht="12.75">
      <c r="A16" s="11">
        <v>2006</v>
      </c>
      <c r="B16" s="45">
        <v>100000000</v>
      </c>
      <c r="C16" s="45">
        <v>184864865</v>
      </c>
      <c r="D16" s="45">
        <f t="shared" si="0"/>
        <v>284864865</v>
      </c>
    </row>
    <row r="17" spans="1:4" ht="12.75">
      <c r="A17" s="11">
        <v>2007</v>
      </c>
      <c r="B17" s="45">
        <v>104250000</v>
      </c>
      <c r="C17" s="45">
        <v>152290541</v>
      </c>
      <c r="D17" s="45">
        <f t="shared" si="0"/>
        <v>256540541</v>
      </c>
    </row>
    <row r="18" spans="1:4" ht="12.75">
      <c r="A18" s="11">
        <v>2008</v>
      </c>
      <c r="B18" s="45">
        <v>110000000</v>
      </c>
      <c r="C18" s="45">
        <v>117405405</v>
      </c>
      <c r="D18" s="45">
        <f t="shared" si="0"/>
        <v>227405405</v>
      </c>
    </row>
    <row r="19" spans="1:4" ht="12.75">
      <c r="A19" s="11">
        <v>2009</v>
      </c>
      <c r="B19" s="45">
        <v>110000000</v>
      </c>
      <c r="C19" s="45">
        <v>81729730</v>
      </c>
      <c r="D19" s="45">
        <f t="shared" si="0"/>
        <v>191729730</v>
      </c>
    </row>
    <row r="20" spans="1:4" ht="12.75">
      <c r="A20" s="11">
        <v>2010</v>
      </c>
      <c r="B20" s="45">
        <v>114250000</v>
      </c>
      <c r="C20" s="45">
        <v>45912162</v>
      </c>
      <c r="D20" s="45">
        <f t="shared" si="0"/>
        <v>160162162</v>
      </c>
    </row>
    <row r="21" spans="1:4" ht="12.75">
      <c r="A21" s="11">
        <v>2011</v>
      </c>
      <c r="B21" s="45">
        <v>69000000</v>
      </c>
      <c r="C21" s="45">
        <v>9486486</v>
      </c>
      <c r="D21" s="45">
        <f t="shared" si="0"/>
        <v>78486486</v>
      </c>
    </row>
    <row r="22" spans="1:4" ht="12.75">
      <c r="A22" s="11"/>
      <c r="B22" s="11"/>
      <c r="C22" s="11"/>
      <c r="D22" s="11"/>
    </row>
    <row r="23" spans="1:4" ht="12.75">
      <c r="A23" s="11" t="s">
        <v>79</v>
      </c>
      <c r="B23" s="45">
        <f>SUM(B9:B22)</f>
        <v>1000000000</v>
      </c>
      <c r="C23" s="45">
        <f>SUM(C9:C22)</f>
        <v>2408108108</v>
      </c>
      <c r="D23" s="45">
        <f>SUM(D9:D22)</f>
        <v>3408108108</v>
      </c>
    </row>
    <row r="25" ht="12.75">
      <c r="B25">
        <f>+C9/B23</f>
        <v>0.137837838</v>
      </c>
    </row>
    <row r="26" ht="12.75">
      <c r="B26">
        <f>+B25*100</f>
        <v>13.783783799999998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workbookViewId="0" topLeftCell="A1">
      <selection activeCell="A1" sqref="A1:F28"/>
    </sheetView>
  </sheetViews>
  <sheetFormatPr defaultColWidth="11.421875" defaultRowHeight="12.75"/>
  <cols>
    <col min="1" max="1" width="3.421875" style="0" customWidth="1"/>
    <col min="2" max="2" width="30.7109375" style="0" customWidth="1"/>
    <col min="6" max="6" width="12.28125" style="0" customWidth="1"/>
  </cols>
  <sheetData>
    <row r="1" spans="1:6" ht="18">
      <c r="A1" s="189" t="s">
        <v>191</v>
      </c>
      <c r="B1" s="189"/>
      <c r="C1" s="189"/>
      <c r="D1" s="189"/>
      <c r="E1" s="189"/>
      <c r="F1" s="189"/>
    </row>
    <row r="2" spans="1:6" ht="18">
      <c r="A2" s="189" t="s">
        <v>113</v>
      </c>
      <c r="B2" s="189"/>
      <c r="C2" s="189"/>
      <c r="D2" s="189"/>
      <c r="E2" s="189"/>
      <c r="F2" s="189"/>
    </row>
    <row r="3" spans="1:6" ht="18">
      <c r="A3" s="68" t="s">
        <v>114</v>
      </c>
      <c r="B3" s="68"/>
      <c r="C3" s="68"/>
      <c r="D3" s="68"/>
      <c r="E3" s="68"/>
      <c r="F3" s="68"/>
    </row>
    <row r="4" spans="1:6" ht="18">
      <c r="A4" s="62"/>
      <c r="B4" s="62"/>
      <c r="C4" s="62"/>
      <c r="D4" s="62"/>
      <c r="E4" s="62"/>
      <c r="F4" s="62"/>
    </row>
    <row r="5" spans="1:6" ht="18">
      <c r="A5" s="62"/>
      <c r="B5" s="62"/>
      <c r="C5" s="62"/>
      <c r="D5" s="62"/>
      <c r="E5" s="62"/>
      <c r="F5" s="62"/>
    </row>
    <row r="6" spans="1:6" ht="12.75">
      <c r="A6" s="42"/>
      <c r="B6" s="42"/>
      <c r="C6" s="42"/>
      <c r="D6" s="42"/>
      <c r="E6" s="42"/>
      <c r="F6" s="42"/>
    </row>
    <row r="7" spans="1:3" ht="33.75" customHeight="1">
      <c r="A7" s="164"/>
      <c r="B7" s="165" t="s">
        <v>115</v>
      </c>
      <c r="C7" s="165" t="s">
        <v>178</v>
      </c>
    </row>
    <row r="8" spans="1:3" ht="12.75">
      <c r="A8" s="43">
        <v>1</v>
      </c>
      <c r="B8" s="47" t="s">
        <v>116</v>
      </c>
      <c r="C8" s="43">
        <v>24605</v>
      </c>
    </row>
    <row r="9" spans="1:3" ht="22.5">
      <c r="A9" s="43">
        <v>2</v>
      </c>
      <c r="B9" s="47" t="s">
        <v>117</v>
      </c>
      <c r="C9" s="43">
        <v>11251</v>
      </c>
    </row>
    <row r="10" spans="1:3" ht="22.5">
      <c r="A10" s="43">
        <v>3</v>
      </c>
      <c r="B10" s="47" t="s">
        <v>118</v>
      </c>
      <c r="C10" s="43"/>
    </row>
    <row r="11" spans="1:3" ht="12.75">
      <c r="A11" s="43">
        <v>4</v>
      </c>
      <c r="B11" s="47" t="s">
        <v>119</v>
      </c>
      <c r="C11" s="43"/>
    </row>
    <row r="12" spans="1:3" ht="22.5">
      <c r="A12" s="43">
        <v>5</v>
      </c>
      <c r="B12" s="47" t="s">
        <v>120</v>
      </c>
      <c r="C12" s="43">
        <f>146530+667528</f>
        <v>814058</v>
      </c>
    </row>
    <row r="13" spans="1:3" ht="12.75">
      <c r="A13" s="43">
        <v>6</v>
      </c>
      <c r="B13" s="47" t="s">
        <v>121</v>
      </c>
      <c r="C13" s="43"/>
    </row>
    <row r="14" spans="1:3" ht="12.75">
      <c r="A14" s="43">
        <v>7</v>
      </c>
      <c r="B14" s="47" t="s">
        <v>122</v>
      </c>
      <c r="C14" s="43">
        <v>10000</v>
      </c>
    </row>
    <row r="15" spans="1:3" ht="18">
      <c r="A15" s="48" t="s">
        <v>123</v>
      </c>
      <c r="B15" s="49" t="s">
        <v>124</v>
      </c>
      <c r="C15" s="43">
        <f>SUM(C8:C14)</f>
        <v>859914</v>
      </c>
    </row>
    <row r="16" spans="1:3" ht="12.75">
      <c r="A16" s="43">
        <v>8</v>
      </c>
      <c r="B16" s="50" t="s">
        <v>125</v>
      </c>
      <c r="C16" s="43">
        <v>192307</v>
      </c>
    </row>
    <row r="17" spans="1:3" ht="12.75">
      <c r="A17" s="43">
        <v>9</v>
      </c>
      <c r="B17" s="50" t="s">
        <v>70</v>
      </c>
      <c r="C17" s="43">
        <v>1000</v>
      </c>
    </row>
    <row r="18" spans="1:3" ht="22.5">
      <c r="A18" s="51">
        <v>9</v>
      </c>
      <c r="B18" s="50" t="s">
        <v>126</v>
      </c>
      <c r="C18" s="43"/>
    </row>
    <row r="19" spans="1:3" ht="12.75">
      <c r="A19" s="43">
        <v>10</v>
      </c>
      <c r="B19" s="50" t="s">
        <v>127</v>
      </c>
      <c r="C19" s="43">
        <f>25000+5000+23500+41000</f>
        <v>94500</v>
      </c>
    </row>
    <row r="20" spans="1:3" ht="12.75">
      <c r="A20" s="48" t="s">
        <v>128</v>
      </c>
      <c r="B20" s="52" t="s">
        <v>129</v>
      </c>
      <c r="C20" s="43">
        <f>SUM(C16:C19)</f>
        <v>287807</v>
      </c>
    </row>
    <row r="21" spans="1:3" ht="12.75">
      <c r="A21" s="43"/>
      <c r="B21" s="52" t="s">
        <v>130</v>
      </c>
      <c r="C21" s="43">
        <f>+C15-C20</f>
        <v>572107</v>
      </c>
    </row>
    <row r="22" spans="1:3" ht="4.5" customHeight="1">
      <c r="A22" s="53"/>
      <c r="B22" s="54"/>
      <c r="C22" s="53"/>
    </row>
    <row r="23" spans="1:6" ht="33.75">
      <c r="A23" s="11"/>
      <c r="B23" s="55" t="s">
        <v>131</v>
      </c>
      <c r="C23" s="11">
        <v>0</v>
      </c>
      <c r="E23" s="63">
        <f>+C21*0.001</f>
        <v>572.107</v>
      </c>
      <c r="F23" s="63">
        <f>+C21*0.39</f>
        <v>223121.73</v>
      </c>
    </row>
    <row r="24" spans="1:6" ht="22.5">
      <c r="A24" s="11"/>
      <c r="B24" s="55" t="s">
        <v>132</v>
      </c>
      <c r="C24" s="11">
        <v>0</v>
      </c>
      <c r="E24" s="64">
        <f>+C21*0.41</f>
        <v>234563.87</v>
      </c>
      <c r="F24" s="64">
        <f>+C21*0.59</f>
        <v>337543.13</v>
      </c>
    </row>
    <row r="25" spans="1:6" ht="22.5">
      <c r="A25" s="11"/>
      <c r="B25" s="56" t="s">
        <v>133</v>
      </c>
      <c r="C25" s="11">
        <v>0</v>
      </c>
      <c r="E25" s="61" t="s">
        <v>134</v>
      </c>
      <c r="F25" s="60">
        <f>+C21*0.6</f>
        <v>343264.2</v>
      </c>
    </row>
    <row r="26" spans="1:3" ht="22.5">
      <c r="A26" s="11"/>
      <c r="B26" s="55" t="s">
        <v>135</v>
      </c>
      <c r="C26" s="57" t="s">
        <v>136</v>
      </c>
    </row>
    <row r="27" spans="1:3" ht="12.75">
      <c r="A27" s="11"/>
      <c r="B27" s="55" t="s">
        <v>137</v>
      </c>
      <c r="C27" s="59" t="s">
        <v>138</v>
      </c>
    </row>
    <row r="30" ht="12.75">
      <c r="F30" s="58"/>
    </row>
    <row r="33" ht="12.75">
      <c r="E33" s="58"/>
    </row>
  </sheetData>
  <mergeCells count="2">
    <mergeCell ref="A2:F2"/>
    <mergeCell ref="A1:F1"/>
  </mergeCells>
  <printOptions horizontalCentered="1" verticalCentered="1"/>
  <pageMargins left="1.1811023622047245" right="0.984251968503937" top="1.1811023622047245" bottom="1.1811023622047245" header="0" footer="0"/>
  <pageSetup horizontalDpi="300" verticalDpi="300" orientation="portrait" r:id="rId4"/>
  <drawing r:id="rId3"/>
  <legacyDrawing r:id="rId2"/>
  <oleObjects>
    <oleObject progId="MS_ClipArt_Gallery" shapeId="145588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50" zoomScaleNormal="50" workbookViewId="0" topLeftCell="A1">
      <selection activeCell="A2" sqref="A2:J2"/>
    </sheetView>
  </sheetViews>
  <sheetFormatPr defaultColWidth="11.421875" defaultRowHeight="12.75"/>
  <cols>
    <col min="1" max="1" width="38.140625" style="0" customWidth="1"/>
  </cols>
  <sheetData>
    <row r="1" spans="1:10" ht="15">
      <c r="A1" s="190" t="s">
        <v>185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33.75" customHeight="1">
      <c r="A2" s="191" t="s">
        <v>139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2.75">
      <c r="A3" s="80" t="s">
        <v>1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2.75">
      <c r="A4" s="80"/>
      <c r="B4" s="70"/>
      <c r="C4" s="70"/>
      <c r="D4" s="70"/>
      <c r="E4" s="70"/>
      <c r="F4" s="70"/>
      <c r="G4" s="70"/>
      <c r="H4" s="70"/>
      <c r="I4" s="70"/>
      <c r="J4" s="70"/>
    </row>
    <row r="5" spans="1:10" ht="13.5" thickBot="1">
      <c r="A5" s="80"/>
      <c r="B5" s="70"/>
      <c r="C5" s="70"/>
      <c r="D5" s="70"/>
      <c r="E5" s="70"/>
      <c r="F5" s="70"/>
      <c r="G5" s="70"/>
      <c r="H5" s="70"/>
      <c r="I5" s="70"/>
      <c r="J5" s="70"/>
    </row>
    <row r="6" spans="1:10" ht="12.75">
      <c r="A6" s="154" t="s">
        <v>140</v>
      </c>
      <c r="B6" s="155" t="s">
        <v>141</v>
      </c>
      <c r="C6" s="156"/>
      <c r="D6" s="156"/>
      <c r="E6" s="155" t="s">
        <v>142</v>
      </c>
      <c r="F6" s="156"/>
      <c r="G6" s="156"/>
      <c r="H6" s="155" t="s">
        <v>143</v>
      </c>
      <c r="I6" s="156"/>
      <c r="J6" s="157"/>
    </row>
    <row r="7" spans="1:10" ht="13.5" thickBot="1">
      <c r="A7" s="158"/>
      <c r="B7" s="159" t="s">
        <v>144</v>
      </c>
      <c r="C7" s="159" t="s">
        <v>145</v>
      </c>
      <c r="D7" s="160" t="s">
        <v>79</v>
      </c>
      <c r="E7" s="159" t="s">
        <v>144</v>
      </c>
      <c r="F7" s="159" t="s">
        <v>145</v>
      </c>
      <c r="G7" s="160" t="s">
        <v>79</v>
      </c>
      <c r="H7" s="159" t="s">
        <v>144</v>
      </c>
      <c r="I7" s="159" t="s">
        <v>145</v>
      </c>
      <c r="J7" s="161" t="s">
        <v>79</v>
      </c>
    </row>
    <row r="8" spans="1:10" ht="12.75">
      <c r="A8" s="71" t="s">
        <v>146</v>
      </c>
      <c r="B8" s="72"/>
      <c r="C8" s="72">
        <v>2187</v>
      </c>
      <c r="D8" s="72">
        <f>+C8+B8</f>
        <v>2187</v>
      </c>
      <c r="E8" s="72"/>
      <c r="F8" s="72">
        <v>19000</v>
      </c>
      <c r="G8" s="72">
        <f>+F8+E8</f>
        <v>19000</v>
      </c>
      <c r="H8" s="72">
        <v>12500</v>
      </c>
      <c r="I8" s="72"/>
      <c r="J8" s="73">
        <f>+I8+H8</f>
        <v>12500</v>
      </c>
    </row>
    <row r="9" spans="1:10" ht="12.75">
      <c r="A9" s="74" t="s">
        <v>147</v>
      </c>
      <c r="B9" s="11"/>
      <c r="C9" s="11"/>
      <c r="D9" s="11">
        <f aca="true" t="shared" si="0" ref="D9:D24">+C9+B9</f>
        <v>0</v>
      </c>
      <c r="E9" s="11">
        <v>29344</v>
      </c>
      <c r="F9" s="11">
        <v>2000</v>
      </c>
      <c r="G9" s="11">
        <f aca="true" t="shared" si="1" ref="G9:G24">+F9+E9</f>
        <v>31344</v>
      </c>
      <c r="H9" s="11">
        <v>8161</v>
      </c>
      <c r="I9" s="11"/>
      <c r="J9" s="75">
        <v>8161</v>
      </c>
    </row>
    <row r="10" spans="1:10" ht="12.75">
      <c r="A10" s="74" t="s">
        <v>148</v>
      </c>
      <c r="B10" s="11">
        <v>7972</v>
      </c>
      <c r="C10" s="11"/>
      <c r="D10" s="11">
        <f t="shared" si="0"/>
        <v>7972</v>
      </c>
      <c r="E10" s="11"/>
      <c r="F10" s="11"/>
      <c r="G10" s="11">
        <f t="shared" si="1"/>
        <v>0</v>
      </c>
      <c r="H10" s="11"/>
      <c r="I10" s="11"/>
      <c r="J10" s="75"/>
    </row>
    <row r="11" spans="1:10" ht="12.75">
      <c r="A11" s="74" t="s">
        <v>149</v>
      </c>
      <c r="B11" s="11">
        <v>15767</v>
      </c>
      <c r="C11" s="11"/>
      <c r="D11" s="11">
        <f t="shared" si="0"/>
        <v>15767</v>
      </c>
      <c r="E11" s="11">
        <v>14730</v>
      </c>
      <c r="F11" s="11"/>
      <c r="G11" s="11">
        <f t="shared" si="1"/>
        <v>14730</v>
      </c>
      <c r="H11" s="11"/>
      <c r="I11" s="11"/>
      <c r="J11" s="75"/>
    </row>
    <row r="12" spans="1:10" ht="12.75">
      <c r="A12" s="74" t="s">
        <v>150</v>
      </c>
      <c r="B12" s="11"/>
      <c r="C12" s="11"/>
      <c r="D12" s="11">
        <f t="shared" si="0"/>
        <v>0</v>
      </c>
      <c r="E12" s="11"/>
      <c r="F12" s="11"/>
      <c r="G12" s="11">
        <f t="shared" si="1"/>
        <v>0</v>
      </c>
      <c r="H12" s="11"/>
      <c r="I12" s="11"/>
      <c r="J12" s="75"/>
    </row>
    <row r="13" spans="1:10" ht="12.75">
      <c r="A13" s="74" t="s">
        <v>151</v>
      </c>
      <c r="B13" s="11"/>
      <c r="C13" s="11">
        <v>39628</v>
      </c>
      <c r="D13" s="11">
        <f t="shared" si="0"/>
        <v>39628</v>
      </c>
      <c r="E13" s="11"/>
      <c r="F13" s="11">
        <v>21000</v>
      </c>
      <c r="G13" s="11">
        <f t="shared" si="1"/>
        <v>21000</v>
      </c>
      <c r="H13" s="11"/>
      <c r="I13" s="11"/>
      <c r="J13" s="75"/>
    </row>
    <row r="14" spans="1:10" ht="12.75">
      <c r="A14" s="74" t="s">
        <v>152</v>
      </c>
      <c r="B14" s="11"/>
      <c r="C14" s="11">
        <v>16911</v>
      </c>
      <c r="D14" s="11">
        <f t="shared" si="0"/>
        <v>16911</v>
      </c>
      <c r="E14" s="11"/>
      <c r="F14" s="11"/>
      <c r="G14" s="11">
        <f t="shared" si="1"/>
        <v>0</v>
      </c>
      <c r="H14" s="11"/>
      <c r="I14" s="11"/>
      <c r="J14" s="75"/>
    </row>
    <row r="15" spans="1:10" ht="12.75">
      <c r="A15" s="74" t="s">
        <v>153</v>
      </c>
      <c r="B15" s="11"/>
      <c r="C15" s="11"/>
      <c r="D15" s="11">
        <f t="shared" si="0"/>
        <v>0</v>
      </c>
      <c r="E15" s="11"/>
      <c r="F15" s="11"/>
      <c r="G15" s="11">
        <f t="shared" si="1"/>
        <v>0</v>
      </c>
      <c r="H15" s="11"/>
      <c r="I15" s="11"/>
      <c r="J15" s="75"/>
    </row>
    <row r="16" spans="1:10" ht="12.75">
      <c r="A16" s="74" t="s">
        <v>154</v>
      </c>
      <c r="B16" s="11"/>
      <c r="C16" s="11"/>
      <c r="D16" s="11">
        <f t="shared" si="0"/>
        <v>0</v>
      </c>
      <c r="E16" s="11"/>
      <c r="F16" s="11"/>
      <c r="G16" s="11">
        <f t="shared" si="1"/>
        <v>0</v>
      </c>
      <c r="H16" s="11"/>
      <c r="I16" s="11"/>
      <c r="J16" s="75"/>
    </row>
    <row r="17" spans="1:10" ht="12.75">
      <c r="A17" s="74" t="s">
        <v>155</v>
      </c>
      <c r="B17" s="11"/>
      <c r="C17" s="11"/>
      <c r="D17" s="11">
        <f t="shared" si="0"/>
        <v>0</v>
      </c>
      <c r="E17" s="11"/>
      <c r="F17" s="11"/>
      <c r="G17" s="11">
        <f t="shared" si="1"/>
        <v>0</v>
      </c>
      <c r="H17" s="11"/>
      <c r="I17" s="11"/>
      <c r="J17" s="75"/>
    </row>
    <row r="18" spans="1:10" ht="12.75">
      <c r="A18" s="74" t="s">
        <v>156</v>
      </c>
      <c r="B18" s="11">
        <v>9509</v>
      </c>
      <c r="C18" s="11"/>
      <c r="D18" s="11">
        <f t="shared" si="0"/>
        <v>9509</v>
      </c>
      <c r="E18" s="11"/>
      <c r="F18" s="11"/>
      <c r="G18" s="11">
        <f t="shared" si="1"/>
        <v>0</v>
      </c>
      <c r="H18" s="11"/>
      <c r="I18" s="11"/>
      <c r="J18" s="75"/>
    </row>
    <row r="19" spans="1:10" ht="12.75">
      <c r="A19" s="74" t="s">
        <v>157</v>
      </c>
      <c r="B19" s="11"/>
      <c r="C19" s="11"/>
      <c r="D19" s="11">
        <f t="shared" si="0"/>
        <v>0</v>
      </c>
      <c r="E19" s="11"/>
      <c r="F19" s="11"/>
      <c r="G19" s="11">
        <f t="shared" si="1"/>
        <v>0</v>
      </c>
      <c r="H19" s="11"/>
      <c r="I19" s="11"/>
      <c r="J19" s="75"/>
    </row>
    <row r="20" spans="1:10" ht="12.75">
      <c r="A20" s="74" t="s">
        <v>158</v>
      </c>
      <c r="B20" s="11">
        <v>6599</v>
      </c>
      <c r="C20" s="11"/>
      <c r="D20" s="11">
        <f t="shared" si="0"/>
        <v>6599</v>
      </c>
      <c r="E20" s="11"/>
      <c r="F20" s="11"/>
      <c r="G20" s="11">
        <f t="shared" si="1"/>
        <v>0</v>
      </c>
      <c r="H20" s="11"/>
      <c r="I20" s="11"/>
      <c r="J20" s="75"/>
    </row>
    <row r="21" spans="1:10" ht="12.75">
      <c r="A21" s="74" t="s">
        <v>159</v>
      </c>
      <c r="B21" s="11"/>
      <c r="C21" s="11"/>
      <c r="D21" s="11">
        <f t="shared" si="0"/>
        <v>0</v>
      </c>
      <c r="E21" s="11"/>
      <c r="F21" s="11"/>
      <c r="G21" s="11">
        <f t="shared" si="1"/>
        <v>0</v>
      </c>
      <c r="H21" s="11"/>
      <c r="I21" s="11"/>
      <c r="J21" s="75"/>
    </row>
    <row r="22" spans="1:10" ht="12.75">
      <c r="A22" s="74" t="s">
        <v>160</v>
      </c>
      <c r="B22" s="11">
        <v>1911</v>
      </c>
      <c r="C22" s="11"/>
      <c r="D22" s="11">
        <f t="shared" si="0"/>
        <v>1911</v>
      </c>
      <c r="E22" s="11">
        <v>5466</v>
      </c>
      <c r="F22" s="11">
        <v>2332</v>
      </c>
      <c r="G22" s="11">
        <f t="shared" si="1"/>
        <v>7798</v>
      </c>
      <c r="H22" s="11"/>
      <c r="I22" s="11"/>
      <c r="J22" s="75"/>
    </row>
    <row r="23" spans="1:10" ht="12.75">
      <c r="A23" s="74" t="s">
        <v>161</v>
      </c>
      <c r="B23" s="11"/>
      <c r="C23" s="11"/>
      <c r="D23" s="11">
        <f t="shared" si="0"/>
        <v>0</v>
      </c>
      <c r="E23" s="11"/>
      <c r="F23" s="11"/>
      <c r="G23" s="11">
        <f t="shared" si="1"/>
        <v>0</v>
      </c>
      <c r="H23" s="11"/>
      <c r="I23" s="11"/>
      <c r="J23" s="75"/>
    </row>
    <row r="24" spans="1:10" ht="12.75">
      <c r="A24" s="74" t="s">
        <v>162</v>
      </c>
      <c r="B24" s="11"/>
      <c r="C24" s="11"/>
      <c r="D24" s="11">
        <f t="shared" si="0"/>
        <v>0</v>
      </c>
      <c r="E24" s="11"/>
      <c r="F24" s="11"/>
      <c r="G24" s="11">
        <f t="shared" si="1"/>
        <v>0</v>
      </c>
      <c r="H24" s="11">
        <v>37545</v>
      </c>
      <c r="I24" s="11"/>
      <c r="J24" s="75">
        <v>37545</v>
      </c>
    </row>
    <row r="25" spans="1:10" ht="12.75">
      <c r="A25" s="76" t="s">
        <v>79</v>
      </c>
      <c r="B25" s="11">
        <f>SUM(B8:B24)</f>
        <v>41758</v>
      </c>
      <c r="C25" s="11">
        <v>58726</v>
      </c>
      <c r="D25" s="11">
        <f>+C25+B25</f>
        <v>100484</v>
      </c>
      <c r="E25" s="11">
        <f>+C25+B25</f>
        <v>100484</v>
      </c>
      <c r="F25" s="11"/>
      <c r="G25" s="11"/>
      <c r="H25" s="11"/>
      <c r="I25" s="11"/>
      <c r="J25" s="75"/>
    </row>
    <row r="26" spans="1:10" ht="13.5" thickBot="1">
      <c r="A26" s="77"/>
      <c r="B26" s="78"/>
      <c r="C26" s="78"/>
      <c r="D26" s="78"/>
      <c r="E26" s="78"/>
      <c r="F26" s="78"/>
      <c r="G26" s="78"/>
      <c r="H26" s="78"/>
      <c r="I26" s="78"/>
      <c r="J26" s="79"/>
    </row>
    <row r="29" ht="12.75">
      <c r="A29" t="s">
        <v>175</v>
      </c>
    </row>
    <row r="30" ht="12.75">
      <c r="A30" t="s">
        <v>176</v>
      </c>
    </row>
    <row r="33" spans="1:4" ht="12.75">
      <c r="A33" s="162"/>
      <c r="B33" s="162">
        <v>1996</v>
      </c>
      <c r="C33" s="162">
        <v>1997</v>
      </c>
      <c r="D33" s="162">
        <v>1998</v>
      </c>
    </row>
    <row r="34" spans="1:4" ht="12.75">
      <c r="A34" s="81" t="s">
        <v>174</v>
      </c>
      <c r="B34" s="11">
        <v>7972</v>
      </c>
      <c r="C34" s="11">
        <v>0</v>
      </c>
      <c r="D34" s="11">
        <v>0</v>
      </c>
    </row>
    <row r="35" spans="1:4" ht="12.75">
      <c r="A35" s="81" t="s">
        <v>173</v>
      </c>
      <c r="B35" s="11">
        <v>82849</v>
      </c>
      <c r="C35" s="11">
        <v>117280</v>
      </c>
      <c r="D35" s="11">
        <v>96458</v>
      </c>
    </row>
    <row r="36" spans="1:4" ht="12.75">
      <c r="A36" s="163" t="s">
        <v>172</v>
      </c>
      <c r="B36" s="164">
        <f>+B34-B35</f>
        <v>-74877</v>
      </c>
      <c r="C36" s="164">
        <f>+C34-C35</f>
        <v>-117280</v>
      </c>
      <c r="D36" s="164">
        <v>-96458</v>
      </c>
    </row>
    <row r="39" ht="12.75">
      <c r="A39" t="s">
        <v>177</v>
      </c>
    </row>
  </sheetData>
  <mergeCells count="2">
    <mergeCell ref="A1:J1"/>
    <mergeCell ref="A2:J2"/>
  </mergeCells>
  <printOptions horizontalCentered="1" verticalCentered="1"/>
  <pageMargins left="1.1811023622047245" right="1.1811023622047245" top="1.1811023622047245" bottom="0.984251968503937" header="0.5118110236220472" footer="0.5118110236220472"/>
  <pageSetup fitToHeight="1" fitToWidth="1" horizontalDpi="300" verticalDpi="3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38.8515625" style="69" customWidth="1"/>
    <col min="2" max="2" width="9.421875" style="0" customWidth="1"/>
    <col min="4" max="4" width="9.00390625" style="0" customWidth="1"/>
    <col min="5" max="5" width="6.00390625" style="0" customWidth="1"/>
    <col min="6" max="8" width="8.140625" style="0" customWidth="1"/>
    <col min="9" max="9" width="6.421875" style="0" customWidth="1"/>
    <col min="10" max="11" width="8.28125" style="0" customWidth="1"/>
    <col min="12" max="12" width="9.00390625" style="0" customWidth="1"/>
    <col min="13" max="13" width="7.00390625" style="0" customWidth="1"/>
  </cols>
  <sheetData>
    <row r="1" spans="1:13" ht="15">
      <c r="A1" s="190" t="s">
        <v>184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5">
      <c r="A2" s="190" t="s">
        <v>179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</row>
    <row r="4" spans="1:13" ht="12.75">
      <c r="A4" s="195" t="s">
        <v>74</v>
      </c>
      <c r="B4" s="83" t="s">
        <v>141</v>
      </c>
      <c r="C4" s="84"/>
      <c r="D4" s="84"/>
      <c r="E4" s="84"/>
      <c r="F4" s="83" t="s">
        <v>142</v>
      </c>
      <c r="G4" s="84"/>
      <c r="H4" s="84"/>
      <c r="I4" s="84"/>
      <c r="J4" s="192" t="s">
        <v>143</v>
      </c>
      <c r="K4" s="193"/>
      <c r="L4" s="193"/>
      <c r="M4" s="194"/>
    </row>
    <row r="5" spans="1:13" ht="22.5">
      <c r="A5" s="196"/>
      <c r="B5" s="85" t="s">
        <v>144</v>
      </c>
      <c r="C5" s="85" t="s">
        <v>145</v>
      </c>
      <c r="D5" s="85">
        <v>1996</v>
      </c>
      <c r="E5" s="85" t="s">
        <v>7</v>
      </c>
      <c r="F5" s="85" t="s">
        <v>144</v>
      </c>
      <c r="G5" s="85" t="s">
        <v>145</v>
      </c>
      <c r="H5" s="85">
        <v>1997</v>
      </c>
      <c r="I5" s="85" t="s">
        <v>7</v>
      </c>
      <c r="J5" s="86" t="s">
        <v>144</v>
      </c>
      <c r="K5" s="86" t="s">
        <v>145</v>
      </c>
      <c r="L5" s="86">
        <v>1998</v>
      </c>
      <c r="M5" s="87" t="s">
        <v>7</v>
      </c>
    </row>
    <row r="6" spans="1:13" ht="12.75">
      <c r="A6" s="81" t="s">
        <v>146</v>
      </c>
      <c r="B6" s="11">
        <v>51544</v>
      </c>
      <c r="C6" s="11">
        <v>44405</v>
      </c>
      <c r="D6" s="11">
        <f>+C6+B6</f>
        <v>95949</v>
      </c>
      <c r="E6" s="12">
        <f>+D6*100/557411</f>
        <v>17.21333091740206</v>
      </c>
      <c r="F6" s="11">
        <v>84844</v>
      </c>
      <c r="G6" s="11">
        <v>122900</v>
      </c>
      <c r="H6" s="11">
        <f>+G6+F6</f>
        <v>207744</v>
      </c>
      <c r="I6" s="12">
        <f>+H6*100/1691304</f>
        <v>12.28306679343276</v>
      </c>
      <c r="J6" s="11">
        <v>45383</v>
      </c>
      <c r="K6" s="11">
        <v>105993</v>
      </c>
      <c r="L6" s="11">
        <f>+K6+J6</f>
        <v>151376</v>
      </c>
      <c r="M6" s="12">
        <f>+L6*100/760216</f>
        <v>19.912235469919075</v>
      </c>
    </row>
    <row r="7" spans="1:13" ht="12.75">
      <c r="A7" s="81" t="s">
        <v>147</v>
      </c>
      <c r="B7" s="11">
        <v>58094</v>
      </c>
      <c r="C7" s="11">
        <v>55605</v>
      </c>
      <c r="D7" s="11">
        <f aca="true" t="shared" si="0" ref="D7:D22">+C7+B7</f>
        <v>113699</v>
      </c>
      <c r="E7" s="12">
        <f aca="true" t="shared" si="1" ref="E7:E23">+D7*100/557411</f>
        <v>20.39769577564849</v>
      </c>
      <c r="F7" s="11">
        <v>652556</v>
      </c>
      <c r="G7" s="11">
        <v>99782</v>
      </c>
      <c r="H7" s="11">
        <f aca="true" t="shared" si="2" ref="H7:H22">+G7+F7</f>
        <v>752338</v>
      </c>
      <c r="I7" s="12">
        <f aca="true" t="shared" si="3" ref="I7:I23">+H7*100/1691304</f>
        <v>44.48271865968507</v>
      </c>
      <c r="J7" s="11">
        <v>229980</v>
      </c>
      <c r="K7" s="11">
        <v>105284</v>
      </c>
      <c r="L7" s="11">
        <f aca="true" t="shared" si="4" ref="L7:L22">+K7+J7</f>
        <v>335264</v>
      </c>
      <c r="M7" s="12">
        <f aca="true" t="shared" si="5" ref="M7:M23">+L7*100/760216</f>
        <v>44.101150199417006</v>
      </c>
    </row>
    <row r="8" spans="1:13" ht="12.75">
      <c r="A8" s="81" t="s">
        <v>148</v>
      </c>
      <c r="B8" s="11">
        <v>75719</v>
      </c>
      <c r="C8" s="11">
        <v>16892</v>
      </c>
      <c r="D8" s="11">
        <f t="shared" si="0"/>
        <v>92611</v>
      </c>
      <c r="E8" s="12">
        <f t="shared" si="1"/>
        <v>16.614490923214646</v>
      </c>
      <c r="F8" s="11">
        <v>221371</v>
      </c>
      <c r="G8" s="11">
        <v>74431</v>
      </c>
      <c r="H8" s="11">
        <f t="shared" si="2"/>
        <v>295802</v>
      </c>
      <c r="I8" s="12">
        <f t="shared" si="3"/>
        <v>17.48958200299887</v>
      </c>
      <c r="J8" s="11">
        <v>49821</v>
      </c>
      <c r="K8" s="11">
        <v>27259</v>
      </c>
      <c r="L8" s="11">
        <f t="shared" si="4"/>
        <v>77080</v>
      </c>
      <c r="M8" s="12">
        <f t="shared" si="5"/>
        <v>10.139223589085207</v>
      </c>
    </row>
    <row r="9" spans="1:13" ht="12.75">
      <c r="A9" s="81" t="s">
        <v>149</v>
      </c>
      <c r="B9" s="11">
        <v>38211</v>
      </c>
      <c r="C9" s="11">
        <v>886</v>
      </c>
      <c r="D9" s="11">
        <f t="shared" si="0"/>
        <v>39097</v>
      </c>
      <c r="E9" s="12">
        <f t="shared" si="1"/>
        <v>7.014034527485105</v>
      </c>
      <c r="F9" s="11">
        <v>76710</v>
      </c>
      <c r="G9" s="11">
        <v>140</v>
      </c>
      <c r="H9" s="11">
        <f t="shared" si="2"/>
        <v>76850</v>
      </c>
      <c r="I9" s="12">
        <f t="shared" si="3"/>
        <v>4.5438312686542455</v>
      </c>
      <c r="J9" s="11">
        <v>38331</v>
      </c>
      <c r="K9" s="11"/>
      <c r="L9" s="11">
        <f t="shared" si="4"/>
        <v>38331</v>
      </c>
      <c r="M9" s="12">
        <f t="shared" si="5"/>
        <v>5.042119608111379</v>
      </c>
    </row>
    <row r="10" spans="1:13" ht="12.75">
      <c r="A10" s="81" t="s">
        <v>150</v>
      </c>
      <c r="B10" s="11">
        <v>600</v>
      </c>
      <c r="C10" s="11">
        <v>0</v>
      </c>
      <c r="D10" s="11">
        <f t="shared" si="0"/>
        <v>600</v>
      </c>
      <c r="E10" s="12">
        <f t="shared" si="1"/>
        <v>0.1076405022505835</v>
      </c>
      <c r="F10" s="11"/>
      <c r="G10" s="11">
        <v>27210</v>
      </c>
      <c r="H10" s="11">
        <f t="shared" si="2"/>
        <v>27210</v>
      </c>
      <c r="I10" s="12">
        <f t="shared" si="3"/>
        <v>1.6088178115820693</v>
      </c>
      <c r="J10" s="11"/>
      <c r="K10" s="11">
        <v>16100</v>
      </c>
      <c r="L10" s="11">
        <f t="shared" si="4"/>
        <v>16100</v>
      </c>
      <c r="M10" s="12">
        <f t="shared" si="5"/>
        <v>2.1178191461374136</v>
      </c>
    </row>
    <row r="11" spans="1:13" ht="12.75">
      <c r="A11" s="81" t="s">
        <v>151</v>
      </c>
      <c r="B11" s="11">
        <v>8924</v>
      </c>
      <c r="C11" s="11">
        <v>89915</v>
      </c>
      <c r="D11" s="11">
        <f t="shared" si="0"/>
        <v>98839</v>
      </c>
      <c r="E11" s="12">
        <f t="shared" si="1"/>
        <v>17.731799336575705</v>
      </c>
      <c r="F11" s="11"/>
      <c r="G11" s="11">
        <v>131509</v>
      </c>
      <c r="H11" s="11">
        <f t="shared" si="2"/>
        <v>131509</v>
      </c>
      <c r="I11" s="12">
        <f t="shared" si="3"/>
        <v>7.775598000122982</v>
      </c>
      <c r="J11" s="11">
        <v>5253</v>
      </c>
      <c r="K11" s="11">
        <v>54842</v>
      </c>
      <c r="L11" s="11">
        <f t="shared" si="4"/>
        <v>60095</v>
      </c>
      <c r="M11" s="12">
        <f t="shared" si="5"/>
        <v>7.904990160691172</v>
      </c>
    </row>
    <row r="12" spans="1:13" ht="12.75">
      <c r="A12" s="81" t="s">
        <v>152</v>
      </c>
      <c r="B12" s="11">
        <v>4950</v>
      </c>
      <c r="C12" s="11">
        <v>29911</v>
      </c>
      <c r="D12" s="11">
        <f t="shared" si="0"/>
        <v>34861</v>
      </c>
      <c r="E12" s="12">
        <f t="shared" si="1"/>
        <v>6.254092581595986</v>
      </c>
      <c r="F12" s="11"/>
      <c r="G12" s="11"/>
      <c r="H12" s="11">
        <f t="shared" si="2"/>
        <v>0</v>
      </c>
      <c r="I12" s="12"/>
      <c r="J12" s="11"/>
      <c r="K12" s="11"/>
      <c r="L12" s="11">
        <f t="shared" si="4"/>
        <v>0</v>
      </c>
      <c r="M12" s="12"/>
    </row>
    <row r="13" spans="1:13" ht="12.75">
      <c r="A13" s="81" t="s">
        <v>153</v>
      </c>
      <c r="B13" s="11">
        <v>200</v>
      </c>
      <c r="C13" s="11"/>
      <c r="D13" s="11">
        <f t="shared" si="0"/>
        <v>200</v>
      </c>
      <c r="E13" s="12">
        <f t="shared" si="1"/>
        <v>0.03588016741686117</v>
      </c>
      <c r="F13" s="11">
        <v>29844</v>
      </c>
      <c r="G13" s="11"/>
      <c r="H13" s="11">
        <f t="shared" si="2"/>
        <v>29844</v>
      </c>
      <c r="I13" s="12">
        <f t="shared" si="3"/>
        <v>1.7645556328134977</v>
      </c>
      <c r="J13" s="11"/>
      <c r="K13" s="11"/>
      <c r="L13" s="11">
        <f t="shared" si="4"/>
        <v>0</v>
      </c>
      <c r="M13" s="12"/>
    </row>
    <row r="14" spans="1:13" ht="12.75">
      <c r="A14" s="81" t="s">
        <v>154</v>
      </c>
      <c r="B14" s="11"/>
      <c r="C14" s="11"/>
      <c r="D14" s="11">
        <f t="shared" si="0"/>
        <v>0</v>
      </c>
      <c r="E14" s="12"/>
      <c r="F14" s="11"/>
      <c r="G14" s="11"/>
      <c r="H14" s="11">
        <f t="shared" si="2"/>
        <v>0</v>
      </c>
      <c r="I14" s="12"/>
      <c r="J14" s="11"/>
      <c r="K14" s="11"/>
      <c r="L14" s="11">
        <f t="shared" si="4"/>
        <v>0</v>
      </c>
      <c r="M14" s="12"/>
    </row>
    <row r="15" spans="1:13" ht="12.75">
      <c r="A15" s="81" t="s">
        <v>156</v>
      </c>
      <c r="B15" s="11">
        <v>21538</v>
      </c>
      <c r="C15" s="11">
        <v>37576</v>
      </c>
      <c r="D15" s="11">
        <f t="shared" si="0"/>
        <v>59114</v>
      </c>
      <c r="E15" s="12">
        <f t="shared" si="1"/>
        <v>10.605101083401655</v>
      </c>
      <c r="F15" s="11"/>
      <c r="G15" s="11">
        <v>44441</v>
      </c>
      <c r="H15" s="11">
        <f t="shared" si="2"/>
        <v>44441</v>
      </c>
      <c r="I15" s="12">
        <f t="shared" si="3"/>
        <v>2.62761750696504</v>
      </c>
      <c r="J15" s="11"/>
      <c r="K15" s="11">
        <v>34490</v>
      </c>
      <c r="L15" s="11">
        <f t="shared" si="4"/>
        <v>34490</v>
      </c>
      <c r="M15" s="12">
        <f t="shared" si="5"/>
        <v>4.536868468961453</v>
      </c>
    </row>
    <row r="16" spans="1:13" ht="12.75">
      <c r="A16" s="81" t="s">
        <v>155</v>
      </c>
      <c r="B16" s="11"/>
      <c r="C16" s="11"/>
      <c r="D16" s="11">
        <f t="shared" si="0"/>
        <v>0</v>
      </c>
      <c r="E16" s="12"/>
      <c r="F16" s="11"/>
      <c r="G16" s="11"/>
      <c r="H16" s="11">
        <f t="shared" si="2"/>
        <v>0</v>
      </c>
      <c r="I16" s="12"/>
      <c r="J16" s="11"/>
      <c r="K16" s="11"/>
      <c r="L16" s="11">
        <f t="shared" si="4"/>
        <v>0</v>
      </c>
      <c r="M16" s="12"/>
    </row>
    <row r="17" spans="1:13" ht="12.75">
      <c r="A17" s="81" t="s">
        <v>157</v>
      </c>
      <c r="B17" s="11"/>
      <c r="C17" s="11"/>
      <c r="D17" s="11">
        <f t="shared" si="0"/>
        <v>0</v>
      </c>
      <c r="E17" s="12"/>
      <c r="F17" s="11"/>
      <c r="G17" s="11"/>
      <c r="H17" s="11">
        <f t="shared" si="2"/>
        <v>0</v>
      </c>
      <c r="I17" s="12"/>
      <c r="J17" s="11"/>
      <c r="K17" s="11"/>
      <c r="L17" s="11">
        <f t="shared" si="4"/>
        <v>0</v>
      </c>
      <c r="M17" s="12"/>
    </row>
    <row r="18" spans="1:13" ht="12.75">
      <c r="A18" s="81" t="s">
        <v>158</v>
      </c>
      <c r="B18" s="11">
        <v>6599</v>
      </c>
      <c r="C18" s="11"/>
      <c r="D18" s="11">
        <f t="shared" si="0"/>
        <v>6599</v>
      </c>
      <c r="E18" s="12">
        <f t="shared" si="1"/>
        <v>1.1838661239193342</v>
      </c>
      <c r="F18" s="11"/>
      <c r="G18" s="11"/>
      <c r="H18" s="11">
        <f t="shared" si="2"/>
        <v>0</v>
      </c>
      <c r="I18" s="12"/>
      <c r="J18" s="11"/>
      <c r="K18" s="11"/>
      <c r="L18" s="11">
        <f t="shared" si="4"/>
        <v>0</v>
      </c>
      <c r="M18" s="12"/>
    </row>
    <row r="19" spans="1:13" ht="12.75">
      <c r="A19" s="81" t="s">
        <v>159</v>
      </c>
      <c r="B19" s="11"/>
      <c r="C19" s="11">
        <v>2028</v>
      </c>
      <c r="D19" s="11">
        <f t="shared" si="0"/>
        <v>2028</v>
      </c>
      <c r="E19" s="12">
        <f t="shared" si="1"/>
        <v>0.36382489760697223</v>
      </c>
      <c r="F19" s="11"/>
      <c r="G19" s="11">
        <v>6569</v>
      </c>
      <c r="H19" s="11">
        <f t="shared" si="2"/>
        <v>6569</v>
      </c>
      <c r="I19" s="12">
        <f t="shared" si="3"/>
        <v>0.3883985374598535</v>
      </c>
      <c r="J19" s="11">
        <v>950</v>
      </c>
      <c r="K19" s="11">
        <v>214</v>
      </c>
      <c r="L19" s="11">
        <f t="shared" si="4"/>
        <v>1164</v>
      </c>
      <c r="M19" s="12">
        <f t="shared" si="5"/>
        <v>0.15311437801887884</v>
      </c>
    </row>
    <row r="20" spans="1:13" ht="12.75">
      <c r="A20" s="81" t="s">
        <v>160</v>
      </c>
      <c r="B20" s="11">
        <v>13814</v>
      </c>
      <c r="C20" s="11"/>
      <c r="D20" s="11">
        <f t="shared" si="0"/>
        <v>13814</v>
      </c>
      <c r="E20" s="12">
        <f t="shared" si="1"/>
        <v>2.4782431634826008</v>
      </c>
      <c r="F20" s="11">
        <v>14774</v>
      </c>
      <c r="G20" s="11">
        <v>3632</v>
      </c>
      <c r="H20" s="11">
        <f t="shared" si="2"/>
        <v>18406</v>
      </c>
      <c r="I20" s="12">
        <f t="shared" si="3"/>
        <v>1.088272717382564</v>
      </c>
      <c r="J20" s="11">
        <v>8463</v>
      </c>
      <c r="K20" s="11">
        <v>308</v>
      </c>
      <c r="L20" s="11">
        <f t="shared" si="4"/>
        <v>8771</v>
      </c>
      <c r="M20" s="12">
        <f t="shared" si="5"/>
        <v>1.1537510391783388</v>
      </c>
    </row>
    <row r="21" spans="1:13" ht="12.75">
      <c r="A21" s="81" t="s">
        <v>161</v>
      </c>
      <c r="B21" s="11"/>
      <c r="C21" s="11"/>
      <c r="D21" s="11">
        <f t="shared" si="0"/>
        <v>0</v>
      </c>
      <c r="E21" s="12"/>
      <c r="F21" s="11"/>
      <c r="G21" s="11"/>
      <c r="H21" s="11">
        <f t="shared" si="2"/>
        <v>0</v>
      </c>
      <c r="I21" s="12"/>
      <c r="J21" s="11"/>
      <c r="K21" s="11"/>
      <c r="L21" s="11">
        <f t="shared" si="4"/>
        <v>0</v>
      </c>
      <c r="M21" s="12"/>
    </row>
    <row r="22" spans="1:13" ht="12.75">
      <c r="A22" s="81" t="s">
        <v>162</v>
      </c>
      <c r="B22" s="11"/>
      <c r="C22" s="11"/>
      <c r="D22" s="11">
        <f t="shared" si="0"/>
        <v>0</v>
      </c>
      <c r="E22" s="12"/>
      <c r="F22" s="11">
        <f>65698+33411+1482</f>
        <v>100591</v>
      </c>
      <c r="G22" s="11"/>
      <c r="H22" s="11">
        <f t="shared" si="2"/>
        <v>100591</v>
      </c>
      <c r="I22" s="12">
        <f t="shared" si="3"/>
        <v>5.947541068903048</v>
      </c>
      <c r="J22" s="11">
        <v>37545</v>
      </c>
      <c r="K22" s="11"/>
      <c r="L22" s="11">
        <f t="shared" si="4"/>
        <v>37545</v>
      </c>
      <c r="M22" s="12">
        <f t="shared" si="5"/>
        <v>4.938727940480074</v>
      </c>
    </row>
    <row r="23" spans="1:13" ht="12.75">
      <c r="A23" s="81" t="s">
        <v>79</v>
      </c>
      <c r="B23" s="11"/>
      <c r="C23" s="11"/>
      <c r="D23" s="82">
        <f>SUM(D6:D22)</f>
        <v>557411</v>
      </c>
      <c r="E23" s="11">
        <f t="shared" si="1"/>
        <v>100</v>
      </c>
      <c r="F23" s="11"/>
      <c r="G23" s="11"/>
      <c r="H23" s="82">
        <f>SUM(H6:H22)</f>
        <v>1691304</v>
      </c>
      <c r="I23" s="11">
        <f t="shared" si="3"/>
        <v>100</v>
      </c>
      <c r="J23" s="11"/>
      <c r="K23" s="11"/>
      <c r="L23" s="82">
        <f>SUM(L6:L22)</f>
        <v>760216</v>
      </c>
      <c r="M23" s="11">
        <f t="shared" si="5"/>
        <v>100</v>
      </c>
    </row>
    <row r="24" ht="12.75">
      <c r="A24" s="69" t="s">
        <v>171</v>
      </c>
    </row>
  </sheetData>
  <mergeCells count="4">
    <mergeCell ref="J4:M4"/>
    <mergeCell ref="A1:M1"/>
    <mergeCell ref="A2:M2"/>
    <mergeCell ref="A4:A5"/>
  </mergeCells>
  <printOptions horizontalCentered="1" verticalCentered="1"/>
  <pageMargins left="1.1811023622047245" right="1.1811023622047245" top="1.1811023622047245" bottom="0.984251968503937" header="0.5118110236220472" footer="0.5118110236220472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zoomScale="50" zoomScaleNormal="50" workbookViewId="0" topLeftCell="A56">
      <selection activeCell="A57" sqref="A57:X68"/>
    </sheetView>
  </sheetViews>
  <sheetFormatPr defaultColWidth="11.421875" defaultRowHeight="12.75"/>
  <cols>
    <col min="1" max="1" width="41.00390625" style="134" customWidth="1"/>
    <col min="2" max="2" width="8.00390625" style="134" hidden="1" customWidth="1"/>
    <col min="3" max="3" width="5.7109375" style="134" hidden="1" customWidth="1"/>
    <col min="4" max="4" width="7.7109375" style="134" hidden="1" customWidth="1"/>
    <col min="5" max="5" width="7.140625" style="134" hidden="1" customWidth="1"/>
    <col min="6" max="6" width="8.00390625" style="134" hidden="1" customWidth="1"/>
    <col min="7" max="7" width="7.8515625" style="134" hidden="1" customWidth="1"/>
    <col min="8" max="8" width="5.7109375" style="134" hidden="1" customWidth="1"/>
    <col min="9" max="9" width="9.28125" style="134" hidden="1" customWidth="1"/>
    <col min="10" max="10" width="8.00390625" style="134" hidden="1" customWidth="1"/>
    <col min="11" max="11" width="6.421875" style="134" hidden="1" customWidth="1"/>
    <col min="12" max="12" width="8.140625" style="134" hidden="1" customWidth="1"/>
    <col min="13" max="13" width="14.7109375" style="134" hidden="1" customWidth="1"/>
    <col min="14" max="24" width="14.7109375" style="134" customWidth="1"/>
  </cols>
  <sheetData>
    <row r="1" spans="1:24" ht="15">
      <c r="A1" s="190" t="s">
        <v>186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</row>
    <row r="2" spans="1:24" ht="1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</row>
    <row r="3" spans="1:24" ht="15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ht="15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</row>
    <row r="5" ht="15" thickBot="1"/>
    <row r="6" spans="1:24" s="132" customFormat="1" ht="30">
      <c r="A6" s="135" t="s">
        <v>6</v>
      </c>
      <c r="B6" s="136">
        <v>1996</v>
      </c>
      <c r="C6" s="136" t="s">
        <v>7</v>
      </c>
      <c r="D6" s="136">
        <v>1997</v>
      </c>
      <c r="E6" s="136" t="s">
        <v>7</v>
      </c>
      <c r="F6" s="136" t="s">
        <v>163</v>
      </c>
      <c r="G6" s="137">
        <v>1998</v>
      </c>
      <c r="H6" s="137" t="s">
        <v>7</v>
      </c>
      <c r="I6" s="136" t="s">
        <v>163</v>
      </c>
      <c r="J6" s="137">
        <v>1999</v>
      </c>
      <c r="K6" s="137" t="s">
        <v>7</v>
      </c>
      <c r="L6" s="138" t="s">
        <v>164</v>
      </c>
      <c r="M6" s="139" t="s">
        <v>165</v>
      </c>
      <c r="N6" s="136">
        <v>2000</v>
      </c>
      <c r="O6" s="136">
        <v>2001</v>
      </c>
      <c r="P6" s="136">
        <v>2002</v>
      </c>
      <c r="Q6" s="136">
        <v>2003</v>
      </c>
      <c r="R6" s="136">
        <v>2004</v>
      </c>
      <c r="S6" s="137">
        <v>2005</v>
      </c>
      <c r="T6" s="137">
        <v>2006</v>
      </c>
      <c r="U6" s="136">
        <v>2007</v>
      </c>
      <c r="V6" s="137">
        <v>2008</v>
      </c>
      <c r="W6" s="137">
        <v>2009</v>
      </c>
      <c r="X6" s="137">
        <v>2010</v>
      </c>
    </row>
    <row r="7" spans="1:24" ht="15">
      <c r="A7" s="33"/>
      <c r="B7" s="31"/>
      <c r="C7" s="31"/>
      <c r="D7" s="31"/>
      <c r="E7" s="31"/>
      <c r="F7" s="31"/>
      <c r="G7" s="30"/>
      <c r="H7" s="30"/>
      <c r="I7" s="31"/>
      <c r="J7" s="30"/>
      <c r="K7" s="16"/>
      <c r="L7" s="140"/>
      <c r="M7" s="141"/>
      <c r="N7" s="142"/>
      <c r="O7" s="142"/>
      <c r="P7" s="142"/>
      <c r="Q7" s="142"/>
      <c r="R7" s="142"/>
      <c r="S7" s="143"/>
      <c r="T7" s="143"/>
      <c r="U7" s="142"/>
      <c r="V7" s="143"/>
      <c r="W7" s="16"/>
      <c r="X7" s="16"/>
    </row>
    <row r="8" spans="1:24" ht="15">
      <c r="A8" s="144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24"/>
      <c r="M8" s="145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>
      <c r="A9" s="144" t="s">
        <v>116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4"/>
      <c r="M9" s="14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14.25">
      <c r="A10" s="34" t="s">
        <v>12</v>
      </c>
      <c r="B10" s="16">
        <v>7345</v>
      </c>
      <c r="C10" s="32">
        <f>+B10*100/119286</f>
        <v>6.157470281508307</v>
      </c>
      <c r="D10" s="16">
        <v>9571</v>
      </c>
      <c r="E10" s="32">
        <f>+D10*100/392546</f>
        <v>2.4381855884405903</v>
      </c>
      <c r="F10" s="32">
        <f>+((D10-B10)*100)/B10</f>
        <v>30.306330837304287</v>
      </c>
      <c r="G10" s="16">
        <v>8060</v>
      </c>
      <c r="H10" s="32">
        <f>+G10*100/159225</f>
        <v>5.062019155283404</v>
      </c>
      <c r="I10" s="32">
        <f>+((G10-D10)*100)/G10</f>
        <v>-18.746898263027294</v>
      </c>
      <c r="J10" s="16">
        <v>12000</v>
      </c>
      <c r="K10" s="32">
        <f>+J10*100/35856</f>
        <v>33.467202141900934</v>
      </c>
      <c r="L10" s="35">
        <f>+((J10-G10)*100)/J10</f>
        <v>32.833333333333336</v>
      </c>
      <c r="M10" s="146">
        <v>0.09</v>
      </c>
      <c r="N10" s="32">
        <f>+J10*(1+M10)</f>
        <v>13080.000000000002</v>
      </c>
      <c r="O10" s="32">
        <f>+N10*(1+M10)</f>
        <v>14257.200000000003</v>
      </c>
      <c r="P10" s="32">
        <f>+O10*(1+M10)</f>
        <v>15540.348000000004</v>
      </c>
      <c r="Q10" s="32">
        <f>+P10*(1+M10)</f>
        <v>16938.979320000006</v>
      </c>
      <c r="R10" s="32">
        <f>+Q10*(1+M10)</f>
        <v>18463.48745880001</v>
      </c>
      <c r="S10" s="32">
        <f>+R10*(1+M10)</f>
        <v>20125.20133009201</v>
      </c>
      <c r="T10" s="32">
        <f>+S10*(1+M10)</f>
        <v>21936.469449800294</v>
      </c>
      <c r="U10" s="32">
        <f>+T10*(1+M10)</f>
        <v>23910.751700282322</v>
      </c>
      <c r="V10" s="32">
        <f>+U10*(1+M10)</f>
        <v>26062.719353307733</v>
      </c>
      <c r="W10" s="32">
        <f aca="true" t="shared" si="0" ref="W10:W20">+V10*(1+M10)</f>
        <v>28408.364095105433</v>
      </c>
      <c r="X10" s="32">
        <f>+W10*(1+M10)</f>
        <v>30965.116863664924</v>
      </c>
    </row>
    <row r="11" spans="1:24" ht="14.25">
      <c r="A11" s="34" t="s">
        <v>14</v>
      </c>
      <c r="B11" s="16">
        <v>518</v>
      </c>
      <c r="C11" s="32">
        <f aca="true" t="shared" si="1" ref="C11:C27">+B11*100/119286</f>
        <v>0.4342504568851332</v>
      </c>
      <c r="D11" s="16">
        <v>1162</v>
      </c>
      <c r="E11" s="32">
        <f aca="true" t="shared" si="2" ref="E11:E27">+D11*100/392546</f>
        <v>0.29601626306216344</v>
      </c>
      <c r="F11" s="32">
        <f aca="true" t="shared" si="3" ref="F11:F28">+((D11-B11)*100)/B11</f>
        <v>124.32432432432432</v>
      </c>
      <c r="G11" s="16">
        <v>1164</v>
      </c>
      <c r="H11" s="32">
        <f aca="true" t="shared" si="4" ref="H11:H27">+G11*100/159225</f>
        <v>0.731040979745643</v>
      </c>
      <c r="I11" s="32">
        <f>+((G11-D11)*100)/G11</f>
        <v>0.1718213058419244</v>
      </c>
      <c r="J11" s="16">
        <f>+G11*(1+I11)</f>
        <v>1364</v>
      </c>
      <c r="K11" s="32">
        <f aca="true" t="shared" si="5" ref="K11:K27">+J11*100/35856</f>
        <v>3.8041053101294064</v>
      </c>
      <c r="L11" s="35">
        <f>+((J11-G11)*100)/J11</f>
        <v>14.662756598240469</v>
      </c>
      <c r="M11" s="146">
        <v>0.09</v>
      </c>
      <c r="N11" s="32">
        <f aca="true" t="shared" si="6" ref="N11:N54">+J11*(1+M11)</f>
        <v>1486.7600000000002</v>
      </c>
      <c r="O11" s="32">
        <f aca="true" t="shared" si="7" ref="O11:O53">+N11*(1+M11)</f>
        <v>1620.5684000000003</v>
      </c>
      <c r="P11" s="32">
        <f aca="true" t="shared" si="8" ref="P11:P53">+O11*(1+M11)</f>
        <v>1766.4195560000005</v>
      </c>
      <c r="Q11" s="32">
        <f aca="true" t="shared" si="9" ref="Q11:Q53">+P11*(1+M11)</f>
        <v>1925.3973160400008</v>
      </c>
      <c r="R11" s="32">
        <f aca="true" t="shared" si="10" ref="R11:R53">+Q11*(1+M11)</f>
        <v>2098.683074483601</v>
      </c>
      <c r="S11" s="32">
        <f aca="true" t="shared" si="11" ref="S11:S53">+R11*(1+M11)</f>
        <v>2287.5645511871253</v>
      </c>
      <c r="T11" s="32">
        <f aca="true" t="shared" si="12" ref="T11:T53">+S11*(1+M11)</f>
        <v>2493.4453607939668</v>
      </c>
      <c r="U11" s="32">
        <f aca="true" t="shared" si="13" ref="U11:U53">+T11*(1+M11)</f>
        <v>2717.855443265424</v>
      </c>
      <c r="V11" s="32">
        <f aca="true" t="shared" si="14" ref="V11:V53">+U11*(1+M11)</f>
        <v>2962.4624331593127</v>
      </c>
      <c r="W11" s="32">
        <f t="shared" si="0"/>
        <v>3229.084052143651</v>
      </c>
      <c r="X11" s="32">
        <f aca="true" t="shared" si="15" ref="X11:X53">+W11*(1+M11)</f>
        <v>3519.70161683658</v>
      </c>
    </row>
    <row r="12" spans="1:24" ht="14.25">
      <c r="A12" s="34" t="s">
        <v>16</v>
      </c>
      <c r="B12" s="16">
        <v>7800</v>
      </c>
      <c r="C12" s="32">
        <f t="shared" si="1"/>
        <v>6.538906493637141</v>
      </c>
      <c r="D12" s="16">
        <v>8550</v>
      </c>
      <c r="E12" s="32">
        <f t="shared" si="2"/>
        <v>2.1780886826002557</v>
      </c>
      <c r="F12" s="32">
        <f t="shared" si="3"/>
        <v>9.615384615384615</v>
      </c>
      <c r="G12" s="16">
        <v>8104</v>
      </c>
      <c r="H12" s="32">
        <f t="shared" si="4"/>
        <v>5.089653006751452</v>
      </c>
      <c r="I12" s="32">
        <f>+((G12-D12)*100)/G12</f>
        <v>-5.503455083909181</v>
      </c>
      <c r="J12" s="16">
        <v>12000</v>
      </c>
      <c r="K12" s="32">
        <f t="shared" si="5"/>
        <v>33.467202141900934</v>
      </c>
      <c r="L12" s="35">
        <f aca="true" t="shared" si="16" ref="L12:L28">+((J12-G12)*100)/J12</f>
        <v>32.46666666666667</v>
      </c>
      <c r="M12" s="146">
        <v>0.09</v>
      </c>
      <c r="N12" s="32">
        <f t="shared" si="6"/>
        <v>13080.000000000002</v>
      </c>
      <c r="O12" s="32">
        <f t="shared" si="7"/>
        <v>14257.200000000003</v>
      </c>
      <c r="P12" s="32">
        <f t="shared" si="8"/>
        <v>15540.348000000004</v>
      </c>
      <c r="Q12" s="32">
        <f t="shared" si="9"/>
        <v>16938.979320000006</v>
      </c>
      <c r="R12" s="32">
        <f t="shared" si="10"/>
        <v>18463.48745880001</v>
      </c>
      <c r="S12" s="32">
        <f t="shared" si="11"/>
        <v>20125.20133009201</v>
      </c>
      <c r="T12" s="32">
        <f t="shared" si="12"/>
        <v>21936.469449800294</v>
      </c>
      <c r="U12" s="32">
        <f t="shared" si="13"/>
        <v>23910.751700282322</v>
      </c>
      <c r="V12" s="32">
        <f t="shared" si="14"/>
        <v>26062.719353307733</v>
      </c>
      <c r="W12" s="32">
        <f t="shared" si="0"/>
        <v>28408.364095105433</v>
      </c>
      <c r="X12" s="32">
        <f t="shared" si="15"/>
        <v>30965.116863664924</v>
      </c>
    </row>
    <row r="13" spans="1:24" ht="14.25">
      <c r="A13" s="34" t="s">
        <v>18</v>
      </c>
      <c r="B13" s="16"/>
      <c r="C13" s="32">
        <f t="shared" si="1"/>
        <v>0</v>
      </c>
      <c r="D13" s="16"/>
      <c r="E13" s="32">
        <f t="shared" si="2"/>
        <v>0</v>
      </c>
      <c r="F13" s="32">
        <v>0</v>
      </c>
      <c r="G13" s="16">
        <v>1430</v>
      </c>
      <c r="H13" s="32">
        <f t="shared" si="4"/>
        <v>0.8981001727115717</v>
      </c>
      <c r="I13" s="32">
        <f>+((G13-D13)*100)/G13</f>
        <v>100</v>
      </c>
      <c r="J13" s="16"/>
      <c r="K13" s="32">
        <f t="shared" si="5"/>
        <v>0</v>
      </c>
      <c r="L13" s="35">
        <v>0</v>
      </c>
      <c r="M13" s="146">
        <v>0.09</v>
      </c>
      <c r="N13" s="32">
        <f>+G13*(1+M13)</f>
        <v>1558.7</v>
      </c>
      <c r="O13" s="32">
        <f t="shared" si="7"/>
        <v>1698.9830000000002</v>
      </c>
      <c r="P13" s="32">
        <f t="shared" si="8"/>
        <v>1851.8914700000003</v>
      </c>
      <c r="Q13" s="32">
        <f t="shared" si="9"/>
        <v>2018.5617023000004</v>
      </c>
      <c r="R13" s="32">
        <f t="shared" si="10"/>
        <v>2200.2322555070004</v>
      </c>
      <c r="S13" s="32">
        <f t="shared" si="11"/>
        <v>2398.253158502631</v>
      </c>
      <c r="T13" s="32">
        <f t="shared" si="12"/>
        <v>2614.0959427678677</v>
      </c>
      <c r="U13" s="32">
        <f t="shared" si="13"/>
        <v>2849.364577616976</v>
      </c>
      <c r="V13" s="32">
        <f t="shared" si="14"/>
        <v>3105.807389602504</v>
      </c>
      <c r="W13" s="32">
        <f t="shared" si="0"/>
        <v>3385.3300546667297</v>
      </c>
      <c r="X13" s="32">
        <f t="shared" si="15"/>
        <v>3690.0097595867355</v>
      </c>
    </row>
    <row r="14" spans="1:24" ht="14.25">
      <c r="A14" s="34" t="s">
        <v>19</v>
      </c>
      <c r="B14" s="16"/>
      <c r="C14" s="32">
        <f t="shared" si="1"/>
        <v>0</v>
      </c>
      <c r="D14" s="16"/>
      <c r="E14" s="32">
        <f t="shared" si="2"/>
        <v>0</v>
      </c>
      <c r="F14" s="32">
        <v>0</v>
      </c>
      <c r="G14" s="16"/>
      <c r="H14" s="32">
        <f t="shared" si="4"/>
        <v>0</v>
      </c>
      <c r="I14" s="32">
        <v>0</v>
      </c>
      <c r="J14" s="16">
        <v>100</v>
      </c>
      <c r="K14" s="32">
        <f t="shared" si="5"/>
        <v>0.2788933511825078</v>
      </c>
      <c r="L14" s="35">
        <f t="shared" si="16"/>
        <v>100</v>
      </c>
      <c r="M14" s="146">
        <v>0.09</v>
      </c>
      <c r="N14" s="32">
        <f t="shared" si="6"/>
        <v>109.00000000000001</v>
      </c>
      <c r="O14" s="32">
        <f t="shared" si="7"/>
        <v>118.81000000000003</v>
      </c>
      <c r="P14" s="32">
        <f t="shared" si="8"/>
        <v>129.50290000000004</v>
      </c>
      <c r="Q14" s="32">
        <f t="shared" si="9"/>
        <v>141.15816100000006</v>
      </c>
      <c r="R14" s="32">
        <f t="shared" si="10"/>
        <v>153.86239549000007</v>
      </c>
      <c r="S14" s="32">
        <f t="shared" si="11"/>
        <v>167.71001108410007</v>
      </c>
      <c r="T14" s="32">
        <f t="shared" si="12"/>
        <v>182.8039120816691</v>
      </c>
      <c r="U14" s="32">
        <f t="shared" si="13"/>
        <v>199.25626416901932</v>
      </c>
      <c r="V14" s="32">
        <f t="shared" si="14"/>
        <v>217.18932794423108</v>
      </c>
      <c r="W14" s="32">
        <f t="shared" si="0"/>
        <v>236.7363674592119</v>
      </c>
      <c r="X14" s="32">
        <f t="shared" si="15"/>
        <v>258.042640530541</v>
      </c>
    </row>
    <row r="15" spans="1:24" ht="14.25">
      <c r="A15" s="34" t="s">
        <v>21</v>
      </c>
      <c r="B15" s="16">
        <v>2.1</v>
      </c>
      <c r="C15" s="32">
        <f t="shared" si="1"/>
        <v>0.0017604748252099994</v>
      </c>
      <c r="D15" s="16">
        <v>2</v>
      </c>
      <c r="E15" s="32">
        <f t="shared" si="2"/>
        <v>0.0005094944286784224</v>
      </c>
      <c r="F15" s="32">
        <f t="shared" si="3"/>
        <v>-4.761904761904766</v>
      </c>
      <c r="G15" s="16"/>
      <c r="H15" s="32">
        <f t="shared" si="4"/>
        <v>0</v>
      </c>
      <c r="I15" s="32">
        <v>0</v>
      </c>
      <c r="J15" s="16">
        <v>10</v>
      </c>
      <c r="K15" s="32">
        <f t="shared" si="5"/>
        <v>0.027889335118250782</v>
      </c>
      <c r="L15" s="35">
        <f t="shared" si="16"/>
        <v>100</v>
      </c>
      <c r="M15" s="146">
        <v>0.09</v>
      </c>
      <c r="N15" s="32">
        <f t="shared" si="6"/>
        <v>10.9</v>
      </c>
      <c r="O15" s="32">
        <f t="shared" si="7"/>
        <v>11.881000000000002</v>
      </c>
      <c r="P15" s="32">
        <f t="shared" si="8"/>
        <v>12.950290000000003</v>
      </c>
      <c r="Q15" s="32">
        <f t="shared" si="9"/>
        <v>14.115816100000004</v>
      </c>
      <c r="R15" s="32">
        <f t="shared" si="10"/>
        <v>15.386239549000004</v>
      </c>
      <c r="S15" s="32">
        <f t="shared" si="11"/>
        <v>16.771001108410005</v>
      </c>
      <c r="T15" s="32">
        <f t="shared" si="12"/>
        <v>18.280391208166908</v>
      </c>
      <c r="U15" s="32">
        <f t="shared" si="13"/>
        <v>19.92562641690193</v>
      </c>
      <c r="V15" s="32">
        <f t="shared" si="14"/>
        <v>21.718932794423107</v>
      </c>
      <c r="W15" s="32">
        <f t="shared" si="0"/>
        <v>23.67363674592119</v>
      </c>
      <c r="X15" s="32">
        <f t="shared" si="15"/>
        <v>25.804264053054098</v>
      </c>
    </row>
    <row r="16" spans="1:24" ht="28.5">
      <c r="A16" s="36" t="s">
        <v>23</v>
      </c>
      <c r="B16" s="16">
        <v>0</v>
      </c>
      <c r="C16" s="32">
        <f t="shared" si="1"/>
        <v>0</v>
      </c>
      <c r="D16" s="16">
        <v>2055</v>
      </c>
      <c r="E16" s="32">
        <f t="shared" si="2"/>
        <v>0.5235055254670791</v>
      </c>
      <c r="F16" s="32">
        <v>0</v>
      </c>
      <c r="G16" s="16">
        <v>2</v>
      </c>
      <c r="H16" s="32">
        <f t="shared" si="4"/>
        <v>0.0012560841576385617</v>
      </c>
      <c r="I16" s="32"/>
      <c r="J16" s="16">
        <v>100</v>
      </c>
      <c r="K16" s="32">
        <f t="shared" si="5"/>
        <v>0.2788933511825078</v>
      </c>
      <c r="L16" s="35">
        <f t="shared" si="16"/>
        <v>98</v>
      </c>
      <c r="M16" s="146">
        <v>0.09</v>
      </c>
      <c r="N16" s="32">
        <f t="shared" si="6"/>
        <v>109.00000000000001</v>
      </c>
      <c r="O16" s="32">
        <f t="shared" si="7"/>
        <v>118.81000000000003</v>
      </c>
      <c r="P16" s="32">
        <f t="shared" si="8"/>
        <v>129.50290000000004</v>
      </c>
      <c r="Q16" s="32">
        <f t="shared" si="9"/>
        <v>141.15816100000006</v>
      </c>
      <c r="R16" s="32">
        <f t="shared" si="10"/>
        <v>153.86239549000007</v>
      </c>
      <c r="S16" s="32">
        <f t="shared" si="11"/>
        <v>167.71001108410007</v>
      </c>
      <c r="T16" s="32">
        <f t="shared" si="12"/>
        <v>182.8039120816691</v>
      </c>
      <c r="U16" s="32">
        <f t="shared" si="13"/>
        <v>199.25626416901932</v>
      </c>
      <c r="V16" s="32">
        <f t="shared" si="14"/>
        <v>217.18932794423108</v>
      </c>
      <c r="W16" s="32">
        <f t="shared" si="0"/>
        <v>236.7363674592119</v>
      </c>
      <c r="X16" s="32">
        <f t="shared" si="15"/>
        <v>258.042640530541</v>
      </c>
    </row>
    <row r="17" spans="1:24" ht="14.25">
      <c r="A17" s="34" t="s">
        <v>24</v>
      </c>
      <c r="B17" s="16">
        <v>341</v>
      </c>
      <c r="C17" s="32">
        <f t="shared" si="1"/>
        <v>0.2858675787602904</v>
      </c>
      <c r="D17" s="16"/>
      <c r="E17" s="32">
        <f t="shared" si="2"/>
        <v>0</v>
      </c>
      <c r="F17" s="32">
        <f t="shared" si="3"/>
        <v>-100</v>
      </c>
      <c r="G17" s="16"/>
      <c r="H17" s="32">
        <f t="shared" si="4"/>
        <v>0</v>
      </c>
      <c r="I17" s="32">
        <v>0</v>
      </c>
      <c r="J17" s="16">
        <v>80</v>
      </c>
      <c r="K17" s="32">
        <f t="shared" si="5"/>
        <v>0.22311468094600626</v>
      </c>
      <c r="L17" s="35">
        <f t="shared" si="16"/>
        <v>100</v>
      </c>
      <c r="M17" s="146">
        <v>0.09</v>
      </c>
      <c r="N17" s="32">
        <f t="shared" si="6"/>
        <v>87.2</v>
      </c>
      <c r="O17" s="32">
        <f t="shared" si="7"/>
        <v>95.04800000000002</v>
      </c>
      <c r="P17" s="32">
        <f t="shared" si="8"/>
        <v>103.60232000000002</v>
      </c>
      <c r="Q17" s="32">
        <f t="shared" si="9"/>
        <v>112.92652880000003</v>
      </c>
      <c r="R17" s="32">
        <f t="shared" si="10"/>
        <v>123.08991639200003</v>
      </c>
      <c r="S17" s="32">
        <f t="shared" si="11"/>
        <v>134.16800886728004</v>
      </c>
      <c r="T17" s="32">
        <f t="shared" si="12"/>
        <v>146.24312966533526</v>
      </c>
      <c r="U17" s="32">
        <f t="shared" si="13"/>
        <v>159.40501133521545</v>
      </c>
      <c r="V17" s="32">
        <f t="shared" si="14"/>
        <v>173.75146235538486</v>
      </c>
      <c r="W17" s="32">
        <f t="shared" si="0"/>
        <v>189.38909396736952</v>
      </c>
      <c r="X17" s="32">
        <f t="shared" si="15"/>
        <v>206.43411242443278</v>
      </c>
    </row>
    <row r="18" spans="1:24" ht="28.5">
      <c r="A18" s="36" t="s">
        <v>25</v>
      </c>
      <c r="B18" s="16">
        <v>269</v>
      </c>
      <c r="C18" s="32">
        <f t="shared" si="1"/>
        <v>0.22550844189594754</v>
      </c>
      <c r="D18" s="16"/>
      <c r="E18" s="32">
        <f t="shared" si="2"/>
        <v>0</v>
      </c>
      <c r="F18" s="32">
        <f t="shared" si="3"/>
        <v>-100</v>
      </c>
      <c r="G18" s="16">
        <v>5</v>
      </c>
      <c r="H18" s="32">
        <f t="shared" si="4"/>
        <v>0.0031402103940964044</v>
      </c>
      <c r="I18" s="32">
        <f>+((G18-D18)*100)/G18</f>
        <v>100</v>
      </c>
      <c r="J18" s="16">
        <v>15</v>
      </c>
      <c r="K18" s="32">
        <f t="shared" si="5"/>
        <v>0.04183400267737617</v>
      </c>
      <c r="L18" s="35">
        <f t="shared" si="16"/>
        <v>66.66666666666667</v>
      </c>
      <c r="M18" s="146">
        <v>0.09</v>
      </c>
      <c r="N18" s="32">
        <f>269*(1+M18)</f>
        <v>293.21000000000004</v>
      </c>
      <c r="O18" s="32">
        <f t="shared" si="7"/>
        <v>319.59890000000007</v>
      </c>
      <c r="P18" s="32">
        <f t="shared" si="8"/>
        <v>348.3628010000001</v>
      </c>
      <c r="Q18" s="32">
        <f t="shared" si="9"/>
        <v>379.71545309000015</v>
      </c>
      <c r="R18" s="32">
        <f t="shared" si="10"/>
        <v>413.8898438681002</v>
      </c>
      <c r="S18" s="32">
        <f t="shared" si="11"/>
        <v>451.1399298162292</v>
      </c>
      <c r="T18" s="32">
        <f t="shared" si="12"/>
        <v>491.74252349968987</v>
      </c>
      <c r="U18" s="32">
        <f t="shared" si="13"/>
        <v>535.999350614662</v>
      </c>
      <c r="V18" s="32">
        <f t="shared" si="14"/>
        <v>584.2392921699817</v>
      </c>
      <c r="W18" s="32">
        <f t="shared" si="0"/>
        <v>636.8208284652801</v>
      </c>
      <c r="X18" s="32">
        <f t="shared" si="15"/>
        <v>694.1347030271554</v>
      </c>
    </row>
    <row r="19" spans="1:24" ht="14.25">
      <c r="A19" s="34" t="s">
        <v>26</v>
      </c>
      <c r="B19" s="16">
        <v>95</v>
      </c>
      <c r="C19" s="32">
        <f t="shared" si="1"/>
        <v>0.07964052780711903</v>
      </c>
      <c r="D19" s="16"/>
      <c r="E19" s="32">
        <f t="shared" si="2"/>
        <v>0</v>
      </c>
      <c r="F19" s="32">
        <f t="shared" si="3"/>
        <v>-100</v>
      </c>
      <c r="G19" s="16"/>
      <c r="H19" s="32">
        <f t="shared" si="4"/>
        <v>0</v>
      </c>
      <c r="I19" s="32">
        <v>0</v>
      </c>
      <c r="J19" s="16">
        <v>300</v>
      </c>
      <c r="K19" s="32">
        <f t="shared" si="5"/>
        <v>0.8366800535475234</v>
      </c>
      <c r="L19" s="35">
        <f t="shared" si="16"/>
        <v>100</v>
      </c>
      <c r="M19" s="146">
        <v>0.09</v>
      </c>
      <c r="N19" s="32">
        <f t="shared" si="6"/>
        <v>327</v>
      </c>
      <c r="O19" s="32">
        <f t="shared" si="7"/>
        <v>356.43</v>
      </c>
      <c r="P19" s="32">
        <f t="shared" si="8"/>
        <v>388.50870000000003</v>
      </c>
      <c r="Q19" s="32">
        <f t="shared" si="9"/>
        <v>423.4744830000001</v>
      </c>
      <c r="R19" s="32">
        <f t="shared" si="10"/>
        <v>461.5871864700001</v>
      </c>
      <c r="S19" s="32">
        <f t="shared" si="11"/>
        <v>503.13003325230017</v>
      </c>
      <c r="T19" s="32">
        <f t="shared" si="12"/>
        <v>548.4117362450072</v>
      </c>
      <c r="U19" s="32">
        <f t="shared" si="13"/>
        <v>597.7687925070579</v>
      </c>
      <c r="V19" s="32">
        <f t="shared" si="14"/>
        <v>651.5679838326931</v>
      </c>
      <c r="W19" s="32">
        <f t="shared" si="0"/>
        <v>710.2091023776355</v>
      </c>
      <c r="X19" s="32">
        <f t="shared" si="15"/>
        <v>774.1279215916228</v>
      </c>
    </row>
    <row r="20" spans="1:24" ht="14.25">
      <c r="A20" s="34" t="s">
        <v>27</v>
      </c>
      <c r="B20" s="16">
        <v>74</v>
      </c>
      <c r="C20" s="32">
        <f t="shared" si="1"/>
        <v>0.06203577955501903</v>
      </c>
      <c r="D20" s="16">
        <v>55</v>
      </c>
      <c r="E20" s="32">
        <f t="shared" si="2"/>
        <v>0.014011096788656616</v>
      </c>
      <c r="F20" s="32">
        <f t="shared" si="3"/>
        <v>-25.675675675675677</v>
      </c>
      <c r="G20" s="16"/>
      <c r="H20" s="32">
        <f t="shared" si="4"/>
        <v>0</v>
      </c>
      <c r="I20" s="32">
        <v>0</v>
      </c>
      <c r="J20" s="16"/>
      <c r="K20" s="32">
        <f t="shared" si="5"/>
        <v>0</v>
      </c>
      <c r="L20" s="35">
        <v>0</v>
      </c>
      <c r="M20" s="146">
        <v>0.09</v>
      </c>
      <c r="N20" s="32">
        <f>+B20*(1+M20)</f>
        <v>80.66000000000001</v>
      </c>
      <c r="O20" s="32">
        <f t="shared" si="7"/>
        <v>87.91940000000002</v>
      </c>
      <c r="P20" s="32">
        <f t="shared" si="8"/>
        <v>95.83214600000004</v>
      </c>
      <c r="Q20" s="32">
        <f t="shared" si="9"/>
        <v>104.45703914000005</v>
      </c>
      <c r="R20" s="32">
        <f t="shared" si="10"/>
        <v>113.85817266260005</v>
      </c>
      <c r="S20" s="32">
        <f t="shared" si="11"/>
        <v>124.10540820223407</v>
      </c>
      <c r="T20" s="32">
        <f t="shared" si="12"/>
        <v>135.27489494043516</v>
      </c>
      <c r="U20" s="32">
        <f t="shared" si="13"/>
        <v>147.44963548507434</v>
      </c>
      <c r="V20" s="32">
        <f t="shared" si="14"/>
        <v>160.72010267873105</v>
      </c>
      <c r="W20" s="32">
        <f t="shared" si="0"/>
        <v>175.18491191981687</v>
      </c>
      <c r="X20" s="32">
        <f t="shared" si="15"/>
        <v>190.9515539926004</v>
      </c>
    </row>
    <row r="21" spans="1:24" ht="15">
      <c r="A21" s="144" t="s">
        <v>28</v>
      </c>
      <c r="B21" s="16"/>
      <c r="C21" s="32"/>
      <c r="D21" s="16"/>
      <c r="E21" s="32"/>
      <c r="F21" s="32"/>
      <c r="G21" s="16"/>
      <c r="H21" s="32"/>
      <c r="I21" s="32"/>
      <c r="J21" s="16"/>
      <c r="K21" s="32"/>
      <c r="L21" s="35"/>
      <c r="M21" s="146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14.25">
      <c r="A22" s="34" t="s">
        <v>29</v>
      </c>
      <c r="B22" s="16">
        <v>3246</v>
      </c>
      <c r="C22" s="32">
        <f t="shared" si="1"/>
        <v>2.7211910869674565</v>
      </c>
      <c r="D22" s="16">
        <v>5048</v>
      </c>
      <c r="E22" s="32">
        <f t="shared" si="2"/>
        <v>1.2859639379843382</v>
      </c>
      <c r="F22" s="32">
        <f t="shared" si="3"/>
        <v>55.514479359211336</v>
      </c>
      <c r="G22" s="16"/>
      <c r="H22" s="32">
        <f t="shared" si="4"/>
        <v>0</v>
      </c>
      <c r="I22" s="32">
        <v>0</v>
      </c>
      <c r="J22" s="16">
        <v>7000</v>
      </c>
      <c r="K22" s="32">
        <f t="shared" si="5"/>
        <v>19.522534582775545</v>
      </c>
      <c r="L22" s="35">
        <f t="shared" si="16"/>
        <v>100</v>
      </c>
      <c r="M22" s="146">
        <v>0.09</v>
      </c>
      <c r="N22" s="32">
        <f t="shared" si="6"/>
        <v>7630.000000000001</v>
      </c>
      <c r="O22" s="32">
        <f t="shared" si="7"/>
        <v>8316.7</v>
      </c>
      <c r="P22" s="32">
        <f t="shared" si="8"/>
        <v>9065.203000000001</v>
      </c>
      <c r="Q22" s="32">
        <f t="shared" si="9"/>
        <v>9881.071270000002</v>
      </c>
      <c r="R22" s="32">
        <f t="shared" si="10"/>
        <v>10770.367684300003</v>
      </c>
      <c r="S22" s="32">
        <f t="shared" si="11"/>
        <v>11739.700775887004</v>
      </c>
      <c r="T22" s="32">
        <f t="shared" si="12"/>
        <v>12796.273845716836</v>
      </c>
      <c r="U22" s="32">
        <f t="shared" si="13"/>
        <v>13947.938491831352</v>
      </c>
      <c r="V22" s="32">
        <f t="shared" si="14"/>
        <v>15203.252956096174</v>
      </c>
      <c r="W22" s="32">
        <f aca="true" t="shared" si="17" ref="W22:W53">+V22*(1+M22)</f>
        <v>16571.54572214483</v>
      </c>
      <c r="X22" s="32">
        <f t="shared" si="15"/>
        <v>18062.984837137865</v>
      </c>
    </row>
    <row r="23" spans="1:24" ht="14.25">
      <c r="A23" s="34" t="s">
        <v>30</v>
      </c>
      <c r="B23" s="16"/>
      <c r="C23" s="32">
        <f t="shared" si="1"/>
        <v>0</v>
      </c>
      <c r="D23" s="16"/>
      <c r="E23" s="32">
        <f t="shared" si="2"/>
        <v>0</v>
      </c>
      <c r="F23" s="32">
        <v>0</v>
      </c>
      <c r="G23" s="16">
        <v>439</v>
      </c>
      <c r="H23" s="32">
        <f t="shared" si="4"/>
        <v>0.2757104726016643</v>
      </c>
      <c r="I23" s="32">
        <f>+((G23-D23)*100)/G23</f>
        <v>100</v>
      </c>
      <c r="J23" s="16">
        <v>1200</v>
      </c>
      <c r="K23" s="32">
        <f t="shared" si="5"/>
        <v>3.3467202141900936</v>
      </c>
      <c r="L23" s="35">
        <f t="shared" si="16"/>
        <v>63.416666666666664</v>
      </c>
      <c r="M23" s="146">
        <v>0.09</v>
      </c>
      <c r="N23" s="32">
        <f t="shared" si="6"/>
        <v>1308</v>
      </c>
      <c r="O23" s="32">
        <f t="shared" si="7"/>
        <v>1425.72</v>
      </c>
      <c r="P23" s="32">
        <f t="shared" si="8"/>
        <v>1554.0348000000001</v>
      </c>
      <c r="Q23" s="32">
        <f t="shared" si="9"/>
        <v>1693.8979320000003</v>
      </c>
      <c r="R23" s="32">
        <f t="shared" si="10"/>
        <v>1846.3487458800005</v>
      </c>
      <c r="S23" s="32">
        <f t="shared" si="11"/>
        <v>2012.5201330092007</v>
      </c>
      <c r="T23" s="32">
        <f t="shared" si="12"/>
        <v>2193.646944980029</v>
      </c>
      <c r="U23" s="32">
        <f t="shared" si="13"/>
        <v>2391.0751700282317</v>
      </c>
      <c r="V23" s="32">
        <f t="shared" si="14"/>
        <v>2606.2719353307725</v>
      </c>
      <c r="W23" s="32">
        <f t="shared" si="17"/>
        <v>2840.836409510542</v>
      </c>
      <c r="X23" s="32">
        <f t="shared" si="15"/>
        <v>3096.511686366491</v>
      </c>
    </row>
    <row r="24" spans="1:24" ht="14.25">
      <c r="A24" s="34" t="s">
        <v>31</v>
      </c>
      <c r="B24" s="16">
        <v>360</v>
      </c>
      <c r="C24" s="32">
        <f t="shared" si="1"/>
        <v>0.3017956843217142</v>
      </c>
      <c r="D24" s="16">
        <v>40</v>
      </c>
      <c r="E24" s="32">
        <f t="shared" si="2"/>
        <v>0.010189888573568447</v>
      </c>
      <c r="F24" s="32">
        <f t="shared" si="3"/>
        <v>-88.88888888888889</v>
      </c>
      <c r="G24" s="16"/>
      <c r="H24" s="32">
        <f t="shared" si="4"/>
        <v>0</v>
      </c>
      <c r="I24" s="32">
        <v>0</v>
      </c>
      <c r="J24" s="16">
        <v>1000</v>
      </c>
      <c r="K24" s="32">
        <f t="shared" si="5"/>
        <v>2.788933511825078</v>
      </c>
      <c r="L24" s="35">
        <f t="shared" si="16"/>
        <v>100</v>
      </c>
      <c r="M24" s="146">
        <v>0.09</v>
      </c>
      <c r="N24" s="32">
        <f t="shared" si="6"/>
        <v>1090</v>
      </c>
      <c r="O24" s="32">
        <f t="shared" si="7"/>
        <v>1188.1000000000001</v>
      </c>
      <c r="P24" s="32">
        <f t="shared" si="8"/>
        <v>1295.0290000000002</v>
      </c>
      <c r="Q24" s="32">
        <f t="shared" si="9"/>
        <v>1411.5816100000004</v>
      </c>
      <c r="R24" s="32">
        <f t="shared" si="10"/>
        <v>1538.6239549000006</v>
      </c>
      <c r="S24" s="32">
        <f t="shared" si="11"/>
        <v>1677.1001108410007</v>
      </c>
      <c r="T24" s="32">
        <f t="shared" si="12"/>
        <v>1828.039120816691</v>
      </c>
      <c r="U24" s="32">
        <f t="shared" si="13"/>
        <v>1992.5626416901932</v>
      </c>
      <c r="V24" s="32">
        <f t="shared" si="14"/>
        <v>2171.893279442311</v>
      </c>
      <c r="W24" s="32">
        <f t="shared" si="17"/>
        <v>2367.363674592119</v>
      </c>
      <c r="X24" s="32">
        <f t="shared" si="15"/>
        <v>2580.42640530541</v>
      </c>
    </row>
    <row r="25" spans="1:24" ht="14.25">
      <c r="A25" s="34" t="s">
        <v>32</v>
      </c>
      <c r="B25" s="16">
        <v>16000</v>
      </c>
      <c r="C25" s="32">
        <f t="shared" si="1"/>
        <v>13.41314152540952</v>
      </c>
      <c r="D25" s="16">
        <v>200000</v>
      </c>
      <c r="E25" s="32">
        <f t="shared" si="2"/>
        <v>50.94944286784224</v>
      </c>
      <c r="F25" s="32">
        <f t="shared" si="3"/>
        <v>1150</v>
      </c>
      <c r="G25" s="16">
        <v>76</v>
      </c>
      <c r="H25" s="32">
        <f t="shared" si="4"/>
        <v>0.047731197990265345</v>
      </c>
      <c r="I25" s="32">
        <f>+((G25-D25)*100)/G25</f>
        <v>-263057.8947368421</v>
      </c>
      <c r="J25" s="16"/>
      <c r="K25" s="32">
        <f t="shared" si="5"/>
        <v>0</v>
      </c>
      <c r="L25" s="35"/>
      <c r="M25" s="146">
        <v>0.09</v>
      </c>
      <c r="N25" s="32">
        <f>10000*(1+M25)</f>
        <v>10900</v>
      </c>
      <c r="O25" s="32">
        <f t="shared" si="7"/>
        <v>11881</v>
      </c>
      <c r="P25" s="32">
        <f t="shared" si="8"/>
        <v>12950.29</v>
      </c>
      <c r="Q25" s="32">
        <f t="shared" si="9"/>
        <v>14115.816100000002</v>
      </c>
      <c r="R25" s="32">
        <f t="shared" si="10"/>
        <v>15386.239549000004</v>
      </c>
      <c r="S25" s="32">
        <f t="shared" si="11"/>
        <v>16771.001108410004</v>
      </c>
      <c r="T25" s="32">
        <f t="shared" si="12"/>
        <v>18280.391208166908</v>
      </c>
      <c r="U25" s="32">
        <f t="shared" si="13"/>
        <v>19925.62641690193</v>
      </c>
      <c r="V25" s="32">
        <f t="shared" si="14"/>
        <v>21718.932794423104</v>
      </c>
      <c r="W25" s="32">
        <f t="shared" si="17"/>
        <v>23673.636745921187</v>
      </c>
      <c r="X25" s="32">
        <f t="shared" si="15"/>
        <v>25804.264053054096</v>
      </c>
    </row>
    <row r="26" spans="1:24" ht="14.25">
      <c r="A26" s="34" t="s">
        <v>33</v>
      </c>
      <c r="B26" s="16">
        <v>82489</v>
      </c>
      <c r="C26" s="32">
        <f t="shared" si="1"/>
        <v>69.15228945559411</v>
      </c>
      <c r="D26" s="16">
        <v>117280</v>
      </c>
      <c r="E26" s="32">
        <f t="shared" si="2"/>
        <v>29.876753297702688</v>
      </c>
      <c r="F26" s="32">
        <f t="shared" si="3"/>
        <v>42.1765326285929</v>
      </c>
      <c r="G26" s="16">
        <v>96458</v>
      </c>
      <c r="H26" s="32">
        <f t="shared" si="4"/>
        <v>60.579682838750195</v>
      </c>
      <c r="I26" s="32">
        <f>+((G26-D26)*100)/G26</f>
        <v>-21.586597275498143</v>
      </c>
      <c r="J26" s="16">
        <f>+G26*1.09</f>
        <v>105139.22</v>
      </c>
      <c r="K26" s="32">
        <f t="shared" si="5"/>
        <v>293.2262940651495</v>
      </c>
      <c r="L26" s="35">
        <f t="shared" si="16"/>
        <v>8.256880733944955</v>
      </c>
      <c r="M26" s="146">
        <v>0.09</v>
      </c>
      <c r="N26" s="32">
        <f t="shared" si="6"/>
        <v>114601.7498</v>
      </c>
      <c r="O26" s="32">
        <f t="shared" si="7"/>
        <v>124915.90728200001</v>
      </c>
      <c r="P26" s="32">
        <f t="shared" si="8"/>
        <v>136158.33893738003</v>
      </c>
      <c r="Q26" s="32">
        <f t="shared" si="9"/>
        <v>148412.58944174423</v>
      </c>
      <c r="R26" s="32">
        <f t="shared" si="10"/>
        <v>161769.72249150122</v>
      </c>
      <c r="S26" s="32">
        <f t="shared" si="11"/>
        <v>176328.99751573635</v>
      </c>
      <c r="T26" s="32">
        <f t="shared" si="12"/>
        <v>192198.60729215265</v>
      </c>
      <c r="U26" s="32">
        <f t="shared" si="13"/>
        <v>209496.4819484464</v>
      </c>
      <c r="V26" s="32">
        <f t="shared" si="14"/>
        <v>228351.16532380658</v>
      </c>
      <c r="W26" s="32">
        <f t="shared" si="17"/>
        <v>248902.77020294918</v>
      </c>
      <c r="X26" s="32">
        <f t="shared" si="15"/>
        <v>271304.01952121465</v>
      </c>
    </row>
    <row r="27" spans="1:24" ht="14.25">
      <c r="A27" s="37" t="s">
        <v>34</v>
      </c>
      <c r="B27" s="16">
        <v>747</v>
      </c>
      <c r="C27" s="32">
        <f t="shared" si="1"/>
        <v>0.626226044967557</v>
      </c>
      <c r="D27" s="16">
        <v>48783</v>
      </c>
      <c r="E27" s="32">
        <f t="shared" si="2"/>
        <v>12.42733335710974</v>
      </c>
      <c r="F27" s="32">
        <f t="shared" si="3"/>
        <v>6430.522088353414</v>
      </c>
      <c r="G27" s="16">
        <v>43487</v>
      </c>
      <c r="H27" s="32">
        <f t="shared" si="4"/>
        <v>27.31166588161407</v>
      </c>
      <c r="I27" s="32">
        <f>+((G27-E27)*100)/E27</f>
        <v>349830.26058258</v>
      </c>
      <c r="J27" s="16">
        <f>2000+51</f>
        <v>2051</v>
      </c>
      <c r="K27" s="32">
        <f t="shared" si="5"/>
        <v>5.720102632753235</v>
      </c>
      <c r="L27" s="35">
        <f t="shared" si="16"/>
        <v>-2020.2827888834715</v>
      </c>
      <c r="M27" s="146">
        <v>0.09</v>
      </c>
      <c r="N27" s="32">
        <f t="shared" si="6"/>
        <v>2235.59</v>
      </c>
      <c r="O27" s="32">
        <f t="shared" si="7"/>
        <v>2436.7931000000003</v>
      </c>
      <c r="P27" s="32">
        <f t="shared" si="8"/>
        <v>2656.1044790000005</v>
      </c>
      <c r="Q27" s="32">
        <f t="shared" si="9"/>
        <v>2895.1538821100007</v>
      </c>
      <c r="R27" s="32">
        <f t="shared" si="10"/>
        <v>3155.717731499901</v>
      </c>
      <c r="S27" s="32">
        <f t="shared" si="11"/>
        <v>3439.7323273348925</v>
      </c>
      <c r="T27" s="32">
        <f t="shared" si="12"/>
        <v>3749.3082367950333</v>
      </c>
      <c r="U27" s="32">
        <f t="shared" si="13"/>
        <v>4086.745978106587</v>
      </c>
      <c r="V27" s="32">
        <f t="shared" si="14"/>
        <v>4454.55311613618</v>
      </c>
      <c r="W27" s="32">
        <f t="shared" si="17"/>
        <v>4855.462896588436</v>
      </c>
      <c r="X27" s="32">
        <f t="shared" si="15"/>
        <v>5292.454557281395</v>
      </c>
    </row>
    <row r="28" spans="1:24" ht="15">
      <c r="A28" s="144" t="s">
        <v>11</v>
      </c>
      <c r="B28" s="147">
        <f>SUM(B10:B27)</f>
        <v>119286.1</v>
      </c>
      <c r="C28" s="147">
        <f>SUM(C10:C27)</f>
        <v>100.00008383213452</v>
      </c>
      <c r="D28" s="147">
        <f>SUM(D10:D27)</f>
        <v>392546</v>
      </c>
      <c r="E28" s="147">
        <f>SUM(E10:E27)</f>
        <v>100</v>
      </c>
      <c r="F28" s="32">
        <f t="shared" si="3"/>
        <v>229.07941495279</v>
      </c>
      <c r="G28" s="147">
        <f>SUM(G10:G27)</f>
        <v>159225</v>
      </c>
      <c r="H28" s="147">
        <f>SUM(H10:H27)</f>
        <v>100</v>
      </c>
      <c r="I28" s="32">
        <f>+((G28-D28)*100)/G28</f>
        <v>-146.53540587219345</v>
      </c>
      <c r="J28" s="147">
        <f>SUM(J10:J27)</f>
        <v>142359.22</v>
      </c>
      <c r="K28" s="147">
        <f>SUM(K10:K27)</f>
        <v>397.03039937527893</v>
      </c>
      <c r="L28" s="35">
        <f t="shared" si="16"/>
        <v>-11.847339427681607</v>
      </c>
      <c r="M28" s="146">
        <v>0.09</v>
      </c>
      <c r="N28" s="32">
        <f t="shared" si="6"/>
        <v>155171.5498</v>
      </c>
      <c r="O28" s="32">
        <f t="shared" si="7"/>
        <v>169136.98928200002</v>
      </c>
      <c r="P28" s="32">
        <f t="shared" si="8"/>
        <v>184359.31831738004</v>
      </c>
      <c r="Q28" s="32">
        <f t="shared" si="9"/>
        <v>200951.65696594425</v>
      </c>
      <c r="R28" s="32">
        <f t="shared" si="10"/>
        <v>219037.30609287924</v>
      </c>
      <c r="S28" s="32">
        <f t="shared" si="11"/>
        <v>238750.66364123838</v>
      </c>
      <c r="T28" s="32">
        <f t="shared" si="12"/>
        <v>260238.22336894987</v>
      </c>
      <c r="U28" s="32">
        <f t="shared" si="13"/>
        <v>283659.6634721554</v>
      </c>
      <c r="V28" s="32">
        <f t="shared" si="14"/>
        <v>309189.0331846494</v>
      </c>
      <c r="W28" s="32">
        <f t="shared" si="17"/>
        <v>337016.0461712679</v>
      </c>
      <c r="X28" s="32">
        <f t="shared" si="15"/>
        <v>367347.49032668205</v>
      </c>
    </row>
    <row r="29" spans="1:24" ht="14.25">
      <c r="A29" s="3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24"/>
      <c r="M29" s="146">
        <v>0.09</v>
      </c>
      <c r="N29" s="32">
        <f t="shared" si="6"/>
        <v>0</v>
      </c>
      <c r="O29" s="32">
        <f t="shared" si="7"/>
        <v>0</v>
      </c>
      <c r="P29" s="32">
        <f t="shared" si="8"/>
        <v>0</v>
      </c>
      <c r="Q29" s="32">
        <f t="shared" si="9"/>
        <v>0</v>
      </c>
      <c r="R29" s="32">
        <f t="shared" si="10"/>
        <v>0</v>
      </c>
      <c r="S29" s="32">
        <f t="shared" si="11"/>
        <v>0</v>
      </c>
      <c r="T29" s="32">
        <f t="shared" si="12"/>
        <v>0</v>
      </c>
      <c r="U29" s="32">
        <f t="shared" si="13"/>
        <v>0</v>
      </c>
      <c r="V29" s="32">
        <f t="shared" si="14"/>
        <v>0</v>
      </c>
      <c r="W29" s="32">
        <f t="shared" si="17"/>
        <v>0</v>
      </c>
      <c r="X29" s="32">
        <f t="shared" si="15"/>
        <v>0</v>
      </c>
    </row>
    <row r="30" spans="1:24" ht="15">
      <c r="A30" s="144" t="s">
        <v>36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4"/>
      <c r="M30" s="146">
        <v>0.09</v>
      </c>
      <c r="N30" s="32">
        <f t="shared" si="6"/>
        <v>0</v>
      </c>
      <c r="O30" s="32">
        <f t="shared" si="7"/>
        <v>0</v>
      </c>
      <c r="P30" s="32">
        <f t="shared" si="8"/>
        <v>0</v>
      </c>
      <c r="Q30" s="32">
        <f t="shared" si="9"/>
        <v>0</v>
      </c>
      <c r="R30" s="32">
        <f t="shared" si="10"/>
        <v>0</v>
      </c>
      <c r="S30" s="32">
        <f t="shared" si="11"/>
        <v>0</v>
      </c>
      <c r="T30" s="32">
        <f t="shared" si="12"/>
        <v>0</v>
      </c>
      <c r="U30" s="32">
        <f t="shared" si="13"/>
        <v>0</v>
      </c>
      <c r="V30" s="32">
        <f t="shared" si="14"/>
        <v>0</v>
      </c>
      <c r="W30" s="32">
        <f t="shared" si="17"/>
        <v>0</v>
      </c>
      <c r="X30" s="32">
        <f t="shared" si="15"/>
        <v>0</v>
      </c>
    </row>
    <row r="31" spans="1:24" ht="14.25">
      <c r="A31" s="34" t="s">
        <v>37</v>
      </c>
      <c r="B31" s="16">
        <v>305325</v>
      </c>
      <c r="C31" s="32">
        <f>+B31*100/911221</f>
        <v>33.50723918785893</v>
      </c>
      <c r="D31" s="16">
        <v>589878</v>
      </c>
      <c r="E31" s="32">
        <f>+D31*100/1881340</f>
        <v>31.354141197231762</v>
      </c>
      <c r="F31" s="32">
        <f aca="true" t="shared" si="18" ref="F31:F40">+((D31-B31)*100)/B31</f>
        <v>93.19675755342668</v>
      </c>
      <c r="G31" s="16">
        <v>617445</v>
      </c>
      <c r="H31" s="32">
        <f>+G31*100/1422948</f>
        <v>43.391958103880114</v>
      </c>
      <c r="I31" s="32">
        <f>+((G31-D31)*100)/D31</f>
        <v>4.67333923285832</v>
      </c>
      <c r="J31" s="16"/>
      <c r="K31" s="32">
        <f>+J31*100/814058</f>
        <v>0</v>
      </c>
      <c r="L31" s="35">
        <f>+((J31-G31)*100)/G31</f>
        <v>-100</v>
      </c>
      <c r="M31" s="146">
        <v>0.09</v>
      </c>
      <c r="N31" s="32">
        <f t="shared" si="6"/>
        <v>0</v>
      </c>
      <c r="O31" s="32">
        <f t="shared" si="7"/>
        <v>0</v>
      </c>
      <c r="P31" s="32">
        <f t="shared" si="8"/>
        <v>0</v>
      </c>
      <c r="Q31" s="32">
        <f t="shared" si="9"/>
        <v>0</v>
      </c>
      <c r="R31" s="32">
        <f t="shared" si="10"/>
        <v>0</v>
      </c>
      <c r="S31" s="32">
        <f t="shared" si="11"/>
        <v>0</v>
      </c>
      <c r="T31" s="32">
        <f t="shared" si="12"/>
        <v>0</v>
      </c>
      <c r="U31" s="32">
        <f t="shared" si="13"/>
        <v>0</v>
      </c>
      <c r="V31" s="32">
        <f t="shared" si="14"/>
        <v>0</v>
      </c>
      <c r="W31" s="32">
        <f t="shared" si="17"/>
        <v>0</v>
      </c>
      <c r="X31" s="32">
        <f t="shared" si="15"/>
        <v>0</v>
      </c>
    </row>
    <row r="32" spans="1:24" ht="14.25">
      <c r="A32" s="34" t="s">
        <v>38</v>
      </c>
      <c r="B32" s="16">
        <v>0</v>
      </c>
      <c r="C32" s="32">
        <f aca="true" t="shared" si="19" ref="C32:C39">+B32*100/911221</f>
        <v>0</v>
      </c>
      <c r="D32" s="16">
        <v>136243</v>
      </c>
      <c r="E32" s="32">
        <f aca="true" t="shared" si="20" ref="E32:E39">+D32*100/1881340</f>
        <v>7.241806372053961</v>
      </c>
      <c r="F32" s="32">
        <v>0</v>
      </c>
      <c r="G32" s="16">
        <v>129663</v>
      </c>
      <c r="H32" s="32">
        <f aca="true" t="shared" si="21" ref="H32:H39">+G32*100/1422948</f>
        <v>9.112279577328195</v>
      </c>
      <c r="I32" s="32">
        <f aca="true" t="shared" si="22" ref="I32:I40">+((G32-D32)*100)/D32</f>
        <v>-4.8296059247080585</v>
      </c>
      <c r="J32" s="16">
        <v>146530</v>
      </c>
      <c r="K32" s="32">
        <f aca="true" t="shared" si="23" ref="K32:K39">+J32*100/814058</f>
        <v>17.99994594979719</v>
      </c>
      <c r="L32" s="35">
        <f aca="true" t="shared" si="24" ref="L32:L40">+((J32-G32)*100)/G32</f>
        <v>13.008336996675999</v>
      </c>
      <c r="M32" s="146">
        <v>0.09</v>
      </c>
      <c r="N32" s="32">
        <f t="shared" si="6"/>
        <v>159717.7</v>
      </c>
      <c r="O32" s="32">
        <f t="shared" si="7"/>
        <v>174092.29300000003</v>
      </c>
      <c r="P32" s="32">
        <f t="shared" si="8"/>
        <v>189760.59937000004</v>
      </c>
      <c r="Q32" s="32">
        <f t="shared" si="9"/>
        <v>206839.05331330007</v>
      </c>
      <c r="R32" s="32">
        <f t="shared" si="10"/>
        <v>225454.5681114971</v>
      </c>
      <c r="S32" s="32">
        <f t="shared" si="11"/>
        <v>245745.47924153184</v>
      </c>
      <c r="T32" s="32">
        <f t="shared" si="12"/>
        <v>267862.5723732697</v>
      </c>
      <c r="U32" s="32">
        <f t="shared" si="13"/>
        <v>291970.203886864</v>
      </c>
      <c r="V32" s="32">
        <f t="shared" si="14"/>
        <v>318247.5222366818</v>
      </c>
      <c r="W32" s="32">
        <f t="shared" si="17"/>
        <v>346889.7992379832</v>
      </c>
      <c r="X32" s="32">
        <f t="shared" si="15"/>
        <v>378109.8811694017</v>
      </c>
    </row>
    <row r="33" spans="1:24" ht="14.25">
      <c r="A33" s="34" t="s">
        <v>39</v>
      </c>
      <c r="B33" s="16">
        <v>0</v>
      </c>
      <c r="C33" s="32">
        <f t="shared" si="19"/>
        <v>0</v>
      </c>
      <c r="D33" s="16">
        <v>431437</v>
      </c>
      <c r="E33" s="32">
        <f t="shared" si="20"/>
        <v>22.932431139506946</v>
      </c>
      <c r="F33" s="32">
        <v>0</v>
      </c>
      <c r="G33" s="16">
        <v>487782</v>
      </c>
      <c r="H33" s="32">
        <f t="shared" si="21"/>
        <v>34.27967852655192</v>
      </c>
      <c r="I33" s="32">
        <f t="shared" si="22"/>
        <v>13.05984419509685</v>
      </c>
      <c r="J33" s="16">
        <v>667528</v>
      </c>
      <c r="K33" s="32">
        <f t="shared" si="23"/>
        <v>82.0000540502028</v>
      </c>
      <c r="L33" s="35">
        <f t="shared" si="24"/>
        <v>36.84965824897188</v>
      </c>
      <c r="M33" s="146">
        <v>0.09</v>
      </c>
      <c r="N33" s="32">
        <f t="shared" si="6"/>
        <v>727605.52</v>
      </c>
      <c r="O33" s="32">
        <f t="shared" si="7"/>
        <v>793090.0168000001</v>
      </c>
      <c r="P33" s="32">
        <f t="shared" si="8"/>
        <v>864468.1183120002</v>
      </c>
      <c r="Q33" s="32">
        <f t="shared" si="9"/>
        <v>942270.2489600803</v>
      </c>
      <c r="R33" s="32">
        <f t="shared" si="10"/>
        <v>1027074.5713664877</v>
      </c>
      <c r="S33" s="32">
        <f t="shared" si="11"/>
        <v>1119511.2827894716</v>
      </c>
      <c r="T33" s="32">
        <f t="shared" si="12"/>
        <v>1220267.298240524</v>
      </c>
      <c r="U33" s="32">
        <f t="shared" si="13"/>
        <v>1330091.3550821713</v>
      </c>
      <c r="V33" s="32">
        <f t="shared" si="14"/>
        <v>1449799.5770395668</v>
      </c>
      <c r="W33" s="32">
        <f t="shared" si="17"/>
        <v>1580281.538973128</v>
      </c>
      <c r="X33" s="32">
        <f t="shared" si="15"/>
        <v>1722506.8774807097</v>
      </c>
    </row>
    <row r="34" spans="1:24" ht="14.25">
      <c r="A34" s="34" t="s">
        <v>40</v>
      </c>
      <c r="B34" s="16">
        <v>35905</v>
      </c>
      <c r="C34" s="32">
        <f t="shared" si="19"/>
        <v>3.9403174422011786</v>
      </c>
      <c r="D34" s="16">
        <v>22198</v>
      </c>
      <c r="E34" s="32">
        <f t="shared" si="20"/>
        <v>1.1799036856708516</v>
      </c>
      <c r="F34" s="32">
        <f t="shared" si="18"/>
        <v>-38.175741540175466</v>
      </c>
      <c r="G34" s="16"/>
      <c r="H34" s="32">
        <f t="shared" si="21"/>
        <v>0</v>
      </c>
      <c r="I34" s="32">
        <f t="shared" si="22"/>
        <v>-100</v>
      </c>
      <c r="J34" s="16"/>
      <c r="K34" s="32">
        <f t="shared" si="23"/>
        <v>0</v>
      </c>
      <c r="L34" s="35">
        <v>0</v>
      </c>
      <c r="M34" s="146">
        <v>0.09</v>
      </c>
      <c r="N34" s="32">
        <f t="shared" si="6"/>
        <v>0</v>
      </c>
      <c r="O34" s="32">
        <f t="shared" si="7"/>
        <v>0</v>
      </c>
      <c r="P34" s="32">
        <f t="shared" si="8"/>
        <v>0</v>
      </c>
      <c r="Q34" s="32">
        <f t="shared" si="9"/>
        <v>0</v>
      </c>
      <c r="R34" s="32">
        <f t="shared" si="10"/>
        <v>0</v>
      </c>
      <c r="S34" s="32">
        <f t="shared" si="11"/>
        <v>0</v>
      </c>
      <c r="T34" s="32">
        <f t="shared" si="12"/>
        <v>0</v>
      </c>
      <c r="U34" s="32">
        <f t="shared" si="13"/>
        <v>0</v>
      </c>
      <c r="V34" s="32">
        <f t="shared" si="14"/>
        <v>0</v>
      </c>
      <c r="W34" s="32">
        <f t="shared" si="17"/>
        <v>0</v>
      </c>
      <c r="X34" s="32">
        <f t="shared" si="15"/>
        <v>0</v>
      </c>
    </row>
    <row r="35" spans="1:24" ht="14.25">
      <c r="A35" s="37" t="s">
        <v>41</v>
      </c>
      <c r="B35" s="16"/>
      <c r="C35" s="32">
        <f t="shared" si="19"/>
        <v>0</v>
      </c>
      <c r="D35" s="16"/>
      <c r="E35" s="32">
        <f t="shared" si="20"/>
        <v>0</v>
      </c>
      <c r="F35" s="32">
        <v>0</v>
      </c>
      <c r="G35" s="16">
        <v>94029</v>
      </c>
      <c r="H35" s="32">
        <f t="shared" si="21"/>
        <v>6.608041896119886</v>
      </c>
      <c r="I35" s="32">
        <v>0</v>
      </c>
      <c r="J35" s="16"/>
      <c r="K35" s="32">
        <f t="shared" si="23"/>
        <v>0</v>
      </c>
      <c r="L35" s="35">
        <f t="shared" si="24"/>
        <v>-100</v>
      </c>
      <c r="M35" s="146">
        <v>0.09</v>
      </c>
      <c r="N35" s="32">
        <f t="shared" si="6"/>
        <v>0</v>
      </c>
      <c r="O35" s="32">
        <f t="shared" si="7"/>
        <v>0</v>
      </c>
      <c r="P35" s="32">
        <f t="shared" si="8"/>
        <v>0</v>
      </c>
      <c r="Q35" s="32">
        <f t="shared" si="9"/>
        <v>0</v>
      </c>
      <c r="R35" s="32">
        <f t="shared" si="10"/>
        <v>0</v>
      </c>
      <c r="S35" s="32">
        <f t="shared" si="11"/>
        <v>0</v>
      </c>
      <c r="T35" s="32">
        <f t="shared" si="12"/>
        <v>0</v>
      </c>
      <c r="U35" s="32">
        <f t="shared" si="13"/>
        <v>0</v>
      </c>
      <c r="V35" s="32">
        <f t="shared" si="14"/>
        <v>0</v>
      </c>
      <c r="W35" s="32">
        <f t="shared" si="17"/>
        <v>0</v>
      </c>
      <c r="X35" s="32">
        <f t="shared" si="15"/>
        <v>0</v>
      </c>
    </row>
    <row r="36" spans="1:24" ht="14.25">
      <c r="A36" s="34" t="s">
        <v>42</v>
      </c>
      <c r="B36" s="16">
        <v>235413</v>
      </c>
      <c r="C36" s="32">
        <f t="shared" si="19"/>
        <v>25.83489625458588</v>
      </c>
      <c r="D36" s="16">
        <v>110176</v>
      </c>
      <c r="E36" s="32">
        <f t="shared" si="20"/>
        <v>5.8562513952820865</v>
      </c>
      <c r="F36" s="32">
        <f t="shared" si="18"/>
        <v>-53.198846282915554</v>
      </c>
      <c r="G36" s="16">
        <v>19570</v>
      </c>
      <c r="H36" s="32">
        <f t="shared" si="21"/>
        <v>1.3753137851839983</v>
      </c>
      <c r="I36" s="32">
        <f t="shared" si="22"/>
        <v>-82.23751089166424</v>
      </c>
      <c r="J36" s="16"/>
      <c r="K36" s="32">
        <f t="shared" si="23"/>
        <v>0</v>
      </c>
      <c r="L36" s="35">
        <f t="shared" si="24"/>
        <v>-100</v>
      </c>
      <c r="M36" s="146">
        <v>0.09</v>
      </c>
      <c r="N36" s="32">
        <f t="shared" si="6"/>
        <v>0</v>
      </c>
      <c r="O36" s="32">
        <f t="shared" si="7"/>
        <v>0</v>
      </c>
      <c r="P36" s="32">
        <f t="shared" si="8"/>
        <v>0</v>
      </c>
      <c r="Q36" s="32">
        <f t="shared" si="9"/>
        <v>0</v>
      </c>
      <c r="R36" s="32">
        <f t="shared" si="10"/>
        <v>0</v>
      </c>
      <c r="S36" s="32">
        <f t="shared" si="11"/>
        <v>0</v>
      </c>
      <c r="T36" s="32">
        <f t="shared" si="12"/>
        <v>0</v>
      </c>
      <c r="U36" s="32">
        <f t="shared" si="13"/>
        <v>0</v>
      </c>
      <c r="V36" s="32">
        <f t="shared" si="14"/>
        <v>0</v>
      </c>
      <c r="W36" s="32">
        <f t="shared" si="17"/>
        <v>0</v>
      </c>
      <c r="X36" s="32">
        <f t="shared" si="15"/>
        <v>0</v>
      </c>
    </row>
    <row r="37" spans="1:24" ht="14.25">
      <c r="A37" s="34" t="s">
        <v>43</v>
      </c>
      <c r="B37" s="16">
        <v>330800</v>
      </c>
      <c r="C37" s="32">
        <f t="shared" si="19"/>
        <v>36.302938584602416</v>
      </c>
      <c r="D37" s="16">
        <v>543408</v>
      </c>
      <c r="E37" s="32">
        <f t="shared" si="20"/>
        <v>28.8840932526816</v>
      </c>
      <c r="F37" s="32">
        <f t="shared" si="18"/>
        <v>64.2708585247884</v>
      </c>
      <c r="G37" s="16">
        <v>0</v>
      </c>
      <c r="H37" s="32">
        <f t="shared" si="21"/>
        <v>0</v>
      </c>
      <c r="I37" s="32">
        <f t="shared" si="22"/>
        <v>-100</v>
      </c>
      <c r="J37" s="16"/>
      <c r="K37" s="32">
        <f t="shared" si="23"/>
        <v>0</v>
      </c>
      <c r="L37" s="35">
        <v>0</v>
      </c>
      <c r="M37" s="146">
        <v>0.09</v>
      </c>
      <c r="N37" s="32">
        <f t="shared" si="6"/>
        <v>0</v>
      </c>
      <c r="O37" s="32">
        <f t="shared" si="7"/>
        <v>0</v>
      </c>
      <c r="P37" s="32">
        <f t="shared" si="8"/>
        <v>0</v>
      </c>
      <c r="Q37" s="32">
        <f t="shared" si="9"/>
        <v>0</v>
      </c>
      <c r="R37" s="32">
        <f t="shared" si="10"/>
        <v>0</v>
      </c>
      <c r="S37" s="32">
        <f t="shared" si="11"/>
        <v>0</v>
      </c>
      <c r="T37" s="32">
        <f t="shared" si="12"/>
        <v>0</v>
      </c>
      <c r="U37" s="32">
        <f t="shared" si="13"/>
        <v>0</v>
      </c>
      <c r="V37" s="32">
        <f t="shared" si="14"/>
        <v>0</v>
      </c>
      <c r="W37" s="32">
        <f t="shared" si="17"/>
        <v>0</v>
      </c>
      <c r="X37" s="32">
        <f t="shared" si="15"/>
        <v>0</v>
      </c>
    </row>
    <row r="38" spans="1:24" ht="14.25">
      <c r="A38" s="34" t="s">
        <v>44</v>
      </c>
      <c r="B38" s="16">
        <v>0</v>
      </c>
      <c r="C38" s="32">
        <f t="shared" si="19"/>
        <v>0</v>
      </c>
      <c r="D38" s="16">
        <v>48000</v>
      </c>
      <c r="E38" s="32">
        <f t="shared" si="20"/>
        <v>2.5513729575727937</v>
      </c>
      <c r="F38" s="32">
        <v>0</v>
      </c>
      <c r="G38" s="16">
        <v>18000</v>
      </c>
      <c r="H38" s="32">
        <f t="shared" si="21"/>
        <v>1.2649794651666821</v>
      </c>
      <c r="I38" s="32">
        <f t="shared" si="22"/>
        <v>-62.5</v>
      </c>
      <c r="J38" s="16"/>
      <c r="K38" s="32">
        <f t="shared" si="23"/>
        <v>0</v>
      </c>
      <c r="L38" s="35">
        <f t="shared" si="24"/>
        <v>-100</v>
      </c>
      <c r="M38" s="146">
        <v>0.09</v>
      </c>
      <c r="N38" s="32">
        <f t="shared" si="6"/>
        <v>0</v>
      </c>
      <c r="O38" s="32">
        <f t="shared" si="7"/>
        <v>0</v>
      </c>
      <c r="P38" s="32">
        <f t="shared" si="8"/>
        <v>0</v>
      </c>
      <c r="Q38" s="32">
        <f t="shared" si="9"/>
        <v>0</v>
      </c>
      <c r="R38" s="32">
        <f t="shared" si="10"/>
        <v>0</v>
      </c>
      <c r="S38" s="32">
        <f t="shared" si="11"/>
        <v>0</v>
      </c>
      <c r="T38" s="32">
        <f t="shared" si="12"/>
        <v>0</v>
      </c>
      <c r="U38" s="32">
        <f t="shared" si="13"/>
        <v>0</v>
      </c>
      <c r="V38" s="32">
        <f t="shared" si="14"/>
        <v>0</v>
      </c>
      <c r="W38" s="32">
        <f t="shared" si="17"/>
        <v>0</v>
      </c>
      <c r="X38" s="32">
        <f t="shared" si="15"/>
        <v>0</v>
      </c>
    </row>
    <row r="39" spans="1:24" ht="14.25">
      <c r="A39" s="34" t="s">
        <v>45</v>
      </c>
      <c r="B39" s="16">
        <v>3778</v>
      </c>
      <c r="C39" s="32">
        <f t="shared" si="19"/>
        <v>0.4146085307515959</v>
      </c>
      <c r="D39" s="16">
        <v>0</v>
      </c>
      <c r="E39" s="32">
        <f t="shared" si="20"/>
        <v>0</v>
      </c>
      <c r="F39" s="32">
        <f t="shared" si="18"/>
        <v>-100</v>
      </c>
      <c r="G39" s="16">
        <v>56459</v>
      </c>
      <c r="H39" s="32">
        <f t="shared" si="21"/>
        <v>3.967748645769206</v>
      </c>
      <c r="I39" s="32">
        <v>0</v>
      </c>
      <c r="J39" s="16"/>
      <c r="K39" s="32">
        <f t="shared" si="23"/>
        <v>0</v>
      </c>
      <c r="L39" s="35">
        <f t="shared" si="24"/>
        <v>-100</v>
      </c>
      <c r="M39" s="146">
        <v>0.09</v>
      </c>
      <c r="N39" s="32">
        <f t="shared" si="6"/>
        <v>0</v>
      </c>
      <c r="O39" s="32">
        <f t="shared" si="7"/>
        <v>0</v>
      </c>
      <c r="P39" s="32">
        <f t="shared" si="8"/>
        <v>0</v>
      </c>
      <c r="Q39" s="32">
        <f t="shared" si="9"/>
        <v>0</v>
      </c>
      <c r="R39" s="32">
        <f t="shared" si="10"/>
        <v>0</v>
      </c>
      <c r="S39" s="32">
        <f t="shared" si="11"/>
        <v>0</v>
      </c>
      <c r="T39" s="32">
        <f t="shared" si="12"/>
        <v>0</v>
      </c>
      <c r="U39" s="32">
        <f t="shared" si="13"/>
        <v>0</v>
      </c>
      <c r="V39" s="32">
        <f t="shared" si="14"/>
        <v>0</v>
      </c>
      <c r="W39" s="32">
        <f t="shared" si="17"/>
        <v>0</v>
      </c>
      <c r="X39" s="32">
        <f t="shared" si="15"/>
        <v>0</v>
      </c>
    </row>
    <row r="40" spans="1:24" ht="15">
      <c r="A40" s="144" t="s">
        <v>13</v>
      </c>
      <c r="B40" s="147">
        <f>SUM(B31:B39)</f>
        <v>911221</v>
      </c>
      <c r="C40" s="147">
        <f>SUM(C31:C39)</f>
        <v>100</v>
      </c>
      <c r="D40" s="147">
        <f>SUM(D31:D39)</f>
        <v>1881340</v>
      </c>
      <c r="E40" s="147">
        <f>SUM(E31:E39)</f>
        <v>100</v>
      </c>
      <c r="F40" s="32">
        <f t="shared" si="18"/>
        <v>106.46363505669865</v>
      </c>
      <c r="G40" s="147">
        <f>SUM(G31:G39)</f>
        <v>1422948</v>
      </c>
      <c r="H40" s="147">
        <f>SUM(H31:H39)</f>
        <v>100</v>
      </c>
      <c r="I40" s="32">
        <f t="shared" si="22"/>
        <v>-24.36518651599392</v>
      </c>
      <c r="J40" s="147">
        <f>SUM(J32:J39)</f>
        <v>814058</v>
      </c>
      <c r="K40" s="147">
        <f>SUM(K31:K39)</f>
        <v>100</v>
      </c>
      <c r="L40" s="35">
        <f t="shared" si="24"/>
        <v>-42.79074147474117</v>
      </c>
      <c r="M40" s="146">
        <v>0.09</v>
      </c>
      <c r="N40" s="32">
        <f t="shared" si="6"/>
        <v>887323.2200000001</v>
      </c>
      <c r="O40" s="32">
        <f t="shared" si="7"/>
        <v>967182.3098000002</v>
      </c>
      <c r="P40" s="32">
        <f t="shared" si="8"/>
        <v>1054228.7176820002</v>
      </c>
      <c r="Q40" s="32">
        <f t="shared" si="9"/>
        <v>1149109.3022733803</v>
      </c>
      <c r="R40" s="32">
        <f t="shared" si="10"/>
        <v>1252529.1394779847</v>
      </c>
      <c r="S40" s="32">
        <f t="shared" si="11"/>
        <v>1365256.7620310034</v>
      </c>
      <c r="T40" s="32">
        <f t="shared" si="12"/>
        <v>1488129.8706137938</v>
      </c>
      <c r="U40" s="32">
        <f t="shared" si="13"/>
        <v>1622061.5589690355</v>
      </c>
      <c r="V40" s="32">
        <f t="shared" si="14"/>
        <v>1768047.0992762488</v>
      </c>
      <c r="W40" s="32">
        <f t="shared" si="17"/>
        <v>1927171.3382111113</v>
      </c>
      <c r="X40" s="32">
        <f t="shared" si="15"/>
        <v>2100616.7586501115</v>
      </c>
    </row>
    <row r="41" spans="1:24" ht="14.25">
      <c r="A41" s="34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4"/>
      <c r="M41" s="146">
        <v>0.09</v>
      </c>
      <c r="N41" s="32">
        <f t="shared" si="6"/>
        <v>0</v>
      </c>
      <c r="O41" s="32">
        <f t="shared" si="7"/>
        <v>0</v>
      </c>
      <c r="P41" s="32">
        <f t="shared" si="8"/>
        <v>0</v>
      </c>
      <c r="Q41" s="32">
        <f t="shared" si="9"/>
        <v>0</v>
      </c>
      <c r="R41" s="32">
        <f t="shared" si="10"/>
        <v>0</v>
      </c>
      <c r="S41" s="32">
        <f t="shared" si="11"/>
        <v>0</v>
      </c>
      <c r="T41" s="32">
        <f t="shared" si="12"/>
        <v>0</v>
      </c>
      <c r="U41" s="32">
        <f t="shared" si="13"/>
        <v>0</v>
      </c>
      <c r="V41" s="32">
        <f t="shared" si="14"/>
        <v>0</v>
      </c>
      <c r="W41" s="32">
        <f t="shared" si="17"/>
        <v>0</v>
      </c>
      <c r="X41" s="32">
        <f t="shared" si="15"/>
        <v>0</v>
      </c>
    </row>
    <row r="42" spans="1:24" ht="15">
      <c r="A42" s="144" t="s">
        <v>46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4"/>
      <c r="M42" s="146">
        <v>0.09</v>
      </c>
      <c r="N42" s="32">
        <f t="shared" si="6"/>
        <v>0</v>
      </c>
      <c r="O42" s="32">
        <f t="shared" si="7"/>
        <v>0</v>
      </c>
      <c r="P42" s="32">
        <f t="shared" si="8"/>
        <v>0</v>
      </c>
      <c r="Q42" s="32">
        <f t="shared" si="9"/>
        <v>0</v>
      </c>
      <c r="R42" s="32">
        <f t="shared" si="10"/>
        <v>0</v>
      </c>
      <c r="S42" s="32">
        <f t="shared" si="11"/>
        <v>0</v>
      </c>
      <c r="T42" s="32">
        <f t="shared" si="12"/>
        <v>0</v>
      </c>
      <c r="U42" s="32">
        <f t="shared" si="13"/>
        <v>0</v>
      </c>
      <c r="V42" s="32">
        <f t="shared" si="14"/>
        <v>0</v>
      </c>
      <c r="W42" s="32">
        <f t="shared" si="17"/>
        <v>0</v>
      </c>
      <c r="X42" s="32">
        <f t="shared" si="15"/>
        <v>0</v>
      </c>
    </row>
    <row r="43" spans="1:24" ht="14.25">
      <c r="A43" s="34" t="s">
        <v>47</v>
      </c>
      <c r="B43" s="16">
        <v>194925</v>
      </c>
      <c r="C43" s="32">
        <f>+B43*100/206325</f>
        <v>94.47473645946928</v>
      </c>
      <c r="D43" s="16"/>
      <c r="E43" s="16">
        <f>+D43*100/308547</f>
        <v>0</v>
      </c>
      <c r="F43" s="32">
        <f>+((D43-B43)*100)/B43</f>
        <v>-100</v>
      </c>
      <c r="G43" s="16"/>
      <c r="H43" s="16">
        <f>+G43*100/263685</f>
        <v>0</v>
      </c>
      <c r="I43" s="32">
        <v>0</v>
      </c>
      <c r="J43" s="16"/>
      <c r="K43" s="16">
        <f>+J43*100/10000</f>
        <v>0</v>
      </c>
      <c r="L43" s="35">
        <v>0</v>
      </c>
      <c r="M43" s="146">
        <v>0.09</v>
      </c>
      <c r="N43" s="32">
        <f t="shared" si="6"/>
        <v>0</v>
      </c>
      <c r="O43" s="32">
        <f t="shared" si="7"/>
        <v>0</v>
      </c>
      <c r="P43" s="32">
        <f t="shared" si="8"/>
        <v>0</v>
      </c>
      <c r="Q43" s="32">
        <f t="shared" si="9"/>
        <v>0</v>
      </c>
      <c r="R43" s="32">
        <f t="shared" si="10"/>
        <v>0</v>
      </c>
      <c r="S43" s="32">
        <f t="shared" si="11"/>
        <v>0</v>
      </c>
      <c r="T43" s="32">
        <f t="shared" si="12"/>
        <v>0</v>
      </c>
      <c r="U43" s="32">
        <f t="shared" si="13"/>
        <v>0</v>
      </c>
      <c r="V43" s="32">
        <f t="shared" si="14"/>
        <v>0</v>
      </c>
      <c r="W43" s="32">
        <f t="shared" si="17"/>
        <v>0</v>
      </c>
      <c r="X43" s="32">
        <f t="shared" si="15"/>
        <v>0</v>
      </c>
    </row>
    <row r="44" spans="1:24" ht="14.25">
      <c r="A44" s="34" t="s">
        <v>48</v>
      </c>
      <c r="B44" s="16">
        <v>0</v>
      </c>
      <c r="C44" s="32">
        <f>+B44*100/206325</f>
        <v>0</v>
      </c>
      <c r="D44" s="16">
        <v>42709</v>
      </c>
      <c r="E44" s="32">
        <f>+D44*100/308547</f>
        <v>13.8419754526863</v>
      </c>
      <c r="F44" s="32">
        <v>0</v>
      </c>
      <c r="G44" s="16">
        <v>11371</v>
      </c>
      <c r="H44" s="32">
        <f>+G44*100/263685</f>
        <v>4.3123423782164325</v>
      </c>
      <c r="I44" s="32">
        <f>+((G44-D44)*100)/D44</f>
        <v>-73.37563511203727</v>
      </c>
      <c r="J44" s="16">
        <v>10000</v>
      </c>
      <c r="K44" s="16">
        <f>+J44*100/10000</f>
        <v>100</v>
      </c>
      <c r="L44" s="35">
        <f>+((J44-G44)*100)/G44</f>
        <v>-12.0569870723771</v>
      </c>
      <c r="M44" s="146">
        <v>0.09</v>
      </c>
      <c r="N44" s="32">
        <f t="shared" si="6"/>
        <v>10900</v>
      </c>
      <c r="O44" s="32">
        <f t="shared" si="7"/>
        <v>11881</v>
      </c>
      <c r="P44" s="32">
        <f t="shared" si="8"/>
        <v>12950.29</v>
      </c>
      <c r="Q44" s="32">
        <f t="shared" si="9"/>
        <v>14115.816100000002</v>
      </c>
      <c r="R44" s="32">
        <f t="shared" si="10"/>
        <v>15386.239549000004</v>
      </c>
      <c r="S44" s="32">
        <f t="shared" si="11"/>
        <v>16771.001108410004</v>
      </c>
      <c r="T44" s="32">
        <f t="shared" si="12"/>
        <v>18280.391208166908</v>
      </c>
      <c r="U44" s="32">
        <f t="shared" si="13"/>
        <v>19925.62641690193</v>
      </c>
      <c r="V44" s="32">
        <f t="shared" si="14"/>
        <v>21718.932794423104</v>
      </c>
      <c r="W44" s="32">
        <f t="shared" si="17"/>
        <v>23673.636745921187</v>
      </c>
      <c r="X44" s="32">
        <f t="shared" si="15"/>
        <v>25804.264053054096</v>
      </c>
    </row>
    <row r="45" spans="1:24" ht="28.5">
      <c r="A45" s="36" t="s">
        <v>49</v>
      </c>
      <c r="B45" s="16">
        <v>11400</v>
      </c>
      <c r="C45" s="32">
        <f>+B45*100/206325</f>
        <v>5.525263540530716</v>
      </c>
      <c r="D45" s="16">
        <v>265838</v>
      </c>
      <c r="E45" s="32">
        <f>+D45*100/308547</f>
        <v>86.1580245473137</v>
      </c>
      <c r="F45" s="32">
        <f>+((D45-B45)*100)/B45</f>
        <v>2231.9122807017543</v>
      </c>
      <c r="G45" s="16">
        <v>252314</v>
      </c>
      <c r="H45" s="32">
        <f>+G45*100/263685</f>
        <v>95.68765762178357</v>
      </c>
      <c r="I45" s="32">
        <f>+((G45-D45)*100)/D45</f>
        <v>-5.087308812133705</v>
      </c>
      <c r="J45" s="16"/>
      <c r="K45" s="16">
        <f>+J45*100/10000</f>
        <v>0</v>
      </c>
      <c r="L45" s="35">
        <f>+((J45-G45)*100)/G45</f>
        <v>-100</v>
      </c>
      <c r="M45" s="146">
        <v>0.09</v>
      </c>
      <c r="N45" s="32">
        <f t="shared" si="6"/>
        <v>0</v>
      </c>
      <c r="O45" s="32">
        <f t="shared" si="7"/>
        <v>0</v>
      </c>
      <c r="P45" s="32">
        <f t="shared" si="8"/>
        <v>0</v>
      </c>
      <c r="Q45" s="32">
        <f t="shared" si="9"/>
        <v>0</v>
      </c>
      <c r="R45" s="32">
        <f t="shared" si="10"/>
        <v>0</v>
      </c>
      <c r="S45" s="32">
        <f t="shared" si="11"/>
        <v>0</v>
      </c>
      <c r="T45" s="32">
        <f t="shared" si="12"/>
        <v>0</v>
      </c>
      <c r="U45" s="32">
        <f t="shared" si="13"/>
        <v>0</v>
      </c>
      <c r="V45" s="32">
        <f t="shared" si="14"/>
        <v>0</v>
      </c>
      <c r="W45" s="32">
        <f t="shared" si="17"/>
        <v>0</v>
      </c>
      <c r="X45" s="32">
        <f t="shared" si="15"/>
        <v>0</v>
      </c>
    </row>
    <row r="46" spans="1:24" ht="15">
      <c r="A46" s="148" t="s">
        <v>15</v>
      </c>
      <c r="B46" s="147">
        <f>SUM(B43:B45)</f>
        <v>206325</v>
      </c>
      <c r="C46" s="147">
        <f>SUM(C43:C45)</f>
        <v>100</v>
      </c>
      <c r="D46" s="147">
        <f>SUM(D43:D45)</f>
        <v>308547</v>
      </c>
      <c r="E46" s="147">
        <f>SUM(E43:E45)</f>
        <v>100</v>
      </c>
      <c r="F46" s="147"/>
      <c r="G46" s="147">
        <f>SUM(G44:G45)</f>
        <v>263685</v>
      </c>
      <c r="H46" s="147">
        <f>SUM(H43:H45)</f>
        <v>100</v>
      </c>
      <c r="I46" s="147"/>
      <c r="J46" s="147">
        <f>SUM(J43:J45)</f>
        <v>10000</v>
      </c>
      <c r="K46" s="147">
        <f>SUM(K43:K45)</f>
        <v>100</v>
      </c>
      <c r="L46" s="149"/>
      <c r="M46" s="146">
        <f aca="true" t="shared" si="25" ref="M46:M53">+((L46+I46+F46)/3)/100</f>
        <v>0</v>
      </c>
      <c r="N46" s="32">
        <f t="shared" si="6"/>
        <v>10000</v>
      </c>
      <c r="O46" s="32">
        <f t="shared" si="7"/>
        <v>10000</v>
      </c>
      <c r="P46" s="32">
        <f t="shared" si="8"/>
        <v>10000</v>
      </c>
      <c r="Q46" s="32">
        <f t="shared" si="9"/>
        <v>10000</v>
      </c>
      <c r="R46" s="32">
        <f t="shared" si="10"/>
        <v>10000</v>
      </c>
      <c r="S46" s="32">
        <f t="shared" si="11"/>
        <v>10000</v>
      </c>
      <c r="T46" s="32">
        <f t="shared" si="12"/>
        <v>10000</v>
      </c>
      <c r="U46" s="32">
        <f t="shared" si="13"/>
        <v>10000</v>
      </c>
      <c r="V46" s="32">
        <f t="shared" si="14"/>
        <v>10000</v>
      </c>
      <c r="W46" s="32">
        <f t="shared" si="17"/>
        <v>10000</v>
      </c>
      <c r="X46" s="32">
        <f t="shared" si="15"/>
        <v>10000</v>
      </c>
    </row>
    <row r="47" spans="1:24" ht="14.25">
      <c r="A47" s="3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4"/>
      <c r="M47" s="146">
        <f t="shared" si="25"/>
        <v>0</v>
      </c>
      <c r="N47" s="32">
        <f t="shared" si="6"/>
        <v>0</v>
      </c>
      <c r="O47" s="32">
        <f t="shared" si="7"/>
        <v>0</v>
      </c>
      <c r="P47" s="32">
        <f t="shared" si="8"/>
        <v>0</v>
      </c>
      <c r="Q47" s="32">
        <f t="shared" si="9"/>
        <v>0</v>
      </c>
      <c r="R47" s="32">
        <f t="shared" si="10"/>
        <v>0</v>
      </c>
      <c r="S47" s="32">
        <f t="shared" si="11"/>
        <v>0</v>
      </c>
      <c r="T47" s="32">
        <f t="shared" si="12"/>
        <v>0</v>
      </c>
      <c r="U47" s="32">
        <f t="shared" si="13"/>
        <v>0</v>
      </c>
      <c r="V47" s="32">
        <f t="shared" si="14"/>
        <v>0</v>
      </c>
      <c r="W47" s="32">
        <f t="shared" si="17"/>
        <v>0</v>
      </c>
      <c r="X47" s="32">
        <f t="shared" si="15"/>
        <v>0</v>
      </c>
    </row>
    <row r="48" spans="1:24" ht="15">
      <c r="A48" s="144" t="s">
        <v>50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4"/>
      <c r="M48" s="146">
        <f t="shared" si="25"/>
        <v>0</v>
      </c>
      <c r="N48" s="32">
        <f t="shared" si="6"/>
        <v>0</v>
      </c>
      <c r="O48" s="32">
        <f t="shared" si="7"/>
        <v>0</v>
      </c>
      <c r="P48" s="32">
        <f t="shared" si="8"/>
        <v>0</v>
      </c>
      <c r="Q48" s="32">
        <f t="shared" si="9"/>
        <v>0</v>
      </c>
      <c r="R48" s="32">
        <f t="shared" si="10"/>
        <v>0</v>
      </c>
      <c r="S48" s="32">
        <f t="shared" si="11"/>
        <v>0</v>
      </c>
      <c r="T48" s="32">
        <f t="shared" si="12"/>
        <v>0</v>
      </c>
      <c r="U48" s="32">
        <f t="shared" si="13"/>
        <v>0</v>
      </c>
      <c r="V48" s="32">
        <f t="shared" si="14"/>
        <v>0</v>
      </c>
      <c r="W48" s="32">
        <f t="shared" si="17"/>
        <v>0</v>
      </c>
      <c r="X48" s="32">
        <f t="shared" si="15"/>
        <v>0</v>
      </c>
    </row>
    <row r="49" spans="1:24" ht="14.25">
      <c r="A49" s="34" t="s">
        <v>51</v>
      </c>
      <c r="B49" s="16">
        <v>21100</v>
      </c>
      <c r="C49" s="16"/>
      <c r="D49" s="16">
        <v>0</v>
      </c>
      <c r="E49" s="16"/>
      <c r="F49" s="16"/>
      <c r="G49" s="16">
        <v>0</v>
      </c>
      <c r="H49" s="16"/>
      <c r="I49" s="16"/>
      <c r="J49" s="16"/>
      <c r="K49" s="16"/>
      <c r="L49" s="24"/>
      <c r="M49" s="146">
        <f t="shared" si="25"/>
        <v>0</v>
      </c>
      <c r="N49" s="32">
        <f t="shared" si="6"/>
        <v>0</v>
      </c>
      <c r="O49" s="32">
        <f t="shared" si="7"/>
        <v>0</v>
      </c>
      <c r="P49" s="32">
        <f t="shared" si="8"/>
        <v>0</v>
      </c>
      <c r="Q49" s="32">
        <f t="shared" si="9"/>
        <v>0</v>
      </c>
      <c r="R49" s="32">
        <f t="shared" si="10"/>
        <v>0</v>
      </c>
      <c r="S49" s="32">
        <f t="shared" si="11"/>
        <v>0</v>
      </c>
      <c r="T49" s="32">
        <f t="shared" si="12"/>
        <v>0</v>
      </c>
      <c r="U49" s="32">
        <f t="shared" si="13"/>
        <v>0</v>
      </c>
      <c r="V49" s="32">
        <f t="shared" si="14"/>
        <v>0</v>
      </c>
      <c r="W49" s="32">
        <f t="shared" si="17"/>
        <v>0</v>
      </c>
      <c r="X49" s="32">
        <f t="shared" si="15"/>
        <v>0</v>
      </c>
    </row>
    <row r="50" spans="1:24" ht="14.25">
      <c r="A50" s="34" t="s">
        <v>52</v>
      </c>
      <c r="B50" s="16">
        <v>133</v>
      </c>
      <c r="C50" s="16"/>
      <c r="D50" s="16">
        <v>0</v>
      </c>
      <c r="E50" s="16"/>
      <c r="F50" s="16"/>
      <c r="G50" s="16">
        <v>0</v>
      </c>
      <c r="H50" s="16"/>
      <c r="I50" s="16"/>
      <c r="J50" s="16"/>
      <c r="K50" s="16"/>
      <c r="L50" s="24"/>
      <c r="M50" s="146">
        <f t="shared" si="25"/>
        <v>0</v>
      </c>
      <c r="N50" s="32">
        <f t="shared" si="6"/>
        <v>0</v>
      </c>
      <c r="O50" s="32">
        <f t="shared" si="7"/>
        <v>0</v>
      </c>
      <c r="P50" s="32">
        <f t="shared" si="8"/>
        <v>0</v>
      </c>
      <c r="Q50" s="32">
        <f t="shared" si="9"/>
        <v>0</v>
      </c>
      <c r="R50" s="32">
        <f t="shared" si="10"/>
        <v>0</v>
      </c>
      <c r="S50" s="32">
        <f t="shared" si="11"/>
        <v>0</v>
      </c>
      <c r="T50" s="32">
        <f t="shared" si="12"/>
        <v>0</v>
      </c>
      <c r="U50" s="32">
        <f t="shared" si="13"/>
        <v>0</v>
      </c>
      <c r="V50" s="32">
        <f t="shared" si="14"/>
        <v>0</v>
      </c>
      <c r="W50" s="32">
        <f t="shared" si="17"/>
        <v>0</v>
      </c>
      <c r="X50" s="32">
        <f t="shared" si="15"/>
        <v>0</v>
      </c>
    </row>
    <row r="51" spans="1:24" ht="15">
      <c r="A51" s="144" t="s">
        <v>17</v>
      </c>
      <c r="B51" s="147">
        <f>SUM(B49:B50)</f>
        <v>21233</v>
      </c>
      <c r="C51" s="16"/>
      <c r="D51" s="16"/>
      <c r="E51" s="16"/>
      <c r="F51" s="16"/>
      <c r="G51" s="16"/>
      <c r="H51" s="16"/>
      <c r="I51" s="16"/>
      <c r="J51" s="16"/>
      <c r="K51" s="16"/>
      <c r="L51" s="24"/>
      <c r="M51" s="146">
        <f t="shared" si="25"/>
        <v>0</v>
      </c>
      <c r="N51" s="32">
        <f t="shared" si="6"/>
        <v>0</v>
      </c>
      <c r="O51" s="32">
        <f t="shared" si="7"/>
        <v>0</v>
      </c>
      <c r="P51" s="32">
        <f t="shared" si="8"/>
        <v>0</v>
      </c>
      <c r="Q51" s="32">
        <f t="shared" si="9"/>
        <v>0</v>
      </c>
      <c r="R51" s="32">
        <f t="shared" si="10"/>
        <v>0</v>
      </c>
      <c r="S51" s="32">
        <f t="shared" si="11"/>
        <v>0</v>
      </c>
      <c r="T51" s="32">
        <f t="shared" si="12"/>
        <v>0</v>
      </c>
      <c r="U51" s="32">
        <f t="shared" si="13"/>
        <v>0</v>
      </c>
      <c r="V51" s="32">
        <f t="shared" si="14"/>
        <v>0</v>
      </c>
      <c r="W51" s="32">
        <f t="shared" si="17"/>
        <v>0</v>
      </c>
      <c r="X51" s="32">
        <f t="shared" si="15"/>
        <v>0</v>
      </c>
    </row>
    <row r="52" spans="1:24" ht="14.25">
      <c r="A52" s="34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4"/>
      <c r="M52" s="146">
        <f t="shared" si="25"/>
        <v>0</v>
      </c>
      <c r="N52" s="32">
        <f t="shared" si="6"/>
        <v>0</v>
      </c>
      <c r="O52" s="32">
        <f t="shared" si="7"/>
        <v>0</v>
      </c>
      <c r="P52" s="32">
        <f t="shared" si="8"/>
        <v>0</v>
      </c>
      <c r="Q52" s="32">
        <f t="shared" si="9"/>
        <v>0</v>
      </c>
      <c r="R52" s="32">
        <f t="shared" si="10"/>
        <v>0</v>
      </c>
      <c r="S52" s="32">
        <f t="shared" si="11"/>
        <v>0</v>
      </c>
      <c r="T52" s="32">
        <f t="shared" si="12"/>
        <v>0</v>
      </c>
      <c r="U52" s="32">
        <f t="shared" si="13"/>
        <v>0</v>
      </c>
      <c r="V52" s="32">
        <f t="shared" si="14"/>
        <v>0</v>
      </c>
      <c r="W52" s="32">
        <f t="shared" si="17"/>
        <v>0</v>
      </c>
      <c r="X52" s="32">
        <f t="shared" si="15"/>
        <v>0</v>
      </c>
    </row>
    <row r="53" spans="1:24" ht="15">
      <c r="A53" s="144" t="s">
        <v>53</v>
      </c>
      <c r="B53" s="16">
        <v>0</v>
      </c>
      <c r="C53" s="16"/>
      <c r="D53" s="16">
        <v>0</v>
      </c>
      <c r="E53" s="16"/>
      <c r="F53" s="16"/>
      <c r="G53" s="16">
        <v>0</v>
      </c>
      <c r="H53" s="16"/>
      <c r="I53" s="16"/>
      <c r="J53" s="16"/>
      <c r="K53" s="16"/>
      <c r="L53" s="24"/>
      <c r="M53" s="146">
        <f t="shared" si="25"/>
        <v>0</v>
      </c>
      <c r="N53" s="32">
        <f t="shared" si="6"/>
        <v>0</v>
      </c>
      <c r="O53" s="32">
        <f t="shared" si="7"/>
        <v>0</v>
      </c>
      <c r="P53" s="32">
        <f t="shared" si="8"/>
        <v>0</v>
      </c>
      <c r="Q53" s="32">
        <f t="shared" si="9"/>
        <v>0</v>
      </c>
      <c r="R53" s="32">
        <f t="shared" si="10"/>
        <v>0</v>
      </c>
      <c r="S53" s="32">
        <f t="shared" si="11"/>
        <v>0</v>
      </c>
      <c r="T53" s="32">
        <f t="shared" si="12"/>
        <v>0</v>
      </c>
      <c r="U53" s="32">
        <f t="shared" si="13"/>
        <v>0</v>
      </c>
      <c r="V53" s="32">
        <f t="shared" si="14"/>
        <v>0</v>
      </c>
      <c r="W53" s="32">
        <f t="shared" si="17"/>
        <v>0</v>
      </c>
      <c r="X53" s="32">
        <f t="shared" si="15"/>
        <v>0</v>
      </c>
    </row>
    <row r="54" spans="1:24" ht="15.75" thickBot="1">
      <c r="A54" s="150" t="s">
        <v>54</v>
      </c>
      <c r="B54" s="38">
        <f>+B51+B46+B40+B28</f>
        <v>1258065.1</v>
      </c>
      <c r="C54" s="39"/>
      <c r="D54" s="38">
        <f>+D51+D46+D40+D28</f>
        <v>2582433</v>
      </c>
      <c r="E54" s="40">
        <f>+((D54-B54)/B54)*100</f>
        <v>105.27022011817988</v>
      </c>
      <c r="F54" s="39"/>
      <c r="G54" s="38">
        <f>+G51+G46+G40+G28</f>
        <v>1845858</v>
      </c>
      <c r="H54" s="40">
        <f>+((G54-D54)/D54)*100</f>
        <v>-28.522521203841496</v>
      </c>
      <c r="I54" s="39"/>
      <c r="J54" s="38">
        <f>+J51+J46+J40+J28</f>
        <v>966417.22</v>
      </c>
      <c r="K54" s="40">
        <f>+((J54-G54)/G54)*100</f>
        <v>-47.64401053602173</v>
      </c>
      <c r="L54" s="41"/>
      <c r="M54" s="146"/>
      <c r="N54" s="32">
        <f t="shared" si="6"/>
        <v>966417.22</v>
      </c>
      <c r="O54" s="32">
        <f>SUM(O10:O53)</f>
        <v>2308489.2779640006</v>
      </c>
      <c r="P54" s="32">
        <f aca="true" t="shared" si="26" ref="P54:X54">SUM(P10:P53)</f>
        <v>2515353.312980761</v>
      </c>
      <c r="Q54" s="32">
        <f t="shared" si="26"/>
        <v>2740835.1111490293</v>
      </c>
      <c r="R54" s="32">
        <f t="shared" si="26"/>
        <v>2986610.2711524423</v>
      </c>
      <c r="S54" s="32">
        <f t="shared" si="26"/>
        <v>3254505.195556162</v>
      </c>
      <c r="T54" s="32">
        <f t="shared" si="26"/>
        <v>3546510.6631562165</v>
      </c>
      <c r="U54" s="32">
        <f t="shared" si="26"/>
        <v>3864796.622840277</v>
      </c>
      <c r="V54" s="32">
        <f t="shared" si="26"/>
        <v>4211728.3188959025</v>
      </c>
      <c r="W54" s="32">
        <f t="shared" si="26"/>
        <v>4589883.867596534</v>
      </c>
      <c r="X54" s="32">
        <f t="shared" si="26"/>
        <v>5002073.415680222</v>
      </c>
    </row>
    <row r="55" spans="1:15" ht="14.25">
      <c r="A55" s="134" t="s">
        <v>190</v>
      </c>
      <c r="O55" s="151"/>
    </row>
    <row r="56" ht="14.25">
      <c r="O56" s="151"/>
    </row>
    <row r="57" spans="1:24" ht="48" customHeight="1">
      <c r="A57" s="189" t="s">
        <v>192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</row>
    <row r="58" ht="48" customHeight="1" thickBot="1"/>
    <row r="59" spans="1:24" s="152" customFormat="1" ht="48" customHeight="1">
      <c r="A59" s="135" t="s">
        <v>6</v>
      </c>
      <c r="B59" s="136">
        <v>1996</v>
      </c>
      <c r="C59" s="136" t="s">
        <v>7</v>
      </c>
      <c r="D59" s="136">
        <v>1997</v>
      </c>
      <c r="E59" s="136" t="s">
        <v>7</v>
      </c>
      <c r="F59" s="136" t="s">
        <v>163</v>
      </c>
      <c r="G59" s="137">
        <v>1998</v>
      </c>
      <c r="H59" s="137" t="s">
        <v>7</v>
      </c>
      <c r="I59" s="136" t="s">
        <v>163</v>
      </c>
      <c r="J59" s="137">
        <v>1999</v>
      </c>
      <c r="K59" s="137" t="s">
        <v>7</v>
      </c>
      <c r="L59" s="138" t="s">
        <v>164</v>
      </c>
      <c r="M59" s="139" t="s">
        <v>165</v>
      </c>
      <c r="N59" s="136">
        <v>2000</v>
      </c>
      <c r="O59" s="136">
        <v>2001</v>
      </c>
      <c r="P59" s="136">
        <v>2002</v>
      </c>
      <c r="Q59" s="136">
        <v>2003</v>
      </c>
      <c r="R59" s="136">
        <v>2004</v>
      </c>
      <c r="S59" s="137">
        <v>2005</v>
      </c>
      <c r="T59" s="137">
        <v>2006</v>
      </c>
      <c r="U59" s="136">
        <v>2007</v>
      </c>
      <c r="V59" s="137">
        <v>2008</v>
      </c>
      <c r="W59" s="137">
        <v>2009</v>
      </c>
      <c r="X59" s="137">
        <v>2010</v>
      </c>
    </row>
    <row r="60" spans="1:24" ht="48" customHeight="1">
      <c r="A60" s="182" t="s">
        <v>187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>
        <v>209614.63</v>
      </c>
      <c r="O60" s="16">
        <f>+N60*1.09</f>
        <v>228479.94670000003</v>
      </c>
      <c r="P60" s="16">
        <f aca="true" t="shared" si="27" ref="P60:X60">+O60*1.09</f>
        <v>249043.14190300004</v>
      </c>
      <c r="Q60" s="16">
        <f t="shared" si="27"/>
        <v>271457.02467427007</v>
      </c>
      <c r="R60" s="16">
        <f t="shared" si="27"/>
        <v>295888.1568949544</v>
      </c>
      <c r="S60" s="16">
        <f t="shared" si="27"/>
        <v>322518.0910155003</v>
      </c>
      <c r="T60" s="16">
        <f t="shared" si="27"/>
        <v>351544.7192068954</v>
      </c>
      <c r="U60" s="16">
        <f t="shared" si="27"/>
        <v>383183.743935516</v>
      </c>
      <c r="V60" s="16">
        <f t="shared" si="27"/>
        <v>417670.28088971245</v>
      </c>
      <c r="W60" s="16">
        <f t="shared" si="27"/>
        <v>455260.6061697866</v>
      </c>
      <c r="X60" s="16">
        <f t="shared" si="27"/>
        <v>496234.06072506745</v>
      </c>
    </row>
    <row r="61" spans="1:24" ht="48" customHeight="1">
      <c r="A61" s="182" t="s">
        <v>188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32">
        <f>+N54-N60</f>
        <v>756802.59</v>
      </c>
      <c r="O61" s="32">
        <f aca="true" t="shared" si="28" ref="O61:X61">+O54-O60</f>
        <v>2080009.3312640006</v>
      </c>
      <c r="P61" s="32">
        <f t="shared" si="28"/>
        <v>2266310.171077761</v>
      </c>
      <c r="Q61" s="32">
        <f t="shared" si="28"/>
        <v>2469378.0864747595</v>
      </c>
      <c r="R61" s="32">
        <f t="shared" si="28"/>
        <v>2690722.114257488</v>
      </c>
      <c r="S61" s="32">
        <f t="shared" si="28"/>
        <v>2931987.1045406614</v>
      </c>
      <c r="T61" s="32">
        <f t="shared" si="28"/>
        <v>3194965.9439493213</v>
      </c>
      <c r="U61" s="32">
        <f t="shared" si="28"/>
        <v>3481612.878904761</v>
      </c>
      <c r="V61" s="32">
        <f t="shared" si="28"/>
        <v>3794058.03800619</v>
      </c>
      <c r="W61" s="32">
        <f t="shared" si="28"/>
        <v>4134623.2614267473</v>
      </c>
      <c r="X61" s="32">
        <f t="shared" si="28"/>
        <v>4505839.3549551545</v>
      </c>
    </row>
    <row r="62" spans="1:24" ht="48" customHeight="1">
      <c r="A62" s="153" t="s">
        <v>166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>
        <f>+N61*0.3</f>
        <v>227040.77699999997</v>
      </c>
      <c r="O62" s="16">
        <f>+O61*0.3</f>
        <v>624002.7993792002</v>
      </c>
      <c r="P62" s="16">
        <f>+P61*0.3</f>
        <v>679893.0513233283</v>
      </c>
      <c r="Q62" s="16">
        <f aca="true" t="shared" si="29" ref="Q62:X62">+Q61*0.3</f>
        <v>740813.4259424278</v>
      </c>
      <c r="R62" s="16">
        <f t="shared" si="29"/>
        <v>807216.6342772463</v>
      </c>
      <c r="S62" s="16">
        <f t="shared" si="29"/>
        <v>879596.1313621984</v>
      </c>
      <c r="T62" s="16">
        <f t="shared" si="29"/>
        <v>958489.7831847963</v>
      </c>
      <c r="U62" s="16">
        <f t="shared" si="29"/>
        <v>1044483.8636714282</v>
      </c>
      <c r="V62" s="16">
        <f t="shared" si="29"/>
        <v>1138217.411401857</v>
      </c>
      <c r="W62" s="16">
        <f t="shared" si="29"/>
        <v>1240386.978428024</v>
      </c>
      <c r="X62" s="16">
        <f t="shared" si="29"/>
        <v>1351751.8064865463</v>
      </c>
    </row>
    <row r="63" spans="1:24" ht="48" customHeight="1">
      <c r="A63" s="153" t="s">
        <v>167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>
        <f>+N61*0.25</f>
        <v>189200.6475</v>
      </c>
      <c r="O63" s="16">
        <f aca="true" t="shared" si="30" ref="O63:X63">+O61*0.25</f>
        <v>520002.33281600015</v>
      </c>
      <c r="P63" s="16">
        <f t="shared" si="30"/>
        <v>566577.5427694402</v>
      </c>
      <c r="Q63" s="16">
        <f t="shared" si="30"/>
        <v>617344.5216186899</v>
      </c>
      <c r="R63" s="16">
        <f t="shared" si="30"/>
        <v>672680.528564372</v>
      </c>
      <c r="S63" s="16">
        <f t="shared" si="30"/>
        <v>732996.7761351654</v>
      </c>
      <c r="T63" s="16">
        <f t="shared" si="30"/>
        <v>798741.4859873303</v>
      </c>
      <c r="U63" s="16">
        <f t="shared" si="30"/>
        <v>870403.2197261902</v>
      </c>
      <c r="V63" s="16">
        <f t="shared" si="30"/>
        <v>948514.5095015476</v>
      </c>
      <c r="W63" s="16">
        <f t="shared" si="30"/>
        <v>1033655.8153566868</v>
      </c>
      <c r="X63" s="16">
        <f t="shared" si="30"/>
        <v>1126459.8387387886</v>
      </c>
    </row>
    <row r="64" spans="1:24" ht="48" customHeight="1">
      <c r="A64" s="153" t="s">
        <v>168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>
        <f>+N61*0.2</f>
        <v>151360.518</v>
      </c>
      <c r="O64" s="16">
        <f aca="true" t="shared" si="31" ref="O64:X64">+O61*0.2</f>
        <v>416001.86625280016</v>
      </c>
      <c r="P64" s="16">
        <f t="shared" si="31"/>
        <v>453262.0342155522</v>
      </c>
      <c r="Q64" s="16">
        <f t="shared" si="31"/>
        <v>493875.6172949519</v>
      </c>
      <c r="R64" s="16">
        <f t="shared" si="31"/>
        <v>538144.4228514977</v>
      </c>
      <c r="S64" s="16">
        <f t="shared" si="31"/>
        <v>586397.4209081323</v>
      </c>
      <c r="T64" s="16">
        <f t="shared" si="31"/>
        <v>638993.1887898643</v>
      </c>
      <c r="U64" s="16">
        <f t="shared" si="31"/>
        <v>696322.5757809522</v>
      </c>
      <c r="V64" s="16">
        <f t="shared" si="31"/>
        <v>758811.6076012381</v>
      </c>
      <c r="W64" s="16">
        <f t="shared" si="31"/>
        <v>826924.6522853496</v>
      </c>
      <c r="X64" s="16">
        <f t="shared" si="31"/>
        <v>901167.8709910309</v>
      </c>
    </row>
    <row r="65" spans="1:24" ht="48" customHeight="1">
      <c r="A65" s="153" t="s">
        <v>169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>
        <f>+N61*0.05</f>
        <v>37840.1295</v>
      </c>
      <c r="O65" s="16">
        <f aca="true" t="shared" si="32" ref="O65:W65">+O61*0.05</f>
        <v>104000.46656320004</v>
      </c>
      <c r="P65" s="16">
        <f t="shared" si="32"/>
        <v>113315.50855388805</v>
      </c>
      <c r="Q65" s="16">
        <f t="shared" si="32"/>
        <v>123468.90432373798</v>
      </c>
      <c r="R65" s="16">
        <f t="shared" si="32"/>
        <v>134536.1057128744</v>
      </c>
      <c r="S65" s="16">
        <f t="shared" si="32"/>
        <v>146599.35522703308</v>
      </c>
      <c r="T65" s="16">
        <f t="shared" si="32"/>
        <v>159748.29719746608</v>
      </c>
      <c r="U65" s="16">
        <f t="shared" si="32"/>
        <v>174080.64394523806</v>
      </c>
      <c r="V65" s="16">
        <f t="shared" si="32"/>
        <v>189702.90190030952</v>
      </c>
      <c r="W65" s="16">
        <f t="shared" si="32"/>
        <v>206731.1630713374</v>
      </c>
      <c r="X65" s="16">
        <f>+X61*0.05</f>
        <v>225291.96774775774</v>
      </c>
    </row>
    <row r="66" spans="1:24" ht="48" customHeight="1">
      <c r="A66" s="153" t="s">
        <v>170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>
        <f>+N61*0.2</f>
        <v>151360.518</v>
      </c>
      <c r="O66" s="16">
        <f aca="true" t="shared" si="33" ref="O66:X66">+O61*0.2</f>
        <v>416001.86625280016</v>
      </c>
      <c r="P66" s="16">
        <f t="shared" si="33"/>
        <v>453262.0342155522</v>
      </c>
      <c r="Q66" s="16">
        <f t="shared" si="33"/>
        <v>493875.6172949519</v>
      </c>
      <c r="R66" s="16">
        <f t="shared" si="33"/>
        <v>538144.4228514977</v>
      </c>
      <c r="S66" s="16">
        <f t="shared" si="33"/>
        <v>586397.4209081323</v>
      </c>
      <c r="T66" s="16">
        <f t="shared" si="33"/>
        <v>638993.1887898643</v>
      </c>
      <c r="U66" s="16">
        <f t="shared" si="33"/>
        <v>696322.5757809522</v>
      </c>
      <c r="V66" s="16">
        <f t="shared" si="33"/>
        <v>758811.6076012381</v>
      </c>
      <c r="W66" s="16">
        <f t="shared" si="33"/>
        <v>826924.6522853496</v>
      </c>
      <c r="X66" s="16">
        <f t="shared" si="33"/>
        <v>901167.8709910309</v>
      </c>
    </row>
    <row r="67" spans="1:24" ht="48" customHeight="1">
      <c r="A67" s="153" t="s">
        <v>189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32">
        <f>+N60+N61</f>
        <v>966417.22</v>
      </c>
      <c r="O67" s="32">
        <f aca="true" t="shared" si="34" ref="O67:X67">+O60+O61</f>
        <v>2308489.2779640006</v>
      </c>
      <c r="P67" s="32">
        <f t="shared" si="34"/>
        <v>2515353.312980761</v>
      </c>
      <c r="Q67" s="32">
        <f t="shared" si="34"/>
        <v>2740835.11114903</v>
      </c>
      <c r="R67" s="32">
        <f t="shared" si="34"/>
        <v>2986610.2711524423</v>
      </c>
      <c r="S67" s="32">
        <f t="shared" si="34"/>
        <v>3254505.195556162</v>
      </c>
      <c r="T67" s="32">
        <f t="shared" si="34"/>
        <v>3546510.6631562165</v>
      </c>
      <c r="U67" s="32">
        <f t="shared" si="34"/>
        <v>3864796.622840277</v>
      </c>
      <c r="V67" s="32">
        <f t="shared" si="34"/>
        <v>4211728.3188959025</v>
      </c>
      <c r="W67" s="32">
        <f t="shared" si="34"/>
        <v>4589883.867596534</v>
      </c>
      <c r="X67" s="32">
        <f t="shared" si="34"/>
        <v>5002073.415680222</v>
      </c>
    </row>
    <row r="68" ht="48" customHeight="1">
      <c r="A68" s="134" t="s">
        <v>181</v>
      </c>
    </row>
  </sheetData>
  <mergeCells count="2">
    <mergeCell ref="A57:X57"/>
    <mergeCell ref="A1:X1"/>
  </mergeCells>
  <printOptions horizontalCentered="1" verticalCentered="1"/>
  <pageMargins left="0.5" right="0.58" top="0.58" bottom="0.34" header="0.5118110236220472" footer="0.31496062992125984"/>
  <pageSetup fitToHeight="1" fitToWidth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SILVA</dc:creator>
  <cp:keywords/>
  <dc:description/>
  <cp:lastModifiedBy>FAMILIA SILVA CORTES</cp:lastModifiedBy>
  <cp:lastPrinted>2000-10-23T15:16:03Z</cp:lastPrinted>
  <dcterms:created xsi:type="dcterms:W3CDTF">2000-03-30T19:26:29Z</dcterms:created>
  <dcterms:modified xsi:type="dcterms:W3CDTF">2000-10-23T15:19:54Z</dcterms:modified>
  <cp:category/>
  <cp:version/>
  <cp:contentType/>
  <cp:contentStatus/>
</cp:coreProperties>
</file>