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11970" windowHeight="3300" tabRatio="873" activeTab="5"/>
  </bookViews>
  <sheets>
    <sheet name="ANEXO" sheetId="1" r:id="rId1"/>
    <sheet name="Ingresos" sheetId="2" r:id="rId2"/>
    <sheet name="Gastos" sheetId="3" r:id="rId3"/>
    <sheet name="Proyección Ingreso" sheetId="4" r:id="rId4"/>
    <sheet name="Proyección Gasto" sheetId="5" r:id="rId5"/>
    <sheet name="Marco Fisca" sheetId="6" r:id="rId6"/>
    <sheet name="Aplica Ley 61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>Lorena Fajardo</author>
  </authors>
  <commentList>
    <comment ref="A27" authorId="0">
      <text>
        <r>
          <rPr>
            <b/>
            <sz val="8"/>
            <rFont val="Tahoma"/>
            <family val="2"/>
          </rPr>
          <t xml:space="preserve">Incluye: </t>
        </r>
        <r>
          <rPr>
            <sz val="8"/>
            <rFont val="Tahoma"/>
            <family val="2"/>
          </rPr>
          <t>Todas las estampillas, como la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de Pro-electrificación rural, pro-cultura, ETC</t>
        </r>
        <r>
          <rPr>
            <sz val="8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2"/>
          </rPr>
          <t xml:space="preserve">Incluye: </t>
        </r>
        <r>
          <rPr>
            <sz val="8"/>
            <rFont val="Tahoma"/>
            <family val="2"/>
          </rPr>
          <t>Contribución por valorización y otras contribuciones</t>
        </r>
        <r>
          <rPr>
            <sz val="8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2"/>
          </rPr>
          <t>Incluye: regalías petroler</t>
        </r>
        <r>
          <rPr>
            <sz val="8"/>
            <rFont val="Tahoma"/>
            <family val="2"/>
          </rPr>
          <t>as, carboníferas, de gas natural, oro, esmeraldas, etc.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>Incluye: La sumatoria de todas las tasas y todas las multas</t>
        </r>
      </text>
    </comment>
  </commentList>
</comments>
</file>

<file path=xl/comments4.xml><?xml version="1.0" encoding="utf-8"?>
<comments xmlns="http://schemas.openxmlformats.org/spreadsheetml/2006/main">
  <authors>
    <author>Lorena Fajardo</author>
  </authors>
  <commentList>
    <comment ref="A27" authorId="0">
      <text>
        <r>
          <rPr>
            <b/>
            <sz val="8"/>
            <rFont val="Tahoma"/>
            <family val="2"/>
          </rPr>
          <t xml:space="preserve">Incluye: </t>
        </r>
        <r>
          <rPr>
            <sz val="8"/>
            <rFont val="Tahoma"/>
            <family val="2"/>
          </rPr>
          <t>Todas las estampillas, como la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de electrificación rural, pro-desarrollo,tec y otras estampillas</t>
        </r>
        <r>
          <rPr>
            <sz val="8"/>
            <rFont val="Tahoma"/>
            <family val="2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2"/>
          </rPr>
          <t xml:space="preserve">Incluye: </t>
        </r>
        <r>
          <rPr>
            <sz val="8"/>
            <rFont val="Tahoma"/>
            <family val="2"/>
          </rPr>
          <t>Contribución por valorización y otras contribuciones</t>
        </r>
        <r>
          <rPr>
            <sz val="8"/>
            <rFont val="Tahoma"/>
            <family val="2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2"/>
          </rPr>
          <t>Incluye: regalías petroler</t>
        </r>
        <r>
          <rPr>
            <sz val="8"/>
            <rFont val="Tahoma"/>
            <family val="2"/>
          </rPr>
          <t>as, carboníferas, de gas natural, oro, esmeraldas, etc.</t>
        </r>
        <r>
          <rPr>
            <sz val="8"/>
            <rFont val="Tahoma"/>
            <family val="2"/>
          </rPr>
          <t xml:space="preserve">
</t>
        </r>
      </text>
    </comment>
    <comment ref="A75" authorId="0">
      <text>
        <r>
          <rPr>
            <b/>
            <sz val="8"/>
            <rFont val="Tahoma"/>
            <family val="2"/>
          </rPr>
          <t xml:space="preserve">Incluye: </t>
        </r>
        <r>
          <rPr>
            <sz val="8"/>
            <rFont val="Tahoma"/>
            <family val="2"/>
          </rPr>
          <t xml:space="preserve">Los correspondientes a los ingresos tributarios, a los préstamos concedidos y otras recuperaciones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Lorena Fajardo</author>
  </authors>
  <commentList>
    <comment ref="A19" authorId="0">
      <text>
        <r>
          <rPr>
            <b/>
            <sz val="8"/>
            <rFont val="Tahoma"/>
            <family val="2"/>
          </rPr>
          <t xml:space="preserve">Incluye: </t>
        </r>
        <r>
          <rPr>
            <sz val="8"/>
            <rFont val="Tahoma"/>
            <family val="2"/>
          </rPr>
          <t>Sobre tasa ambiental, impuesto a espectáculos, rifas y apuestas, deguello ganado menor, delineación urbana, alumbrado público, transporte hidrocarburos, estampillas, sobre tasa bomberil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Lorena Fajardo</author>
  </authors>
  <commentList>
    <comment ref="A18" authorId="0">
      <text>
        <r>
          <rPr>
            <b/>
            <sz val="8"/>
            <rFont val="Tahoma"/>
            <family val="2"/>
          </rPr>
          <t>Incluye: Actividades comerciales, industriales de servicio y financieras</t>
        </r>
        <r>
          <rPr>
            <sz val="8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2"/>
          </rPr>
          <t xml:space="preserve">Incluye: </t>
        </r>
        <r>
          <rPr>
            <sz val="8"/>
            <rFont val="Tahoma"/>
            <family val="2"/>
          </rPr>
          <t>Todas las estampillas, como la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de Pro-electrificación rural y pro-cultura</t>
        </r>
        <r>
          <rPr>
            <sz val="8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8"/>
            <rFont val="Tahoma"/>
            <family val="2"/>
          </rPr>
          <t>Incluye: Otros ingresos Tributarios y publicidad exterior visual</t>
        </r>
        <r>
          <rPr>
            <sz val="8"/>
            <rFont val="Tahoma"/>
            <family val="2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2"/>
          </rPr>
          <t>Incluye: La sumatoria de todas las tasas y todas las multas</t>
        </r>
      </text>
    </comment>
    <comment ref="A34" authorId="0">
      <text>
        <r>
          <rPr>
            <b/>
            <sz val="8"/>
            <rFont val="Tahoma"/>
            <family val="2"/>
          </rPr>
          <t xml:space="preserve">Incluye: </t>
        </r>
        <r>
          <rPr>
            <sz val="8"/>
            <rFont val="Tahoma"/>
            <family val="2"/>
          </rPr>
          <t>Contribución por valorización y otras contribuciones</t>
        </r>
        <r>
          <rPr>
            <sz val="8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2"/>
          </rPr>
          <t>Incluye: Transferencias corrientes a nivel nacional y del nivel departamental</t>
        </r>
      </text>
    </comment>
    <comment ref="A63" authorId="0">
      <text>
        <r>
          <rPr>
            <b/>
            <sz val="8"/>
            <rFont val="Tahoma"/>
            <family val="2"/>
          </rPr>
          <t>Incluye: Otros ingresos no tributarios, otras transferencias y nivel departamental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<sst xmlns="http://schemas.openxmlformats.org/spreadsheetml/2006/main" count="1015" uniqueCount="471">
  <si>
    <t xml:space="preserve">    Estampillas</t>
  </si>
  <si>
    <t xml:space="preserve">          De Vehículos Automotores</t>
  </si>
  <si>
    <t xml:space="preserve">PRESUPUESTO DEFINITIVO       AÑO 2005 </t>
  </si>
  <si>
    <t>CUADRO Nº 1</t>
  </si>
  <si>
    <t>CONCEPTOS DEL INGRESO MUNICIPAL</t>
  </si>
  <si>
    <t>CONCEPTOS DEL GASTO MUNICIPAL</t>
  </si>
  <si>
    <t xml:space="preserve">    Pagos a Particulares y Organismos Privados</t>
  </si>
  <si>
    <t>CUADRO Nº 2</t>
  </si>
  <si>
    <t>CÁLCULOS COMPLEMENTARIOS</t>
  </si>
  <si>
    <t>CONCEPTOS DEL GASTO MUNICIPAL DE                                                  LOS ÓRGANOS DE CONTROL</t>
  </si>
  <si>
    <t>ÓRGANOS DE CONTROL</t>
  </si>
  <si>
    <t>PROYECCIÓN AÑO 2007</t>
  </si>
  <si>
    <t>PROYECCIÓN AÑO 2008</t>
  </si>
  <si>
    <t>PROYECCIÓN AÑO 2009</t>
  </si>
  <si>
    <t>PROYECCIÓN AÑO 2010</t>
  </si>
  <si>
    <t>PROYECCIÓN AÑO 2011</t>
  </si>
  <si>
    <t>PROYECCIÓN AÑO 2012</t>
  </si>
  <si>
    <t>PROYECCIÓN AÑO 2013</t>
  </si>
  <si>
    <t>PROYECCIÓN AÑO 20114</t>
  </si>
  <si>
    <t>PROYECCIÓN AÑO 2015</t>
  </si>
  <si>
    <t>CUADRO Nº 3</t>
  </si>
  <si>
    <t>CUADRO Nº 4</t>
  </si>
  <si>
    <t>PROYECCIÓN DE GASTOS MUNICIPALES</t>
  </si>
  <si>
    <t>PROYECCIÓN DE INGRESOS MUNICIPALES</t>
  </si>
  <si>
    <t>ANÁLISIS DE LA EJECUCIÓN PRESUPUESTAL DE GASTOS MUNICIPALES</t>
  </si>
  <si>
    <t>ANÁLISIS DE LA EJECUCIÓN PRESUPUESTAL DE INGRESOS MUNICIPALES</t>
  </si>
  <si>
    <t>Transferencias al Concejo Municipal</t>
  </si>
  <si>
    <t>Transferencias a la Personería Municipal</t>
  </si>
  <si>
    <t>INGRESOS</t>
  </si>
  <si>
    <t xml:space="preserve"> INGRESOS CORRIENTES</t>
  </si>
  <si>
    <t xml:space="preserve">  TRIBUTARIOS</t>
  </si>
  <si>
    <t xml:space="preserve">    Impuesto de Circulación y Tránsito Servicio Público</t>
  </si>
  <si>
    <t xml:space="preserve">    Impuesto de Industria y Comercio</t>
  </si>
  <si>
    <t xml:space="preserve">    Sobretasa a la Gasolina</t>
  </si>
  <si>
    <t xml:space="preserve">    Impuesto de Espectáculos Públicos</t>
  </si>
  <si>
    <t xml:space="preserve">    Impuesto sobre Rifas y Apuestas</t>
  </si>
  <si>
    <t xml:space="preserve">    Impuesto de Avisos y Tableros</t>
  </si>
  <si>
    <t xml:space="preserve">    Impuesto de Deguello de Ganado Menor</t>
  </si>
  <si>
    <t xml:space="preserve">    Impuesto de Delineación Urbana</t>
  </si>
  <si>
    <t xml:space="preserve">    Impuesto sobre Servicio de Alumbrado Público</t>
  </si>
  <si>
    <t xml:space="preserve">    Impuesto al Transporte Hidrocarburos</t>
  </si>
  <si>
    <t xml:space="preserve">    Sobretasa Bomberil</t>
  </si>
  <si>
    <t xml:space="preserve">  NO TRIBUTARIOS</t>
  </si>
  <si>
    <t xml:space="preserve">    Tasas y Multas</t>
  </si>
  <si>
    <t xml:space="preserve">    Arrendamientos</t>
  </si>
  <si>
    <t xml:space="preserve">    Alquiler de Maquinaria y Equipo</t>
  </si>
  <si>
    <t xml:space="preserve">    Contribuciones</t>
  </si>
  <si>
    <t xml:space="preserve">   Transferencias</t>
  </si>
  <si>
    <t xml:space="preserve">      Transferencias Corrientes (Para Funcionamiento)</t>
  </si>
  <si>
    <t xml:space="preserve">      Transferencias de Capital (Para Inversión)</t>
  </si>
  <si>
    <t xml:space="preserve">            Sistema General de Participaciones -Educación-</t>
  </si>
  <si>
    <t xml:space="preserve">            Sistema General de Participaciones -Salud-</t>
  </si>
  <si>
    <t xml:space="preserve">          Empresa para la Salud -ETESA-</t>
  </si>
  <si>
    <t xml:space="preserve">          Fondo de Solidaridad y Garantías -FOSYGA-</t>
  </si>
  <si>
    <t xml:space="preserve">          Otras Transferencias del Nivel Nacional</t>
  </si>
  <si>
    <t xml:space="preserve">        Del Nivel Departamental</t>
  </si>
  <si>
    <t xml:space="preserve">          Otras Transferencias del Nivel Departamental</t>
  </si>
  <si>
    <t xml:space="preserve">    Otros Ingresos No Tributarios</t>
  </si>
  <si>
    <t xml:space="preserve"> INGRESOS DE CAPITAL</t>
  </si>
  <si>
    <t xml:space="preserve">          Fondo Nacional de Regalías -FNR-</t>
  </si>
  <si>
    <t xml:space="preserve">        Regalías</t>
  </si>
  <si>
    <t xml:space="preserve">  RECURSOS DEL CRÉDITO</t>
  </si>
  <si>
    <t xml:space="preserve">    Interno</t>
  </si>
  <si>
    <t xml:space="preserve">      Del Sector Financiero</t>
  </si>
  <si>
    <t xml:space="preserve">  RECURSOS DEL BALANCE</t>
  </si>
  <si>
    <t xml:space="preserve">    Saldo en Caja y Bancos a Diciembre 31 Vigencia Anterior</t>
  </si>
  <si>
    <t xml:space="preserve">    Recuperación de Cartera</t>
  </si>
  <si>
    <t xml:space="preserve">    Cancelación de Reservas</t>
  </si>
  <si>
    <t xml:space="preserve">    Superávit Fiscal</t>
  </si>
  <si>
    <t xml:space="preserve">    Venta de Activos</t>
  </si>
  <si>
    <t xml:space="preserve">    Otros Recursos del Balance</t>
  </si>
  <si>
    <t xml:space="preserve">  RENDIMIENTO DE INVERSIONES FINANCIERAS</t>
  </si>
  <si>
    <t xml:space="preserve">  DONACIONES</t>
  </si>
  <si>
    <t xml:space="preserve">  EXCEDENTES FINANCIEROS</t>
  </si>
  <si>
    <t xml:space="preserve">    Excedente de Establecimientos Públicos</t>
  </si>
  <si>
    <t xml:space="preserve">    Utilidad de Empresas Industriales y Comerciales</t>
  </si>
  <si>
    <t xml:space="preserve">  OTROS INGRESOS DE CAPITAL</t>
  </si>
  <si>
    <t>GASTOS</t>
  </si>
  <si>
    <t xml:space="preserve"> GASTOS DE FUNCIONAMIENTO</t>
  </si>
  <si>
    <t xml:space="preserve">  GASTOS DE PERSONAL</t>
  </si>
  <si>
    <t xml:space="preserve">   Servicios Personales Asociados a la Nómina</t>
  </si>
  <si>
    <t xml:space="preserve">   Servicios Personales Indirectos</t>
  </si>
  <si>
    <t xml:space="preserve">      Honorarios</t>
  </si>
  <si>
    <t xml:space="preserve">      Jornales</t>
  </si>
  <si>
    <t xml:space="preserve">      Personal Supernumerario</t>
  </si>
  <si>
    <t xml:space="preserve">      Remuneración por Servicios Técnicos</t>
  </si>
  <si>
    <t xml:space="preserve">      Otros Servicios Personales Indirectos</t>
  </si>
  <si>
    <t xml:space="preserve">   Contribuciones Inherentes a la Nómina</t>
  </si>
  <si>
    <t xml:space="preserve">      Al Sector Público</t>
  </si>
  <si>
    <t xml:space="preserve">        Aportes Previsión Social</t>
  </si>
  <si>
    <t xml:space="preserve">        Aportes Parafiscales</t>
  </si>
  <si>
    <t xml:space="preserve">      Al Sector Privado</t>
  </si>
  <si>
    <t xml:space="preserve">  GASTOS GENERALES</t>
  </si>
  <si>
    <t xml:space="preserve">    Adquisición de Bienes</t>
  </si>
  <si>
    <t xml:space="preserve">    Adquisición de Servicios</t>
  </si>
  <si>
    <t xml:space="preserve">    Otros Gastos Generales</t>
  </si>
  <si>
    <t xml:space="preserve">  TRANSFERENCIAS</t>
  </si>
  <si>
    <t xml:space="preserve">   Al Sector Público</t>
  </si>
  <si>
    <t xml:space="preserve">      Pagos de Previsión Social</t>
  </si>
  <si>
    <t xml:space="preserve">          Cesantías (pagos directos)</t>
  </si>
  <si>
    <t xml:space="preserve">          Pensiones (mesadas)</t>
  </si>
  <si>
    <t xml:space="preserve">          Otras Prestaciones Sociales</t>
  </si>
  <si>
    <t xml:space="preserve">      Pagos a Otras Entidades del Sector Público</t>
  </si>
  <si>
    <t xml:space="preserve">        Al Nivel Nacional</t>
  </si>
  <si>
    <t xml:space="preserve">        Departamento (Administración Central)</t>
  </si>
  <si>
    <t xml:space="preserve">        Municipios (Administración Central)</t>
  </si>
  <si>
    <t xml:space="preserve">        A Entidades Descentralizadas</t>
  </si>
  <si>
    <t xml:space="preserve">   Al Sector Privado</t>
  </si>
  <si>
    <t xml:space="preserve">   Indemnizaciones por Retiros de Personal</t>
  </si>
  <si>
    <t xml:space="preserve">   Sentencias y Conciliaciones</t>
  </si>
  <si>
    <t xml:space="preserve">   Otras Transferencias (a Bomberos, CAR y otras similares de fuentes propias)</t>
  </si>
  <si>
    <t xml:space="preserve">   DEFICIT FISCAL (FUNCIONAMIENTO) </t>
  </si>
  <si>
    <t xml:space="preserve"> DÉFICIT FISCAL VIGENCIAS 2.001 Y SIGUIENTES</t>
  </si>
  <si>
    <t xml:space="preserve"> DEFICIT FISCAL VIGENCIA 2.000 Y ANTERIORES</t>
  </si>
  <si>
    <t>GASTOS DE INVERSION</t>
  </si>
  <si>
    <t xml:space="preserve">  CON RECURSOS DEL SGP</t>
  </si>
  <si>
    <t xml:space="preserve">   EDUCACION</t>
  </si>
  <si>
    <t xml:space="preserve">      Construcción, reparación y manteniemiento de Planteles para Preescolar, Primaria y Secundaria</t>
  </si>
  <si>
    <t xml:space="preserve">      Preinversión: Estudios, Proyectos, Diseños y Asesorías</t>
  </si>
  <si>
    <t xml:space="preserve">      Pago Personal Docente</t>
  </si>
  <si>
    <t xml:space="preserve">      Aportes de Seguridad Social del Personal del Sector</t>
  </si>
  <si>
    <t xml:space="preserve">      Subsidio para el Acceso de la Población a Servicios Educativos</t>
  </si>
  <si>
    <t xml:space="preserve">      Otros Gastos Educación</t>
  </si>
  <si>
    <t xml:space="preserve">   SALUD</t>
  </si>
  <si>
    <t xml:space="preserve">      Construcción y mantenimiento de Hospitales y Puestos de Salud</t>
  </si>
  <si>
    <t xml:space="preserve">      Pagos de Personal del Sector</t>
  </si>
  <si>
    <t xml:space="preserve">      Subsidio para el Acceso de la Población a Servicios Medicos</t>
  </si>
  <si>
    <t xml:space="preserve">      Otros Gastos Salud</t>
  </si>
  <si>
    <t xml:space="preserve">  CON RECURSOS DE PARTICIPACIONES DE PROPOSITO GENERAL - SGP</t>
  </si>
  <si>
    <t xml:space="preserve">    Pagos de personal y aportes a la seguridad  social</t>
  </si>
  <si>
    <t xml:space="preserve">       Agua Potable y Saneamiento Básico</t>
  </si>
  <si>
    <t xml:space="preserve">       Infraestructura Vial </t>
  </si>
  <si>
    <t xml:space="preserve">       Vivienda</t>
  </si>
  <si>
    <t xml:space="preserve">       Educación</t>
  </si>
  <si>
    <t xml:space="preserve">       Educación Física, Deporte y Recreación</t>
  </si>
  <si>
    <t xml:space="preserve">       Salud</t>
  </si>
  <si>
    <t xml:space="preserve">       Cultura</t>
  </si>
  <si>
    <t xml:space="preserve">       Sector Energético</t>
  </si>
  <si>
    <t xml:space="preserve">       Desarrollo Agropecuario y Minero</t>
  </si>
  <si>
    <t xml:space="preserve">       Infraestructura Urbana</t>
  </si>
  <si>
    <t xml:space="preserve">       Desarrollo de la comunidad</t>
  </si>
  <si>
    <t xml:space="preserve">       Justicia, defensa y seguridad</t>
  </si>
  <si>
    <t xml:space="preserve">       Otros sectores</t>
  </si>
  <si>
    <t xml:space="preserve">    Subsidios para el acceso de la población al servicio</t>
  </si>
  <si>
    <t xml:space="preserve">        Sector Energético</t>
  </si>
  <si>
    <t xml:space="preserve">    Formación Bruta de capital  y otros (construcción, reparación, mantenimiento, asistencia técnica, preinversión, etc)</t>
  </si>
  <si>
    <t xml:space="preserve">       Desarrollo Institucional</t>
  </si>
  <si>
    <t xml:space="preserve">  CON RECURSOS DE REGALIAS Y FONDOS DE COFINANCIACIÓN</t>
  </si>
  <si>
    <t xml:space="preserve">       Otros</t>
  </si>
  <si>
    <t xml:space="preserve">  CON RECURSOS PROPIOS Y OTROS</t>
  </si>
  <si>
    <t xml:space="preserve">  DÉFICIT FISCAL (POR INVERSIÓN)</t>
  </si>
  <si>
    <t xml:space="preserve"> SERVICIO DE LA DEUDA</t>
  </si>
  <si>
    <t xml:space="preserve">    Deuda Interna</t>
  </si>
  <si>
    <t xml:space="preserve">      Amortización</t>
  </si>
  <si>
    <t xml:space="preserve">      Intereses</t>
  </si>
  <si>
    <t xml:space="preserve">      Comisiones y Otros</t>
  </si>
  <si>
    <t xml:space="preserve">      Bonos Pensionales</t>
  </si>
  <si>
    <t>Transferencias a Concejo</t>
  </si>
  <si>
    <t>Transferencias a Personería</t>
  </si>
  <si>
    <t>INGRESOS TOTALES</t>
  </si>
  <si>
    <t>INGRESOS CORRIENTES</t>
  </si>
  <si>
    <t>TRIBUTARIOS</t>
  </si>
  <si>
    <t>NO TRIBUTARIOS</t>
  </si>
  <si>
    <t xml:space="preserve">             Ingresos de la propiedad (Tasas, multas, arrendamientos y alquileres, contribuciones)</t>
  </si>
  <si>
    <t xml:space="preserve">             Otros no tributarios (operación comercial, fondos especiales, otros)</t>
  </si>
  <si>
    <t xml:space="preserve">       Transferencias</t>
  </si>
  <si>
    <t xml:space="preserve">         Del Nivel Nacional (SGP- Inversión)</t>
  </si>
  <si>
    <t>GASTOS  TOTALES</t>
  </si>
  <si>
    <t>GASTOS CORRIENTES</t>
  </si>
  <si>
    <t>FUNCIONAMIENTO</t>
  </si>
  <si>
    <t xml:space="preserve">        Previsión Social (cesantías y otras prestaciones)</t>
  </si>
  <si>
    <t xml:space="preserve">        A Entidades Departamentales</t>
  </si>
  <si>
    <t xml:space="preserve">        A Entidades Municipales</t>
  </si>
  <si>
    <t xml:space="preserve">        Sentencias y Conciliaciones</t>
  </si>
  <si>
    <t xml:space="preserve"> Intereses y Comisiones de Deuda Pública</t>
  </si>
  <si>
    <t xml:space="preserve">           Interna</t>
  </si>
  <si>
    <t>Gastos operativos en sectores sociales (remuneración al trabajo, prestaciones, subsidios en educación, salud y otros sectores de inversión)</t>
  </si>
  <si>
    <t>Déficit de Vigencias anteriores por funcionamiento</t>
  </si>
  <si>
    <t>Amortización de Bonos Pensionales</t>
  </si>
  <si>
    <t>DÉFICIT O AHORRO CORRIENTE</t>
  </si>
  <si>
    <t>INGRESOS DE CAPITAL</t>
  </si>
  <si>
    <t xml:space="preserve">        Cofinanciación (Fondos de Cofinanciación, FNR)</t>
  </si>
  <si>
    <t xml:space="preserve">         Rendimientos Financieros</t>
  </si>
  <si>
    <t xml:space="preserve">         Excedentes Financieros</t>
  </si>
  <si>
    <t xml:space="preserve">         Recursos del balance  </t>
  </si>
  <si>
    <t xml:space="preserve">         Otros recursos de capital  (donaciones, aprovechamientos y otros)</t>
  </si>
  <si>
    <t>GASTOS DE CAPITAL</t>
  </si>
  <si>
    <t xml:space="preserve">        Formación Bruta de capital (construcción, reparación)</t>
  </si>
  <si>
    <t xml:space="preserve">        Déficit de Vigencias anteriores por inversión</t>
  </si>
  <si>
    <t>DÉFICIT O SUPERÁVIT DE CAPITAL</t>
  </si>
  <si>
    <t>DÉFICIT O SUPERÁVIT TOTAL</t>
  </si>
  <si>
    <t>FINANCIACIÓN</t>
  </si>
  <si>
    <t xml:space="preserve">  Recursos del crédito</t>
  </si>
  <si>
    <t xml:space="preserve">        Desembolsos</t>
  </si>
  <si>
    <t xml:space="preserve">        Amortizaciones</t>
  </si>
  <si>
    <t xml:space="preserve">DÉFICIT O SUPERÁVIT PRIMARIO </t>
  </si>
  <si>
    <t>DÉFICIT O SUPERÁVIT PRIMARIO/INTERESES</t>
  </si>
  <si>
    <t xml:space="preserve">        A Entidades Nacionales (Fonpet y otros)</t>
  </si>
  <si>
    <t xml:space="preserve">    Sobretasa Ambiental ( O Participación del predial para las CAR)</t>
  </si>
  <si>
    <t>GASTOS TOTALES</t>
  </si>
  <si>
    <t>DEFICIT O SUPERAVIT PRESUPUESTAL</t>
  </si>
  <si>
    <t>CUADRO Nº 5</t>
  </si>
  <si>
    <t>PROYECCIÓN AÑO 2014</t>
  </si>
  <si>
    <t>CONCEPTOS DEL INGRESO Y DEL GASTO MUNICIPAL</t>
  </si>
  <si>
    <t xml:space="preserve">    Otros Ingresos Tributarios</t>
  </si>
  <si>
    <t xml:space="preserve">            SGP - Propósito General (Libre Destinación)</t>
  </si>
  <si>
    <t xml:space="preserve">              S. G. P. Educación - Prestación de Servicios</t>
  </si>
  <si>
    <t xml:space="preserve">              S. G. P. Educación - Aportes Patronales (Calidad)</t>
  </si>
  <si>
    <t xml:space="preserve">              S. G. P. Salud - Subsidio Demanda</t>
  </si>
  <si>
    <t xml:space="preserve">              S. G. P. Salud - Subsidio Oferta</t>
  </si>
  <si>
    <t xml:space="preserve">              S. G. P. Salud - Plan de Atención Básica (Pab)</t>
  </si>
  <si>
    <t xml:space="preserve">              S. G. P. Salud - Aportes Patronales</t>
  </si>
  <si>
    <t xml:space="preserve">              S. G. P. Salud - Prestación de Servicios</t>
  </si>
  <si>
    <t xml:space="preserve">            S G P Propósito General (Forsoza Inversión)</t>
  </si>
  <si>
    <t xml:space="preserve">            Otras Transferencias del Nivel Central Nacional</t>
  </si>
  <si>
    <t xml:space="preserve">    Fondos Especiales</t>
  </si>
  <si>
    <t xml:space="preserve">      Fondos para Previsión Social</t>
  </si>
  <si>
    <t xml:space="preserve">      Fondo de Seguridad (5% Contratos) -Ley 418/97-</t>
  </si>
  <si>
    <t xml:space="preserve">      Otros Fondos Especiales</t>
  </si>
  <si>
    <t xml:space="preserve">      Del Sector No Financiero</t>
  </si>
  <si>
    <t xml:space="preserve">    Externo</t>
  </si>
  <si>
    <t xml:space="preserve">    Reintegros</t>
  </si>
  <si>
    <t xml:space="preserve">  APROVECHAMIENTOS</t>
  </si>
  <si>
    <t xml:space="preserve">          Fondo de Ahorro y Estabilización Petrolera -FAEP-</t>
  </si>
  <si>
    <t>EJECUCIÓN DE INGRESOS A DICIEMBRE 2004</t>
  </si>
  <si>
    <t>EJECUCIÓN DE INGRESOS A DICIEMBRE 2003</t>
  </si>
  <si>
    <t>AÑO 2003 - 2005</t>
  </si>
  <si>
    <t xml:space="preserve">PRESUPUESTO INICIAL  AÑO 2005 </t>
  </si>
  <si>
    <t xml:space="preserve">PROYECTO PRESUPUESTO   AÑO 2006 </t>
  </si>
  <si>
    <t xml:space="preserve">    Impuesto Predial Unificado (Incluye predial de Resguardos)</t>
  </si>
  <si>
    <t xml:space="preserve">     S G P Alimentación Escolar</t>
  </si>
  <si>
    <t xml:space="preserve">     S G P Municipios Ribereños Rio Magdalena</t>
  </si>
  <si>
    <t xml:space="preserve">AÑO 2003 - 2005 </t>
  </si>
  <si>
    <t>COMPARACIÓN CON PROYECTO DE PRESUPUESTO 2006</t>
  </si>
  <si>
    <t xml:space="preserve">         Regalías</t>
  </si>
  <si>
    <t xml:space="preserve">         Cofinanciación</t>
  </si>
  <si>
    <t>% DE VARIACIÓN 2004/2005</t>
  </si>
  <si>
    <t>% DE VARIACIÓN 2003/2004</t>
  </si>
  <si>
    <t>PRESUPUESTO PROYECTADO AÑO 2006</t>
  </si>
  <si>
    <t>% DE EJECUCIÓN AÑO 2005</t>
  </si>
  <si>
    <t>% VARIACIÓN EJECUCIÓN 2005 RESPECTO A PRESUPUESTO 2006</t>
  </si>
  <si>
    <t>EJECUCIÓN DE GASTOS A DICIEMBRE 2004</t>
  </si>
  <si>
    <t>EJECUCIÓN DE GASTOS A DICIEMBRE 2003</t>
  </si>
  <si>
    <t>GASTOS PROYECTADOS  A DICIEMBRE 2005</t>
  </si>
  <si>
    <t>TASA DE PROYECCIÓN PARA AÑO 2006</t>
  </si>
  <si>
    <t>RECAUDO PROYECTADO A DICIEMBRE 2005</t>
  </si>
  <si>
    <t>GASTOS PROYECTADOS A DICIEMBRE 2005</t>
  </si>
  <si>
    <t xml:space="preserve">              S.G.P - Educación</t>
  </si>
  <si>
    <t xml:space="preserve">              S.G.P - Salud</t>
  </si>
  <si>
    <t xml:space="preserve">              S.G.P. - Propósito General (Forsoza Inversión)</t>
  </si>
  <si>
    <t xml:space="preserve">              Otras (Alimentación Escolar, Municipios ribereños rio magdalena, Otras transferencias del nivel central nacional)</t>
  </si>
  <si>
    <t xml:space="preserve">        Pagos a Particulares y Organismos Privados</t>
  </si>
  <si>
    <t xml:space="preserve">        Indemnizaciones por retiros de personal</t>
  </si>
  <si>
    <t xml:space="preserve">        Fondo de Ahorro y Estabilización Petrolera (FAEP)</t>
  </si>
  <si>
    <t>PRESUPUESTO PROYECTADO A DICIEMBRE 2005</t>
  </si>
  <si>
    <t>TASA DE PROYECCIÓN PARA AÑO 2007</t>
  </si>
  <si>
    <t>TASA DE PROYECCIÓN PARA AÑO 2008</t>
  </si>
  <si>
    <t>TASA DE PROYECCIÓN PARA AÑO 2009</t>
  </si>
  <si>
    <t>TASA DE PROYECCIÓN PARA AÑO 2010</t>
  </si>
  <si>
    <t>TASA DE PROYECCIÓN PARA AÑO 2011</t>
  </si>
  <si>
    <t>TASA DE PROYECCIÓN PARA AÑO 2012</t>
  </si>
  <si>
    <t>TASA DE PROYECCIÓN PARA AÑO 2013</t>
  </si>
  <si>
    <t>TASA DE PROYECCIÓN PARA AÑO 2015</t>
  </si>
  <si>
    <t>TASA DE PROYECCIÓN PARA AÑO 2014</t>
  </si>
  <si>
    <t>DÉFICIT O SUPERÁVIT PRIMARIO / INGRESOS CORRIENTES</t>
  </si>
  <si>
    <t>GASTOS CORRIENTES / INGRESOS CORRIENTES</t>
  </si>
  <si>
    <t>DÉFICIT O AHORRO CORRIENTE / INGRESOS CORRIENTES</t>
  </si>
  <si>
    <t>DÉFICIT O SUPERÁVIT TOTAL / INGRESOS CORRIENTES</t>
  </si>
  <si>
    <t>Ingresos Tributarios</t>
  </si>
  <si>
    <t>Ingresos No Tributarios</t>
  </si>
  <si>
    <t>Transferencias</t>
  </si>
  <si>
    <t>Recursos del Balance</t>
  </si>
  <si>
    <t>Regalías</t>
  </si>
  <si>
    <t>Rendimientos Financieros</t>
  </si>
  <si>
    <t>GASTOS DE FUNCIONAMIENTO</t>
  </si>
  <si>
    <t>Gastos de Personal</t>
  </si>
  <si>
    <t>Gastos Generales</t>
  </si>
  <si>
    <t>Gastos de Personal Financiados con Recursos de Inversión</t>
  </si>
  <si>
    <t>Pago Déficit de Vigencias Anteriores</t>
  </si>
  <si>
    <t>AHORRO OPERACIONAL</t>
  </si>
  <si>
    <t>COMPORTAMIENTO DE LA DEUDA VIGENTE</t>
  </si>
  <si>
    <t>Saldo de la Deuda</t>
  </si>
  <si>
    <t xml:space="preserve">   Saldo de la deuda a Diciembre 31 del año anterior</t>
  </si>
  <si>
    <t xml:space="preserve">   Créditos contratados en la presente vigencia</t>
  </si>
  <si>
    <t xml:space="preserve">   Cuentas por pagar al cierre de la vigencia anterior menos pago del déficit presente año</t>
  </si>
  <si>
    <t xml:space="preserve">   Pasivos contingentes estimados</t>
  </si>
  <si>
    <t>Amortización de la Deuda</t>
  </si>
  <si>
    <t xml:space="preserve">   Amortizaciones pagadas hasta el año anterior</t>
  </si>
  <si>
    <t xml:space="preserve">   Amortización a cancelar en la presente vigencia</t>
  </si>
  <si>
    <t>Intereses Cancelados</t>
  </si>
  <si>
    <t xml:space="preserve">   Intereses cancelados hasta el año anterior </t>
  </si>
  <si>
    <t xml:space="preserve">   Intereses a cancelar en la presente vigencia</t>
  </si>
  <si>
    <t>SITUACIÓN DE LA DEUDA SI SE TOMA UN CRÉDITO ADICIONAL</t>
  </si>
  <si>
    <t>Valor Total de Nuevo Crédito</t>
  </si>
  <si>
    <t>Amortización del Nuevo Crédito</t>
  </si>
  <si>
    <t>Intereses del Nuevo Crédito</t>
  </si>
  <si>
    <t>SALDO TOTAL DE LA DEUDA CON CRÉDITO ADICIONAL</t>
  </si>
  <si>
    <t>VALOR TOTAL DE LOS INTERESES</t>
  </si>
  <si>
    <t>SOLVENCIA = VALOR TOTAL DE INTERESES / AHORRO OPERACIONAL</t>
  </si>
  <si>
    <t>SOSTENIBILIDAD = SALDO DEUDA CON NUEVO CRÉDITO / INGRESOS CORRIENTES</t>
  </si>
  <si>
    <t xml:space="preserve">      Pago Servicios públicos</t>
  </si>
  <si>
    <t xml:space="preserve">      Transporte escolar y alimentación escolar</t>
  </si>
  <si>
    <t xml:space="preserve">      Capacitación</t>
  </si>
  <si>
    <t xml:space="preserve">      Alimentación escolar</t>
  </si>
  <si>
    <t xml:space="preserve">  CON RECURSOS PROPIOS Y CON SGP LIBRE DESTINACIÓN</t>
  </si>
  <si>
    <t xml:space="preserve">          Registro y Anotación</t>
  </si>
  <si>
    <t xml:space="preserve">          Degüello Ganado Mayor</t>
  </si>
  <si>
    <t>Ley 358/97: VALOR TOTAL DE INTERESES / AHORRO OPERACIONAL</t>
  </si>
  <si>
    <t>Ley 358/97: SALDO DE LA DEUDA / INGRESOS CORRIENTES</t>
  </si>
  <si>
    <t>ESTADO DE DEUDA DEL MUNICIPIO (SEMÁFORO)</t>
  </si>
  <si>
    <t>PRESUPUESTO DEFINITIVO AÑO 2005</t>
  </si>
  <si>
    <t>INGRESOS DE LIBRE INVERSIÓN</t>
  </si>
  <si>
    <t>% INGRESO CON DESTINACIÓN ESPECÍFICA</t>
  </si>
  <si>
    <t>INGRESOS CON DESTINACIÓN ESPECÍFICA</t>
  </si>
  <si>
    <t>PRESUPUESTO TOTAL</t>
  </si>
  <si>
    <r>
      <t xml:space="preserve">    </t>
    </r>
    <r>
      <rPr>
        <b/>
        <sz val="10"/>
        <rFont val="Arial"/>
        <family val="2"/>
      </rPr>
      <t>ICDL A TOMAR PARA CÁLCULO LEY 617 DE 2000</t>
    </r>
  </si>
  <si>
    <t>CÁLCULO FINAL APLICACIÓN LEY 617 DE 2000</t>
  </si>
  <si>
    <t xml:space="preserve">  Indemnización por Retiros de Personal</t>
  </si>
  <si>
    <t xml:space="preserve">   Pagos de Personal y Aportes de Seguridad social en Sectores de Inversión no autorizados </t>
  </si>
  <si>
    <t xml:space="preserve">  Déficit Fiscal por Funcionamiento</t>
  </si>
  <si>
    <t xml:space="preserve">  Otras Transferencias (a Bomberos, CAR y otras de fuentes propias)</t>
  </si>
  <si>
    <t>INDICADOR (Gastos de Funcionamiento/ICLD)</t>
  </si>
  <si>
    <t>COMPUTAN PARA LEY 617</t>
  </si>
  <si>
    <t>NO COMPUTAN PARA LEY 617</t>
  </si>
  <si>
    <t>TOTAL PRESUPUESTO</t>
  </si>
  <si>
    <t>CUADRO Nº 6</t>
  </si>
  <si>
    <t>APLICACIÓN DE LA LEY 617 DE 2000</t>
  </si>
  <si>
    <t>PROYECCIONES</t>
  </si>
  <si>
    <t>PROYECCIONES APLICACIÓN LEY 617 DE 2000</t>
  </si>
  <si>
    <t>MARCO FISCAL DE MEDIANO PLAZO - SUPERÁVIT PRIMARIO - SOSTENIBILIDAD DE LA DEUDA</t>
  </si>
  <si>
    <t>ICLD</t>
  </si>
  <si>
    <t>GASTOS DE FUNCIONAMIENTO CON ORGANOS DE CONTROL</t>
  </si>
  <si>
    <t>GTOS DE FTO CON ORGANOS DE CONTROL . / ICLD</t>
  </si>
  <si>
    <t>GASTOS DE FUNCIONAMIENTO SIN ORGANOS DE CONTROL</t>
  </si>
  <si>
    <t>GASTOS DE FUNCIONAMIENTO SIN ORGANOS DE CONTROL . / ICLD</t>
  </si>
  <si>
    <t>PROYECCIÓN 2005</t>
  </si>
  <si>
    <t>PROYECCIÓN 2006</t>
  </si>
  <si>
    <t>PROYECCIÓN 2007</t>
  </si>
  <si>
    <t>PROYECCIÓN 2008</t>
  </si>
  <si>
    <t>PROYECCIÓN 2009</t>
  </si>
  <si>
    <t>PROYECCIÓN 2010</t>
  </si>
  <si>
    <t>PROYECCIÓN 2011</t>
  </si>
  <si>
    <t>PROYECCIÓN 2012</t>
  </si>
  <si>
    <t>PROYECCIÓN 2013</t>
  </si>
  <si>
    <t>PROYECCIÓN 2014</t>
  </si>
  <si>
    <t>PROYECCIÓN 2015</t>
  </si>
  <si>
    <t>CONCEPTO</t>
  </si>
  <si>
    <t>I. RESULTADO PRESUPUESTAL</t>
  </si>
  <si>
    <t>II. INDICADORES FINANCIEROS</t>
  </si>
  <si>
    <t>III. CÁLCULO DE CAPACIDAD DE ENDEUDAMIENTO DEL MUNICIPIO</t>
  </si>
  <si>
    <t>IV. INDICADORES DE LA CAPACIDAD DE ENDEUDAMIENTO</t>
  </si>
  <si>
    <t>V. LIMITES DEL GASTO (LEY 617 DE 2000)</t>
  </si>
  <si>
    <t>ESTADO DEL MUNICIPIO CONFORME LA LEY 819 DE 2003</t>
  </si>
  <si>
    <t>ESTADO DEL MUNICIPIO CON EL SERVICIO DE LA DEUDA</t>
  </si>
  <si>
    <t>SUPERÁVIT O DÉFICIT PRIMARIO / SERVICIO DE LA DEUDA</t>
  </si>
  <si>
    <t>RECAUDO PROYECTADO AL  MES DE D/BRE 2005</t>
  </si>
  <si>
    <t>MUNICIPIO CARMEN DE CARUPA</t>
  </si>
  <si>
    <t xml:space="preserve">MUNICIPIO CARMEN DE CARUPA </t>
  </si>
  <si>
    <t>MODIFICACIONES ACUMULADAS AL MES DE DICIEMBRE</t>
  </si>
  <si>
    <t>RECAUDO ACUMULADO AL MES DE DICIEMBRE</t>
  </si>
  <si>
    <t>GASTOS ACUMULADOS AL MES DE DICIEMBRE</t>
  </si>
  <si>
    <t>INGRESO</t>
  </si>
  <si>
    <t>CUENTA FORMATO</t>
  </si>
  <si>
    <t>CUENTA ADICIONADA</t>
  </si>
  <si>
    <t>OTROS INGRESOS TRIBUTARIOS</t>
  </si>
  <si>
    <t>APROBACION DE PLANOS</t>
  </si>
  <si>
    <t>OTRAS TRANSFERENCIAS DEL NIVEL NACIONAL</t>
  </si>
  <si>
    <t>4,01% RECURSOS ARS CAFAM</t>
  </si>
  <si>
    <t>OTROS FONDOS ESPECIALES</t>
  </si>
  <si>
    <t>FDO MAQ AGRICOLA</t>
  </si>
  <si>
    <t>FDO ASISTENCIA TECNICA</t>
  </si>
  <si>
    <t>OTROS INGRESOS NO TRIBUTARIOS</t>
  </si>
  <si>
    <t>SERVICIO DE ACUEDUCTO</t>
  </si>
  <si>
    <t>RECONEXION ACUEDUCTO</t>
  </si>
  <si>
    <t>SERVICIO DE ALCANTARILLADO</t>
  </si>
  <si>
    <t>SERVICIO DE ASEO</t>
  </si>
  <si>
    <t>RECUPERACION DE CARTERA</t>
  </si>
  <si>
    <t>RECUPERACION DE CARTERA SERV PUBLICOS</t>
  </si>
  <si>
    <t>PREDIAL V.A</t>
  </si>
  <si>
    <t>INDUSTRIA Y CIO V.A</t>
  </si>
  <si>
    <t>RENDIMIENTOS DE INVERISONES FINANCIERAS</t>
  </si>
  <si>
    <t>RENDIMIENTOS FINANCIEROS</t>
  </si>
  <si>
    <t>RENDIMIENTOS FINANCIEROS CONVENIOS EN GRAL</t>
  </si>
  <si>
    <t>RECURSOS DEL BALANCE INVERSIONES TEMPORALES</t>
  </si>
  <si>
    <t>GASTO</t>
  </si>
  <si>
    <t>GASTOS PERSONALES ASOCIADOS A LA NOMINA</t>
  </si>
  <si>
    <t>SUELDOS</t>
  </si>
  <si>
    <t>PRIMAS VARIAS</t>
  </si>
  <si>
    <t>DOTACION</t>
  </si>
  <si>
    <t>INDEMNIZACION</t>
  </si>
  <si>
    <t>AUXILIO DE TRANSPORTE</t>
  </si>
  <si>
    <t>REMUNERACION POR SERVICIOS TECNICOS</t>
  </si>
  <si>
    <t>PRESTACION DE SERVICIOS (FDO MAQ AGRICOLA)</t>
  </si>
  <si>
    <t>OTROS SERVICIOS PERSONALES INDIRECTOS</t>
  </si>
  <si>
    <t>SERVICIOS PROFECIONALES</t>
  </si>
  <si>
    <t>BONIFICACION ALCALDE</t>
  </si>
  <si>
    <t>APORTE PARAFISCALES PUBLICO</t>
  </si>
  <si>
    <t>ARP</t>
  </si>
  <si>
    <t>ICBF</t>
  </si>
  <si>
    <t>SENA</t>
  </si>
  <si>
    <t>ESAP</t>
  </si>
  <si>
    <t>INSTITUTOS TECNICOS</t>
  </si>
  <si>
    <t>APORTE PARAFISCALES PRIVADO</t>
  </si>
  <si>
    <t>CAJA DE COMPENSACIONES</t>
  </si>
  <si>
    <t>APORTES PREVISION SOCIAL PRIVADO</t>
  </si>
  <si>
    <t>CESANTIAS</t>
  </si>
  <si>
    <t>PENSIONES</t>
  </si>
  <si>
    <t>SALUD</t>
  </si>
  <si>
    <t>ADQUISICION DE BIENES</t>
  </si>
  <si>
    <t>COMUNICACIÓN Y TRANPORTE</t>
  </si>
  <si>
    <t>MATERIALES Y SUMINISTRO</t>
  </si>
  <si>
    <t>COMPRA DE EQUIPO</t>
  </si>
  <si>
    <t>COMPRA DE LOTES</t>
  </si>
  <si>
    <t>ADQUISICION DE MAQUINARIA</t>
  </si>
  <si>
    <t>ADQUISICION DE SERVICIOS</t>
  </si>
  <si>
    <t>RESTANTES</t>
  </si>
  <si>
    <t>OTRAS PRESTACIONES SOCIALES</t>
  </si>
  <si>
    <t>CUOTAS PARTES PENSIONALES</t>
  </si>
  <si>
    <t>PAGO A OTRAS ENTIDADES</t>
  </si>
  <si>
    <t>NIVEL NACIONAL</t>
  </si>
  <si>
    <t>FEDERACION NACIONAL DE MUNICIPIOS</t>
  </si>
  <si>
    <t>PARTICIPACION 20% Y 13% FDO REGALIAS</t>
  </si>
  <si>
    <t>DEPARTAMENTAL</t>
  </si>
  <si>
    <t>DEVOLUCION CONVENIOS</t>
  </si>
  <si>
    <t>MUNICIPAL</t>
  </si>
  <si>
    <t>APORTE CATASTRO</t>
  </si>
  <si>
    <t>ASOCIACION DE MUNICIPIOS</t>
  </si>
  <si>
    <t xml:space="preserve">OTRAS TRANSFERENCIAS </t>
  </si>
  <si>
    <t>TASAS Y CONTRIBUCIONES</t>
  </si>
  <si>
    <t>INVERSION OTROS SECTORES</t>
  </si>
  <si>
    <t>negro: recursos de inversion</t>
  </si>
  <si>
    <t>ambiental</t>
  </si>
  <si>
    <t>FORMULARIOS Y PLIEGOS</t>
  </si>
  <si>
    <t>PUBLICACION DE CONTRATOS</t>
  </si>
  <si>
    <t>ALMOTACEN PESAS Y MEDIDAS</t>
  </si>
  <si>
    <t>OTROS SERVICIOS DE PLANEACION</t>
  </si>
  <si>
    <t>CERTIFICADOS Y PAZ Y SALVOS</t>
  </si>
  <si>
    <t>OCUPACION DE ESPACIO PUBLICO</t>
  </si>
  <si>
    <t>PRESTAMO DE ATUENDOS</t>
  </si>
  <si>
    <t>REGISTRO DE MARCAS Y HERRETES</t>
  </si>
  <si>
    <t>GUIAS DE PROPIEDAD DE GANADO</t>
  </si>
  <si>
    <t>APROVECHAMIENTOS</t>
  </si>
  <si>
    <t>EXPLOTACIÓN DE CANTERAS Y GRAVAS</t>
  </si>
  <si>
    <t>INTERES PREDIAL UNIFICADO</t>
  </si>
  <si>
    <t xml:space="preserve">INTERES PREDIAL  </t>
  </si>
  <si>
    <t>INTERES IND Y COMERCIO</t>
  </si>
  <si>
    <t>CANCELACION DE RESERVAS</t>
  </si>
  <si>
    <t>CASTIGOS DE RESERVAS</t>
  </si>
  <si>
    <t>SUPERAVIT FISCAL</t>
  </si>
  <si>
    <t>TODOS  LOS SALDOS DE V.A</t>
  </si>
  <si>
    <t>avalenzu</t>
  </si>
  <si>
    <t>cultura</t>
  </si>
  <si>
    <t>transporte</t>
  </si>
  <si>
    <t>desarrollo comunitario</t>
  </si>
  <si>
    <t>sector energetico -- servicios publicos</t>
  </si>
  <si>
    <t>otros sectores -- relacion abajo</t>
  </si>
  <si>
    <t>atencion prevencion desastres</t>
  </si>
  <si>
    <t>centro de reclusion</t>
  </si>
  <si>
    <t>atencion grupo vulnerables</t>
  </si>
  <si>
    <t>rojo: propios-otros</t>
  </si>
  <si>
    <t>fortalecimiento institucional</t>
  </si>
  <si>
    <t>equipamiento municipal</t>
  </si>
  <si>
    <t>SECTOR</t>
  </si>
  <si>
    <r>
      <t xml:space="preserve">        </t>
    </r>
    <r>
      <rPr>
        <sz val="20"/>
        <rFont val="Arial"/>
        <family val="2"/>
      </rPr>
      <t>Otras Transferencias (a Bomberos, CAR y otras similares de fuentes propias)</t>
    </r>
  </si>
  <si>
    <t>PROYECCIÓN 2016</t>
  </si>
  <si>
    <t>PROYECCIÓN 2017</t>
  </si>
  <si>
    <t>PROYECCIÓN AÑO 2016</t>
  </si>
  <si>
    <t>PROYECCIÓN AÑO 2017</t>
  </si>
  <si>
    <t>TASA DE PROYECCIÓN PARA AÑO 2016</t>
  </si>
  <si>
    <t>TASA DE PROYECCIÓN PARA AÑO 2017</t>
  </si>
  <si>
    <t>PERÍODO 2008 - 2017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</si>
</sst>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 * #,##0.0_ ;_ * \-#,##0.0_ ;_ * &quot;-&quot;_ ;_ @_ "/>
    <numFmt numFmtId="189" formatCode="_ * #,##0.00_ ;_ * \-#,##0.00_ ;_ * &quot;-&quot;_ ;_ @_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color indexed="57"/>
      <name val="Arial"/>
      <family val="2"/>
    </font>
    <font>
      <b/>
      <sz val="14"/>
      <color indexed="12"/>
      <name val="Arial"/>
      <family val="2"/>
    </font>
    <font>
      <b/>
      <sz val="14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color indexed="4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7"/>
      <name val="Arial"/>
      <family val="2"/>
    </font>
    <font>
      <b/>
      <sz val="20"/>
      <color indexed="8"/>
      <name val="Arial"/>
      <family val="2"/>
    </font>
    <font>
      <b/>
      <sz val="22"/>
      <color indexed="57"/>
      <name val="Arial"/>
      <family val="2"/>
    </font>
    <font>
      <b/>
      <sz val="2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dotted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18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40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Continuous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0" fontId="4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 horizontal="left"/>
      <protection/>
    </xf>
    <xf numFmtId="0" fontId="0" fillId="0" borderId="12" xfId="0" applyNumberFormat="1" applyBorder="1" applyAlignment="1" applyProtection="1">
      <alignment horizontal="left"/>
      <protection/>
    </xf>
    <xf numFmtId="0" fontId="23" fillId="33" borderId="10" xfId="0" applyFont="1" applyFill="1" applyBorder="1" applyAlignment="1" applyProtection="1">
      <alignment horizontal="left"/>
      <protection/>
    </xf>
    <xf numFmtId="0" fontId="21" fillId="34" borderId="10" xfId="0" applyFont="1" applyFill="1" applyBorder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left"/>
      <protection/>
    </xf>
    <xf numFmtId="0" fontId="9" fillId="34" borderId="10" xfId="0" applyNumberFormat="1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/>
    </xf>
    <xf numFmtId="0" fontId="17" fillId="0" borderId="10" xfId="0" applyFont="1" applyFill="1" applyBorder="1" applyAlignment="1" applyProtection="1">
      <alignment horizontal="centerContinuous" vertical="center" wrapText="1"/>
      <protection/>
    </xf>
    <xf numFmtId="0" fontId="17" fillId="0" borderId="14" xfId="0" applyFont="1" applyFill="1" applyBorder="1" applyAlignment="1" applyProtection="1">
      <alignment horizontal="centerContinuous" vertical="center" wrapText="1"/>
      <protection/>
    </xf>
    <xf numFmtId="0" fontId="20" fillId="33" borderId="14" xfId="0" applyFont="1" applyFill="1" applyBorder="1" applyAlignment="1" applyProtection="1">
      <alignment horizontal="left"/>
      <protection/>
    </xf>
    <xf numFmtId="3" fontId="7" fillId="33" borderId="14" xfId="0" applyNumberFormat="1" applyFont="1" applyFill="1" applyBorder="1" applyAlignment="1" applyProtection="1">
      <alignment horizontal="right" vertical="top" wrapText="1"/>
      <protection/>
    </xf>
    <xf numFmtId="0" fontId="5" fillId="35" borderId="13" xfId="0" applyFont="1" applyFill="1" applyBorder="1" applyAlignment="1" applyProtection="1">
      <alignment horizontal="left"/>
      <protection/>
    </xf>
    <xf numFmtId="0" fontId="6" fillId="34" borderId="15" xfId="0" applyFont="1" applyFill="1" applyBorder="1" applyAlignment="1" applyProtection="1">
      <alignment horizontal="left"/>
      <protection/>
    </xf>
    <xf numFmtId="0" fontId="27" fillId="36" borderId="13" xfId="0" applyFont="1" applyFill="1" applyBorder="1" applyAlignment="1" applyProtection="1">
      <alignment horizontal="left"/>
      <protection/>
    </xf>
    <xf numFmtId="0" fontId="28" fillId="36" borderId="16" xfId="0" applyFont="1" applyFill="1" applyBorder="1" applyAlignment="1" applyProtection="1">
      <alignment horizontal="left"/>
      <protection/>
    </xf>
    <xf numFmtId="0" fontId="10" fillId="0" borderId="14" xfId="0" applyFont="1" applyFill="1" applyBorder="1" applyAlignment="1" applyProtection="1">
      <alignment horizontal="centerContinuous" vertical="center" wrapText="1"/>
      <protection/>
    </xf>
    <xf numFmtId="0" fontId="5" fillId="35" borderId="11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left"/>
      <protection/>
    </xf>
    <xf numFmtId="0" fontId="3" fillId="36" borderId="11" xfId="0" applyFont="1" applyFill="1" applyBorder="1" applyAlignment="1" applyProtection="1">
      <alignment horizontal="left"/>
      <protection/>
    </xf>
    <xf numFmtId="0" fontId="4" fillId="36" borderId="11" xfId="0" applyFont="1" applyFill="1" applyBorder="1" applyAlignment="1" applyProtection="1">
      <alignment horizontal="left"/>
      <protection/>
    </xf>
    <xf numFmtId="0" fontId="3" fillId="36" borderId="13" xfId="0" applyFont="1" applyFill="1" applyBorder="1" applyAlignment="1" applyProtection="1">
      <alignment horizontal="left"/>
      <protection/>
    </xf>
    <xf numFmtId="180" fontId="9" fillId="34" borderId="17" xfId="0" applyNumberFormat="1" applyFont="1" applyFill="1" applyBorder="1" applyAlignment="1" applyProtection="1">
      <alignment horizontal="right" vertical="top" wrapText="1"/>
      <protection/>
    </xf>
    <xf numFmtId="180" fontId="16" fillId="33" borderId="10" xfId="0" applyNumberFormat="1" applyFont="1" applyFill="1" applyBorder="1" applyAlignment="1" applyProtection="1">
      <alignment horizontal="right" vertical="top" wrapText="1"/>
      <protection/>
    </xf>
    <xf numFmtId="180" fontId="16" fillId="34" borderId="10" xfId="0" applyNumberFormat="1" applyFont="1" applyFill="1" applyBorder="1" applyAlignment="1" applyProtection="1">
      <alignment horizontal="right" vertical="top" wrapText="1"/>
      <protection/>
    </xf>
    <xf numFmtId="180" fontId="16" fillId="35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 locked="0"/>
    </xf>
    <xf numFmtId="169" fontId="18" fillId="0" borderId="11" xfId="0" applyNumberFormat="1" applyFont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69" fontId="0" fillId="0" borderId="11" xfId="0" applyNumberForma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169" fontId="18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9" fontId="18" fillId="0" borderId="1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17" fillId="0" borderId="10" xfId="0" applyNumberFormat="1" applyFont="1" applyFill="1" applyBorder="1" applyAlignment="1" applyProtection="1">
      <alignment horizontal="center" vertical="center" wrapText="1"/>
      <protection/>
    </xf>
    <xf numFmtId="3" fontId="17" fillId="37" borderId="10" xfId="0" applyNumberFormat="1" applyFont="1" applyFill="1" applyBorder="1" applyAlignment="1" applyProtection="1">
      <alignment horizontal="center" vertical="center" wrapText="1"/>
      <protection/>
    </xf>
    <xf numFmtId="3" fontId="17" fillId="36" borderId="10" xfId="0" applyNumberFormat="1" applyFont="1" applyFill="1" applyBorder="1" applyAlignment="1" applyProtection="1">
      <alignment horizontal="center" vertical="center" wrapText="1"/>
      <protection/>
    </xf>
    <xf numFmtId="181" fontId="16" fillId="33" borderId="10" xfId="0" applyNumberFormat="1" applyFont="1" applyFill="1" applyBorder="1" applyAlignment="1" applyProtection="1">
      <alignment/>
      <protection/>
    </xf>
    <xf numFmtId="181" fontId="16" fillId="33" borderId="11" xfId="0" applyNumberFormat="1" applyFont="1" applyFill="1" applyBorder="1" applyAlignment="1" applyProtection="1">
      <alignment/>
      <protection/>
    </xf>
    <xf numFmtId="169" fontId="9" fillId="34" borderId="10" xfId="0" applyNumberFormat="1" applyFont="1" applyFill="1" applyBorder="1" applyAlignment="1" applyProtection="1">
      <alignment/>
      <protection/>
    </xf>
    <xf numFmtId="0" fontId="9" fillId="34" borderId="10" xfId="0" applyFont="1" applyFill="1" applyBorder="1" applyAlignment="1" applyProtection="1">
      <alignment/>
      <protection/>
    </xf>
    <xf numFmtId="181" fontId="9" fillId="34" borderId="10" xfId="0" applyNumberFormat="1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/>
      <protection/>
    </xf>
    <xf numFmtId="169" fontId="18" fillId="0" borderId="11" xfId="0" applyNumberFormat="1" applyFon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69" fontId="0" fillId="0" borderId="11" xfId="0" applyNumberFormat="1" applyBorder="1" applyAlignment="1" applyProtection="1">
      <alignment/>
      <protection/>
    </xf>
    <xf numFmtId="169" fontId="8" fillId="35" borderId="11" xfId="0" applyNumberFormat="1" applyFont="1" applyFill="1" applyBorder="1" applyAlignment="1" applyProtection="1">
      <alignment/>
      <protection/>
    </xf>
    <xf numFmtId="2" fontId="8" fillId="35" borderId="11" xfId="0" applyNumberFormat="1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69" fontId="7" fillId="0" borderId="11" xfId="0" applyNumberFormat="1" applyFon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69" fontId="9" fillId="34" borderId="18" xfId="0" applyNumberFormat="1" applyFont="1" applyFill="1" applyBorder="1" applyAlignment="1" applyProtection="1">
      <alignment/>
      <protection/>
    </xf>
    <xf numFmtId="2" fontId="9" fillId="34" borderId="10" xfId="0" applyNumberFormat="1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9" fontId="0" fillId="37" borderId="11" xfId="0" applyNumberFormat="1" applyFill="1" applyBorder="1" applyAlignment="1" applyProtection="1">
      <alignment/>
      <protection locked="0"/>
    </xf>
    <xf numFmtId="169" fontId="18" fillId="37" borderId="11" xfId="0" applyNumberFormat="1" applyFont="1" applyFill="1" applyBorder="1" applyAlignment="1" applyProtection="1">
      <alignment/>
      <protection locked="0"/>
    </xf>
    <xf numFmtId="0" fontId="7" fillId="37" borderId="11" xfId="0" applyFont="1" applyFill="1" applyBorder="1" applyAlignment="1" applyProtection="1">
      <alignment/>
      <protection locked="0"/>
    </xf>
    <xf numFmtId="169" fontId="0" fillId="36" borderId="11" xfId="0" applyNumberFormat="1" applyFill="1" applyBorder="1" applyAlignment="1" applyProtection="1">
      <alignment/>
      <protection locked="0"/>
    </xf>
    <xf numFmtId="169" fontId="0" fillId="36" borderId="19" xfId="0" applyNumberFormat="1" applyFill="1" applyBorder="1" applyAlignment="1" applyProtection="1">
      <alignment/>
      <protection locked="0"/>
    </xf>
    <xf numFmtId="169" fontId="0" fillId="0" borderId="19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9" fillId="0" borderId="11" xfId="0" applyFont="1" applyBorder="1" applyAlignment="1" applyProtection="1">
      <alignment/>
      <protection locked="0"/>
    </xf>
    <xf numFmtId="0" fontId="0" fillId="36" borderId="11" xfId="0" applyFill="1" applyBorder="1" applyAlignment="1" applyProtection="1">
      <alignment/>
      <protection locked="0"/>
    </xf>
    <xf numFmtId="169" fontId="0" fillId="0" borderId="20" xfId="0" applyNumberFormat="1" applyBorder="1" applyAlignment="1" applyProtection="1">
      <alignment/>
      <protection locked="0"/>
    </xf>
    <xf numFmtId="169" fontId="7" fillId="33" borderId="14" xfId="0" applyNumberFormat="1" applyFont="1" applyFill="1" applyBorder="1" applyAlignment="1" applyProtection="1">
      <alignment horizontal="right" vertical="top" wrapText="1"/>
      <protection/>
    </xf>
    <xf numFmtId="169" fontId="7" fillId="0" borderId="11" xfId="0" applyNumberFormat="1" applyFont="1" applyBorder="1" applyAlignment="1" applyProtection="1">
      <alignment/>
      <protection locked="0"/>
    </xf>
    <xf numFmtId="2" fontId="17" fillId="0" borderId="14" xfId="0" applyNumberFormat="1" applyFont="1" applyFill="1" applyBorder="1" applyAlignment="1" applyProtection="1">
      <alignment horizontal="centerContinuous" vertical="center" wrapText="1"/>
      <protection/>
    </xf>
    <xf numFmtId="4" fontId="7" fillId="33" borderId="14" xfId="0" applyNumberFormat="1" applyFont="1" applyFill="1" applyBorder="1" applyAlignment="1" applyProtection="1">
      <alignment horizontal="right" vertical="top" wrapText="1"/>
      <protection/>
    </xf>
    <xf numFmtId="4" fontId="9" fillId="34" borderId="10" xfId="0" applyNumberFormat="1" applyFont="1" applyFill="1" applyBorder="1" applyAlignment="1" applyProtection="1">
      <alignment horizontal="right" vertical="top" wrapText="1"/>
      <protection/>
    </xf>
    <xf numFmtId="4" fontId="29" fillId="36" borderId="11" xfId="0" applyNumberFormat="1" applyFont="1" applyFill="1" applyBorder="1" applyAlignment="1" applyProtection="1">
      <alignment horizontal="right" vertical="top" wrapText="1"/>
      <protection/>
    </xf>
    <xf numFmtId="4" fontId="16" fillId="35" borderId="11" xfId="0" applyNumberFormat="1" applyFont="1" applyFill="1" applyBorder="1" applyAlignment="1" applyProtection="1">
      <alignment horizontal="right" vertical="top" wrapText="1"/>
      <protection/>
    </xf>
    <xf numFmtId="4" fontId="29" fillId="36" borderId="12" xfId="0" applyNumberFormat="1" applyFont="1" applyFill="1" applyBorder="1" applyAlignment="1" applyProtection="1">
      <alignment horizontal="right" vertical="top" wrapText="1"/>
      <protection/>
    </xf>
    <xf numFmtId="3" fontId="17" fillId="37" borderId="14" xfId="0" applyNumberFormat="1" applyFont="1" applyFill="1" applyBorder="1" applyAlignment="1" applyProtection="1">
      <alignment horizontal="center" vertical="center" wrapText="1"/>
      <protection/>
    </xf>
    <xf numFmtId="3" fontId="17" fillId="36" borderId="14" xfId="0" applyNumberFormat="1" applyFont="1" applyFill="1" applyBorder="1" applyAlignment="1" applyProtection="1">
      <alignment horizontal="center" vertical="center" wrapText="1"/>
      <protection/>
    </xf>
    <xf numFmtId="169" fontId="15" fillId="33" borderId="10" xfId="0" applyNumberFormat="1" applyFont="1" applyFill="1" applyBorder="1" applyAlignment="1" applyProtection="1">
      <alignment/>
      <protection/>
    </xf>
    <xf numFmtId="169" fontId="0" fillId="0" borderId="12" xfId="0" applyNumberFormat="1" applyBorder="1" applyAlignment="1" applyProtection="1">
      <alignment/>
      <protection/>
    </xf>
    <xf numFmtId="169" fontId="7" fillId="35" borderId="11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0" fillId="0" borderId="12" xfId="0" applyNumberFormat="1" applyBorder="1" applyAlignment="1" applyProtection="1">
      <alignment/>
      <protection/>
    </xf>
    <xf numFmtId="169" fontId="30" fillId="0" borderId="11" xfId="0" applyNumberFormat="1" applyFont="1" applyBorder="1" applyAlignment="1" applyProtection="1">
      <alignment/>
      <protection locked="0"/>
    </xf>
    <xf numFmtId="169" fontId="0" fillId="0" borderId="12" xfId="0" applyNumberFormat="1" applyBorder="1" applyAlignment="1" applyProtection="1">
      <alignment/>
      <protection locked="0"/>
    </xf>
    <xf numFmtId="169" fontId="0" fillId="37" borderId="12" xfId="0" applyNumberFormat="1" applyFill="1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/>
      <protection locked="0"/>
    </xf>
    <xf numFmtId="2" fontId="7" fillId="35" borderId="11" xfId="0" applyNumberFormat="1" applyFont="1" applyFill="1" applyBorder="1" applyAlignment="1" applyProtection="1">
      <alignment/>
      <protection/>
    </xf>
    <xf numFmtId="169" fontId="8" fillId="37" borderId="11" xfId="0" applyNumberFormat="1" applyFont="1" applyFill="1" applyBorder="1" applyAlignment="1" applyProtection="1">
      <alignment/>
      <protection/>
    </xf>
    <xf numFmtId="0" fontId="0" fillId="37" borderId="12" xfId="0" applyFill="1" applyBorder="1" applyAlignment="1" applyProtection="1">
      <alignment/>
      <protection locked="0"/>
    </xf>
    <xf numFmtId="2" fontId="16" fillId="33" borderId="10" xfId="0" applyNumberFormat="1" applyFont="1" applyFill="1" applyBorder="1" applyAlignment="1" applyProtection="1">
      <alignment/>
      <protection/>
    </xf>
    <xf numFmtId="2" fontId="9" fillId="34" borderId="15" xfId="0" applyNumberFormat="1" applyFont="1" applyFill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/>
      <protection/>
    </xf>
    <xf numFmtId="181" fontId="7" fillId="35" borderId="11" xfId="0" applyNumberFormat="1" applyFont="1" applyFill="1" applyBorder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81" fontId="17" fillId="0" borderId="14" xfId="0" applyNumberFormat="1" applyFont="1" applyFill="1" applyBorder="1" applyAlignment="1" applyProtection="1">
      <alignment horizontal="centerContinuous" vertical="center" wrapText="1"/>
      <protection/>
    </xf>
    <xf numFmtId="181" fontId="8" fillId="35" borderId="19" xfId="0" applyNumberFormat="1" applyFont="1" applyFill="1" applyBorder="1" applyAlignment="1" applyProtection="1">
      <alignment/>
      <protection/>
    </xf>
    <xf numFmtId="181" fontId="0" fillId="0" borderId="19" xfId="0" applyNumberFormat="1" applyBorder="1" applyAlignment="1" applyProtection="1">
      <alignment/>
      <protection/>
    </xf>
    <xf numFmtId="181" fontId="9" fillId="34" borderId="18" xfId="0" applyNumberFormat="1" applyFont="1" applyFill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169" fontId="18" fillId="0" borderId="19" xfId="0" applyNumberFormat="1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/>
    </xf>
    <xf numFmtId="0" fontId="22" fillId="38" borderId="14" xfId="0" applyFont="1" applyFill="1" applyBorder="1" applyAlignment="1" applyProtection="1">
      <alignment horizontal="left"/>
      <protection/>
    </xf>
    <xf numFmtId="0" fontId="22" fillId="38" borderId="11" xfId="0" applyFont="1" applyFill="1" applyBorder="1" applyAlignment="1" applyProtection="1">
      <alignment horizontal="left"/>
      <protection/>
    </xf>
    <xf numFmtId="0" fontId="22" fillId="38" borderId="13" xfId="0" applyFont="1" applyFill="1" applyBorder="1" applyAlignment="1" applyProtection="1">
      <alignment horizontal="left"/>
      <protection/>
    </xf>
    <xf numFmtId="0" fontId="5" fillId="38" borderId="13" xfId="0" applyFont="1" applyFill="1" applyBorder="1" applyAlignment="1" applyProtection="1">
      <alignment horizontal="left"/>
      <protection/>
    </xf>
    <xf numFmtId="0" fontId="4" fillId="35" borderId="13" xfId="0" applyFont="1" applyFill="1" applyBorder="1" applyAlignment="1" applyProtection="1">
      <alignment horizontal="left"/>
      <protection/>
    </xf>
    <xf numFmtId="0" fontId="5" fillId="38" borderId="11" xfId="0" applyFont="1" applyFill="1" applyBorder="1" applyAlignment="1" applyProtection="1">
      <alignment horizontal="left"/>
      <protection/>
    </xf>
    <xf numFmtId="0" fontId="4" fillId="35" borderId="11" xfId="0" applyFont="1" applyFill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169" fontId="4" fillId="0" borderId="13" xfId="0" applyNumberFormat="1" applyFont="1" applyFill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169" fontId="8" fillId="38" borderId="14" xfId="0" applyNumberFormat="1" applyFont="1" applyFill="1" applyBorder="1" applyAlignment="1" applyProtection="1">
      <alignment/>
      <protection/>
    </xf>
    <xf numFmtId="169" fontId="8" fillId="38" borderId="21" xfId="0" applyNumberFormat="1" applyFont="1" applyFill="1" applyBorder="1" applyAlignment="1" applyProtection="1">
      <alignment/>
      <protection/>
    </xf>
    <xf numFmtId="181" fontId="8" fillId="38" borderId="13" xfId="0" applyNumberFormat="1" applyFont="1" applyFill="1" applyBorder="1" applyAlignment="1" applyProtection="1">
      <alignment/>
      <protection/>
    </xf>
    <xf numFmtId="181" fontId="8" fillId="38" borderId="11" xfId="0" applyNumberFormat="1" applyFont="1" applyFill="1" applyBorder="1" applyAlignment="1" applyProtection="1">
      <alignment/>
      <protection/>
    </xf>
    <xf numFmtId="169" fontId="8" fillId="38" borderId="11" xfId="0" applyNumberFormat="1" applyFont="1" applyFill="1" applyBorder="1" applyAlignment="1" applyProtection="1">
      <alignment/>
      <protection/>
    </xf>
    <xf numFmtId="169" fontId="8" fillId="38" borderId="0" xfId="0" applyNumberFormat="1" applyFont="1" applyFill="1" applyBorder="1" applyAlignment="1" applyProtection="1">
      <alignment/>
      <protection/>
    </xf>
    <xf numFmtId="169" fontId="8" fillId="38" borderId="19" xfId="0" applyNumberFormat="1" applyFont="1" applyFill="1" applyBorder="1" applyAlignment="1" applyProtection="1">
      <alignment/>
      <protection/>
    </xf>
    <xf numFmtId="180" fontId="8" fillId="38" borderId="0" xfId="0" applyNumberFormat="1" applyFont="1" applyFill="1" applyBorder="1" applyAlignment="1" applyProtection="1">
      <alignment horizontal="right" vertical="top" wrapText="1"/>
      <protection/>
    </xf>
    <xf numFmtId="2" fontId="8" fillId="38" borderId="11" xfId="0" applyNumberFormat="1" applyFont="1" applyFill="1" applyBorder="1" applyAlignment="1" applyProtection="1">
      <alignment/>
      <protection/>
    </xf>
    <xf numFmtId="169" fontId="7" fillId="35" borderId="0" xfId="0" applyNumberFormat="1" applyFont="1" applyFill="1" applyBorder="1" applyAlignment="1" applyProtection="1">
      <alignment/>
      <protection/>
    </xf>
    <xf numFmtId="169" fontId="7" fillId="35" borderId="19" xfId="0" applyNumberFormat="1" applyFont="1" applyFill="1" applyBorder="1" applyAlignment="1" applyProtection="1">
      <alignment/>
      <protection/>
    </xf>
    <xf numFmtId="169" fontId="18" fillId="35" borderId="0" xfId="0" applyNumberFormat="1" applyFont="1" applyFill="1" applyBorder="1" applyAlignment="1" applyProtection="1">
      <alignment/>
      <protection/>
    </xf>
    <xf numFmtId="169" fontId="18" fillId="35" borderId="11" xfId="0" applyNumberFormat="1" applyFont="1" applyFill="1" applyBorder="1" applyAlignment="1" applyProtection="1">
      <alignment/>
      <protection/>
    </xf>
    <xf numFmtId="169" fontId="18" fillId="35" borderId="19" xfId="0" applyNumberFormat="1" applyFont="1" applyFill="1" applyBorder="1" applyAlignment="1" applyProtection="1">
      <alignment/>
      <protection/>
    </xf>
    <xf numFmtId="169" fontId="22" fillId="38" borderId="11" xfId="0" applyNumberFormat="1" applyFont="1" applyFill="1" applyBorder="1" applyAlignment="1" applyProtection="1">
      <alignment/>
      <protection/>
    </xf>
    <xf numFmtId="169" fontId="22" fillId="38" borderId="19" xfId="0" applyNumberFormat="1" applyFont="1" applyFill="1" applyBorder="1" applyAlignment="1" applyProtection="1">
      <alignment/>
      <protection/>
    </xf>
    <xf numFmtId="180" fontId="8" fillId="38" borderId="11" xfId="0" applyNumberFormat="1" applyFont="1" applyFill="1" applyBorder="1" applyAlignment="1" applyProtection="1">
      <alignment horizontal="right" vertical="top" wrapText="1"/>
      <protection/>
    </xf>
    <xf numFmtId="0" fontId="8" fillId="38" borderId="11" xfId="0" applyFont="1" applyFill="1" applyBorder="1" applyAlignment="1" applyProtection="1">
      <alignment/>
      <protection/>
    </xf>
    <xf numFmtId="0" fontId="5" fillId="38" borderId="15" xfId="0" applyFont="1" applyFill="1" applyBorder="1" applyAlignment="1" applyProtection="1">
      <alignment horizontal="left"/>
      <protection/>
    </xf>
    <xf numFmtId="169" fontId="22" fillId="38" borderId="10" xfId="0" applyNumberFormat="1" applyFont="1" applyFill="1" applyBorder="1" applyAlignment="1" applyProtection="1">
      <alignment/>
      <protection/>
    </xf>
    <xf numFmtId="169" fontId="22" fillId="38" borderId="18" xfId="0" applyNumberFormat="1" applyFont="1" applyFill="1" applyBorder="1" applyAlignment="1" applyProtection="1">
      <alignment/>
      <protection/>
    </xf>
    <xf numFmtId="181" fontId="8" fillId="38" borderId="15" xfId="0" applyNumberFormat="1" applyFont="1" applyFill="1" applyBorder="1" applyAlignment="1" applyProtection="1">
      <alignment/>
      <protection/>
    </xf>
    <xf numFmtId="181" fontId="8" fillId="38" borderId="10" xfId="0" applyNumberFormat="1" applyFont="1" applyFill="1" applyBorder="1" applyAlignment="1" applyProtection="1">
      <alignment/>
      <protection/>
    </xf>
    <xf numFmtId="169" fontId="0" fillId="35" borderId="11" xfId="0" applyNumberFormat="1" applyFill="1" applyBorder="1" applyAlignment="1" applyProtection="1">
      <alignment/>
      <protection/>
    </xf>
    <xf numFmtId="169" fontId="18" fillId="35" borderId="12" xfId="0" applyNumberFormat="1" applyFont="1" applyFill="1" applyBorder="1" applyAlignment="1" applyProtection="1">
      <alignment/>
      <protection/>
    </xf>
    <xf numFmtId="180" fontId="29" fillId="35" borderId="0" xfId="0" applyNumberFormat="1" applyFont="1" applyFill="1" applyBorder="1" applyAlignment="1" applyProtection="1">
      <alignment horizontal="right" vertical="top" wrapText="1"/>
      <protection/>
    </xf>
    <xf numFmtId="180" fontId="29" fillId="35" borderId="14" xfId="0" applyNumberFormat="1" applyFont="1" applyFill="1" applyBorder="1" applyAlignment="1" applyProtection="1">
      <alignment horizontal="right" vertical="top" wrapText="1"/>
      <protection/>
    </xf>
    <xf numFmtId="180" fontId="29" fillId="35" borderId="11" xfId="0" applyNumberFormat="1" applyFont="1" applyFill="1" applyBorder="1" applyAlignment="1" applyProtection="1">
      <alignment horizontal="right" vertical="top" wrapText="1"/>
      <protection/>
    </xf>
    <xf numFmtId="180" fontId="16" fillId="35" borderId="11" xfId="0" applyNumberFormat="1" applyFont="1" applyFill="1" applyBorder="1" applyAlignment="1" applyProtection="1">
      <alignment horizontal="right" vertical="top" wrapText="1"/>
      <protection/>
    </xf>
    <xf numFmtId="180" fontId="29" fillId="35" borderId="12" xfId="0" applyNumberFormat="1" applyFont="1" applyFill="1" applyBorder="1" applyAlignment="1" applyProtection="1">
      <alignment horizontal="right" vertical="top" wrapText="1"/>
      <protection/>
    </xf>
    <xf numFmtId="181" fontId="0" fillId="35" borderId="13" xfId="0" applyNumberFormat="1" applyFill="1" applyBorder="1" applyAlignment="1" applyProtection="1">
      <alignment/>
      <protection/>
    </xf>
    <xf numFmtId="181" fontId="0" fillId="35" borderId="11" xfId="0" applyNumberFormat="1" applyFill="1" applyBorder="1" applyAlignment="1" applyProtection="1">
      <alignment/>
      <protection/>
    </xf>
    <xf numFmtId="181" fontId="0" fillId="35" borderId="12" xfId="0" applyNumberForma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/>
      <protection/>
    </xf>
    <xf numFmtId="181" fontId="0" fillId="35" borderId="16" xfId="0" applyNumberFormat="1" applyFill="1" applyBorder="1" applyAlignment="1" applyProtection="1">
      <alignment/>
      <protection/>
    </xf>
    <xf numFmtId="169" fontId="8" fillId="38" borderId="22" xfId="0" applyNumberFormat="1" applyFont="1" applyFill="1" applyBorder="1" applyAlignment="1" applyProtection="1">
      <alignment/>
      <protection/>
    </xf>
    <xf numFmtId="181" fontId="8" fillId="38" borderId="0" xfId="0" applyNumberFormat="1" applyFont="1" applyFill="1" applyBorder="1" applyAlignment="1" applyProtection="1">
      <alignment/>
      <protection/>
    </xf>
    <xf numFmtId="169" fontId="9" fillId="34" borderId="15" xfId="0" applyNumberFormat="1" applyFont="1" applyFill="1" applyBorder="1" applyAlignment="1" applyProtection="1">
      <alignment/>
      <protection/>
    </xf>
    <xf numFmtId="169" fontId="0" fillId="36" borderId="0" xfId="0" applyNumberFormat="1" applyFill="1" applyBorder="1" applyAlignment="1" applyProtection="1">
      <alignment/>
      <protection locked="0"/>
    </xf>
    <xf numFmtId="169" fontId="7" fillId="35" borderId="13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 locked="0"/>
    </xf>
    <xf numFmtId="169" fontId="18" fillId="35" borderId="13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181" fontId="0" fillId="35" borderId="0" xfId="0" applyNumberFormat="1" applyFill="1" applyBorder="1" applyAlignment="1" applyProtection="1">
      <alignment/>
      <protection/>
    </xf>
    <xf numFmtId="181" fontId="8" fillId="38" borderId="19" xfId="0" applyNumberFormat="1" applyFont="1" applyFill="1" applyBorder="1" applyAlignment="1" applyProtection="1">
      <alignment/>
      <protection/>
    </xf>
    <xf numFmtId="181" fontId="7" fillId="35" borderId="19" xfId="0" applyNumberFormat="1" applyFont="1" applyFill="1" applyBorder="1" applyAlignment="1" applyProtection="1">
      <alignment/>
      <protection/>
    </xf>
    <xf numFmtId="181" fontId="7" fillId="35" borderId="0" xfId="0" applyNumberFormat="1" applyFont="1" applyFill="1" applyBorder="1" applyAlignment="1" applyProtection="1">
      <alignment/>
      <protection/>
    </xf>
    <xf numFmtId="189" fontId="8" fillId="38" borderId="11" xfId="0" applyNumberFormat="1" applyFont="1" applyFill="1" applyBorder="1" applyAlignment="1" applyProtection="1">
      <alignment/>
      <protection/>
    </xf>
    <xf numFmtId="2" fontId="8" fillId="38" borderId="14" xfId="0" applyNumberFormat="1" applyFont="1" applyFill="1" applyBorder="1" applyAlignment="1" applyProtection="1">
      <alignment/>
      <protection/>
    </xf>
    <xf numFmtId="169" fontId="7" fillId="38" borderId="11" xfId="0" applyNumberFormat="1" applyFont="1" applyFill="1" applyBorder="1" applyAlignment="1" applyProtection="1">
      <alignment/>
      <protection/>
    </xf>
    <xf numFmtId="4" fontId="16" fillId="38" borderId="11" xfId="0" applyNumberFormat="1" applyFont="1" applyFill="1" applyBorder="1" applyAlignment="1" applyProtection="1">
      <alignment horizontal="right" vertical="top" wrapText="1"/>
      <protection/>
    </xf>
    <xf numFmtId="2" fontId="7" fillId="38" borderId="11" xfId="0" applyNumberFormat="1" applyFont="1" applyFill="1" applyBorder="1" applyAlignment="1" applyProtection="1">
      <alignment/>
      <protection/>
    </xf>
    <xf numFmtId="4" fontId="8" fillId="38" borderId="11" xfId="0" applyNumberFormat="1" applyFont="1" applyFill="1" applyBorder="1" applyAlignment="1" applyProtection="1">
      <alignment horizontal="right" vertical="top" wrapText="1"/>
      <protection/>
    </xf>
    <xf numFmtId="181" fontId="8" fillId="38" borderId="14" xfId="0" applyNumberFormat="1" applyFont="1" applyFill="1" applyBorder="1" applyAlignment="1" applyProtection="1">
      <alignment/>
      <protection/>
    </xf>
    <xf numFmtId="181" fontId="7" fillId="38" borderId="11" xfId="0" applyNumberFormat="1" applyFont="1" applyFill="1" applyBorder="1" applyAlignment="1" applyProtection="1">
      <alignment/>
      <protection/>
    </xf>
    <xf numFmtId="4" fontId="29" fillId="35" borderId="11" xfId="0" applyNumberFormat="1" applyFont="1" applyFill="1" applyBorder="1" applyAlignment="1" applyProtection="1">
      <alignment horizontal="right" vertical="top" wrapText="1"/>
      <protection/>
    </xf>
    <xf numFmtId="2" fontId="0" fillId="35" borderId="11" xfId="0" applyNumberForma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 horizontal="centerContinuous" vertical="center" wrapText="1"/>
      <protection locked="0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11" xfId="0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17" fillId="0" borderId="14" xfId="0" applyFont="1" applyFill="1" applyBorder="1" applyAlignment="1" applyProtection="1">
      <alignment horizontal="centerContinuous" vertical="center" wrapText="1"/>
      <protection locked="0"/>
    </xf>
    <xf numFmtId="3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4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81" fontId="9" fillId="34" borderId="17" xfId="0" applyNumberFormat="1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 locked="0"/>
    </xf>
    <xf numFmtId="169" fontId="9" fillId="34" borderId="17" xfId="0" applyNumberFormat="1" applyFont="1" applyFill="1" applyBorder="1" applyAlignment="1" applyProtection="1">
      <alignment/>
      <protection/>
    </xf>
    <xf numFmtId="169" fontId="8" fillId="38" borderId="23" xfId="0" applyNumberFormat="1" applyFont="1" applyFill="1" applyBorder="1" applyAlignment="1" applyProtection="1">
      <alignment/>
      <protection/>
    </xf>
    <xf numFmtId="169" fontId="8" fillId="36" borderId="0" xfId="0" applyNumberFormat="1" applyFont="1" applyFill="1" applyBorder="1" applyAlignment="1" applyProtection="1">
      <alignment/>
      <protection/>
    </xf>
    <xf numFmtId="169" fontId="8" fillId="35" borderId="0" xfId="0" applyNumberFormat="1" applyFont="1" applyFill="1" applyBorder="1" applyAlignment="1" applyProtection="1">
      <alignment/>
      <protection/>
    </xf>
    <xf numFmtId="169" fontId="7" fillId="38" borderId="0" xfId="0" applyNumberFormat="1" applyFont="1" applyFill="1" applyBorder="1" applyAlignment="1" applyProtection="1">
      <alignment/>
      <protection/>
    </xf>
    <xf numFmtId="169" fontId="0" fillId="35" borderId="12" xfId="0" applyNumberFormat="1" applyFill="1" applyBorder="1" applyAlignment="1" applyProtection="1">
      <alignment/>
      <protection/>
    </xf>
    <xf numFmtId="169" fontId="0" fillId="35" borderId="0" xfId="0" applyNumberFormat="1" applyFill="1" applyBorder="1" applyAlignment="1" applyProtection="1">
      <alignment/>
      <protection/>
    </xf>
    <xf numFmtId="169" fontId="8" fillId="35" borderId="14" xfId="0" applyNumberFormat="1" applyFont="1" applyFill="1" applyBorder="1" applyAlignment="1" applyProtection="1">
      <alignment/>
      <protection/>
    </xf>
    <xf numFmtId="169" fontId="8" fillId="35" borderId="21" xfId="0" applyNumberFormat="1" applyFont="1" applyFill="1" applyBorder="1" applyAlignment="1" applyProtection="1">
      <alignment/>
      <protection/>
    </xf>
    <xf numFmtId="169" fontId="8" fillId="35" borderId="22" xfId="0" applyNumberFormat="1" applyFont="1" applyFill="1" applyBorder="1" applyAlignment="1" applyProtection="1">
      <alignment/>
      <protection/>
    </xf>
    <xf numFmtId="169" fontId="8" fillId="35" borderId="23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9" fontId="0" fillId="0" borderId="13" xfId="0" applyNumberFormat="1" applyBorder="1" applyAlignment="1" applyProtection="1">
      <alignment/>
      <protection locked="0"/>
    </xf>
    <xf numFmtId="169" fontId="0" fillId="0" borderId="16" xfId="0" applyNumberFormat="1" applyBorder="1" applyAlignment="1" applyProtection="1">
      <alignment/>
      <protection locked="0"/>
    </xf>
    <xf numFmtId="169" fontId="0" fillId="0" borderId="24" xfId="0" applyNumberFormat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8" fillId="38" borderId="0" xfId="0" applyFont="1" applyFill="1" applyAlignment="1" applyProtection="1">
      <alignment/>
      <protection locked="0"/>
    </xf>
    <xf numFmtId="0" fontId="7" fillId="38" borderId="0" xfId="0" applyFont="1" applyFill="1" applyAlignment="1" applyProtection="1">
      <alignment/>
      <protection locked="0"/>
    </xf>
    <xf numFmtId="169" fontId="7" fillId="38" borderId="0" xfId="0" applyNumberFormat="1" applyFont="1" applyFill="1" applyAlignment="1" applyProtection="1">
      <alignment/>
      <protection locked="0"/>
    </xf>
    <xf numFmtId="0" fontId="7" fillId="34" borderId="17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169" fontId="7" fillId="38" borderId="14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9" fontId="0" fillId="0" borderId="0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3" fontId="17" fillId="36" borderId="12" xfId="0" applyNumberFormat="1" applyFont="1" applyFill="1" applyBorder="1" applyAlignment="1" applyProtection="1">
      <alignment horizontal="center" vertical="center" wrapText="1"/>
      <protection/>
    </xf>
    <xf numFmtId="169" fontId="8" fillId="38" borderId="0" xfId="0" applyNumberFormat="1" applyFont="1" applyFill="1" applyAlignment="1" applyProtection="1">
      <alignment/>
      <protection/>
    </xf>
    <xf numFmtId="169" fontId="0" fillId="35" borderId="0" xfId="0" applyNumberFormat="1" applyFill="1" applyAlignment="1" applyProtection="1">
      <alignment/>
      <protection/>
    </xf>
    <xf numFmtId="169" fontId="0" fillId="35" borderId="19" xfId="0" applyNumberFormat="1" applyFill="1" applyBorder="1" applyAlignment="1" applyProtection="1">
      <alignment/>
      <protection/>
    </xf>
    <xf numFmtId="171" fontId="0" fillId="35" borderId="11" xfId="0" applyNumberFormat="1" applyFill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169" fontId="7" fillId="38" borderId="0" xfId="0" applyNumberFormat="1" applyFont="1" applyFill="1" applyAlignment="1" applyProtection="1">
      <alignment/>
      <protection/>
    </xf>
    <xf numFmtId="169" fontId="7" fillId="38" borderId="19" xfId="0" applyNumberFormat="1" applyFont="1" applyFill="1" applyBorder="1" applyAlignment="1" applyProtection="1">
      <alignment/>
      <protection/>
    </xf>
    <xf numFmtId="169" fontId="7" fillId="34" borderId="10" xfId="0" applyNumberFormat="1" applyFont="1" applyFill="1" applyBorder="1" applyAlignment="1" applyProtection="1">
      <alignment/>
      <protection/>
    </xf>
    <xf numFmtId="169" fontId="7" fillId="34" borderId="18" xfId="0" applyNumberFormat="1" applyFont="1" applyFill="1" applyBorder="1" applyAlignment="1" applyProtection="1">
      <alignment/>
      <protection/>
    </xf>
    <xf numFmtId="169" fontId="7" fillId="34" borderId="17" xfId="0" applyNumberFormat="1" applyFont="1" applyFill="1" applyBorder="1" applyAlignment="1" applyProtection="1">
      <alignment/>
      <protection/>
    </xf>
    <xf numFmtId="0" fontId="19" fillId="39" borderId="14" xfId="0" applyFont="1" applyFill="1" applyBorder="1" applyAlignment="1" applyProtection="1">
      <alignment/>
      <protection/>
    </xf>
    <xf numFmtId="0" fontId="19" fillId="39" borderId="12" xfId="0" applyFont="1" applyFill="1" applyBorder="1" applyAlignment="1" applyProtection="1">
      <alignment horizontal="center"/>
      <protection/>
    </xf>
    <xf numFmtId="3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19" fillId="38" borderId="14" xfId="0" applyFont="1" applyFill="1" applyBorder="1" applyAlignment="1" applyProtection="1">
      <alignment/>
      <protection/>
    </xf>
    <xf numFmtId="169" fontId="0" fillId="38" borderId="0" xfId="0" applyNumberFormat="1" applyFill="1" applyAlignment="1" applyProtection="1">
      <alignment/>
      <protection/>
    </xf>
    <xf numFmtId="169" fontId="0" fillId="38" borderId="14" xfId="0" applyNumberFormat="1" applyFill="1" applyBorder="1" applyAlignment="1" applyProtection="1">
      <alignment/>
      <protection/>
    </xf>
    <xf numFmtId="0" fontId="18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69" fontId="0" fillId="35" borderId="16" xfId="0" applyNumberFormat="1" applyFill="1" applyBorder="1" applyAlignment="1" applyProtection="1">
      <alignment/>
      <protection/>
    </xf>
    <xf numFmtId="2" fontId="7" fillId="37" borderId="12" xfId="0" applyNumberFormat="1" applyFont="1" applyFill="1" applyBorder="1" applyAlignment="1" applyProtection="1">
      <alignment/>
      <protection/>
    </xf>
    <xf numFmtId="2" fontId="7" fillId="37" borderId="10" xfId="0" applyNumberFormat="1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/>
      <protection locked="0"/>
    </xf>
    <xf numFmtId="169" fontId="18" fillId="0" borderId="0" xfId="0" applyNumberFormat="1" applyFont="1" applyBorder="1" applyAlignment="1" applyProtection="1">
      <alignment/>
      <protection/>
    </xf>
    <xf numFmtId="169" fontId="0" fillId="0" borderId="14" xfId="0" applyNumberFormat="1" applyBorder="1" applyAlignment="1" applyProtection="1">
      <alignment/>
      <protection/>
    </xf>
    <xf numFmtId="169" fontId="0" fillId="35" borderId="11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169" fontId="0" fillId="0" borderId="16" xfId="0" applyNumberFormat="1" applyBorder="1" applyAlignment="1" applyProtection="1">
      <alignment/>
      <protection/>
    </xf>
    <xf numFmtId="169" fontId="0" fillId="0" borderId="22" xfId="0" applyNumberFormat="1" applyBorder="1" applyAlignment="1" applyProtection="1">
      <alignment/>
      <protection/>
    </xf>
    <xf numFmtId="0" fontId="0" fillId="35" borderId="19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21" xfId="0" applyFill="1" applyBorder="1" applyAlignment="1" applyProtection="1">
      <alignment/>
      <protection locked="0"/>
    </xf>
    <xf numFmtId="169" fontId="8" fillId="35" borderId="11" xfId="0" applyNumberFormat="1" applyFont="1" applyFill="1" applyBorder="1" applyAlignment="1" applyProtection="1">
      <alignment/>
      <protection locked="0"/>
    </xf>
    <xf numFmtId="169" fontId="8" fillId="35" borderId="0" xfId="0" applyNumberFormat="1" applyFont="1" applyFill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3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0" fillId="0" borderId="0" xfId="0" applyFont="1" applyAlignment="1">
      <alignment/>
    </xf>
    <xf numFmtId="0" fontId="0" fillId="0" borderId="0" xfId="0" applyAlignment="1">
      <alignment horizontal="right"/>
    </xf>
    <xf numFmtId="3" fontId="18" fillId="0" borderId="25" xfId="0" applyNumberFormat="1" applyFont="1" applyFill="1" applyBorder="1" applyAlignment="1" applyProtection="1">
      <alignment/>
      <protection locked="0"/>
    </xf>
    <xf numFmtId="3" fontId="18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3" fontId="0" fillId="40" borderId="0" xfId="0" applyNumberFormat="1" applyFill="1" applyAlignment="1">
      <alignment/>
    </xf>
    <xf numFmtId="169" fontId="0" fillId="0" borderId="0" xfId="0" applyNumberFormat="1" applyBorder="1" applyAlignment="1" applyProtection="1" quotePrefix="1">
      <alignment/>
      <protection/>
    </xf>
    <xf numFmtId="3" fontId="30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3" fontId="30" fillId="0" borderId="0" xfId="0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 applyProtection="1">
      <alignment/>
      <protection/>
    </xf>
    <xf numFmtId="0" fontId="36" fillId="0" borderId="10" xfId="0" applyFont="1" applyFill="1" applyBorder="1" applyAlignment="1" applyProtection="1">
      <alignment horizontal="centerContinuous" vertical="center" wrapText="1"/>
      <protection/>
    </xf>
    <xf numFmtId="3" fontId="36" fillId="36" borderId="10" xfId="0" applyNumberFormat="1" applyFont="1" applyFill="1" applyBorder="1" applyAlignment="1" applyProtection="1">
      <alignment horizontal="center" vertical="center" wrapText="1"/>
      <protection/>
    </xf>
    <xf numFmtId="0" fontId="36" fillId="41" borderId="22" xfId="0" applyNumberFormat="1" applyFont="1" applyFill="1" applyBorder="1" applyAlignment="1" applyProtection="1">
      <alignment/>
      <protection/>
    </xf>
    <xf numFmtId="169" fontId="36" fillId="41" borderId="14" xfId="0" applyNumberFormat="1" applyFont="1" applyFill="1" applyBorder="1" applyAlignment="1" applyProtection="1">
      <alignment horizontal="right" vertical="center" wrapText="1"/>
      <protection/>
    </xf>
    <xf numFmtId="0" fontId="36" fillId="33" borderId="15" xfId="0" applyFont="1" applyFill="1" applyBorder="1" applyAlignment="1" applyProtection="1">
      <alignment/>
      <protection/>
    </xf>
    <xf numFmtId="169" fontId="36" fillId="33" borderId="10" xfId="0" applyNumberFormat="1" applyFont="1" applyFill="1" applyBorder="1" applyAlignment="1" applyProtection="1">
      <alignment horizontal="right"/>
      <protection/>
    </xf>
    <xf numFmtId="0" fontId="36" fillId="37" borderId="15" xfId="0" applyNumberFormat="1" applyFont="1" applyFill="1" applyBorder="1" applyAlignment="1" applyProtection="1">
      <alignment/>
      <protection/>
    </xf>
    <xf numFmtId="169" fontId="36" fillId="37" borderId="10" xfId="0" applyNumberFormat="1" applyFont="1" applyFill="1" applyBorder="1" applyAlignment="1" applyProtection="1">
      <alignment/>
      <protection/>
    </xf>
    <xf numFmtId="0" fontId="35" fillId="0" borderId="13" xfId="0" applyFont="1" applyBorder="1" applyAlignment="1" applyProtection="1">
      <alignment/>
      <protection/>
    </xf>
    <xf numFmtId="169" fontId="35" fillId="35" borderId="11" xfId="0" applyNumberFormat="1" applyFont="1" applyFill="1" applyBorder="1" applyAlignment="1" applyProtection="1">
      <alignment/>
      <protection/>
    </xf>
    <xf numFmtId="0" fontId="36" fillId="37" borderId="15" xfId="0" applyFont="1" applyFill="1" applyBorder="1" applyAlignment="1" applyProtection="1">
      <alignment/>
      <protection/>
    </xf>
    <xf numFmtId="0" fontId="36" fillId="38" borderId="13" xfId="0" applyFont="1" applyFill="1" applyBorder="1" applyAlignment="1" applyProtection="1">
      <alignment/>
      <protection/>
    </xf>
    <xf numFmtId="169" fontId="36" fillId="38" borderId="11" xfId="0" applyNumberFormat="1" applyFont="1" applyFill="1" applyBorder="1" applyAlignment="1" applyProtection="1">
      <alignment/>
      <protection/>
    </xf>
    <xf numFmtId="0" fontId="36" fillId="0" borderId="13" xfId="0" applyFont="1" applyBorder="1" applyAlignment="1" applyProtection="1">
      <alignment/>
      <protection/>
    </xf>
    <xf numFmtId="169" fontId="36" fillId="35" borderId="11" xfId="0" applyNumberFormat="1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 horizontal="left"/>
      <protection/>
    </xf>
    <xf numFmtId="0" fontId="36" fillId="0" borderId="13" xfId="0" applyFont="1" applyFill="1" applyBorder="1" applyAlignment="1" applyProtection="1">
      <alignment horizontal="left"/>
      <protection/>
    </xf>
    <xf numFmtId="0" fontId="36" fillId="41" borderId="15" xfId="0" applyFont="1" applyFill="1" applyBorder="1" applyAlignment="1" applyProtection="1">
      <alignment/>
      <protection/>
    </xf>
    <xf numFmtId="169" fontId="36" fillId="41" borderId="10" xfId="0" applyNumberFormat="1" applyFont="1" applyFill="1" applyBorder="1" applyAlignment="1" applyProtection="1">
      <alignment horizontal="right" vertical="center" wrapText="1"/>
      <protection/>
    </xf>
    <xf numFmtId="0" fontId="36" fillId="42" borderId="15" xfId="0" applyFont="1" applyFill="1" applyBorder="1" applyAlignment="1" applyProtection="1">
      <alignment/>
      <protection/>
    </xf>
    <xf numFmtId="169" fontId="36" fillId="42" borderId="10" xfId="0" applyNumberFormat="1" applyFont="1" applyFill="1" applyBorder="1" applyAlignment="1" applyProtection="1">
      <alignment/>
      <protection/>
    </xf>
    <xf numFmtId="0" fontId="35" fillId="0" borderId="13" xfId="0" applyFont="1" applyBorder="1" applyAlignment="1" applyProtection="1">
      <alignment horizontal="left"/>
      <protection/>
    </xf>
    <xf numFmtId="0" fontId="36" fillId="0" borderId="13" xfId="0" applyFont="1" applyFill="1" applyBorder="1" applyAlignment="1" applyProtection="1">
      <alignment horizontal="justify" vertical="center" wrapText="1"/>
      <protection/>
    </xf>
    <xf numFmtId="0" fontId="36" fillId="0" borderId="13" xfId="0" applyFont="1" applyFill="1" applyBorder="1" applyAlignment="1" applyProtection="1">
      <alignment/>
      <protection/>
    </xf>
    <xf numFmtId="169" fontId="36" fillId="41" borderId="10" xfId="0" applyNumberFormat="1" applyFont="1" applyFill="1" applyBorder="1" applyAlignment="1" applyProtection="1">
      <alignment/>
      <protection/>
    </xf>
    <xf numFmtId="0" fontId="37" fillId="34" borderId="15" xfId="0" applyFont="1" applyFill="1" applyBorder="1" applyAlignment="1" applyProtection="1">
      <alignment/>
      <protection/>
    </xf>
    <xf numFmtId="169" fontId="37" fillId="34" borderId="10" xfId="0" applyNumberFormat="1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6" fillId="43" borderId="15" xfId="0" applyFont="1" applyFill="1" applyBorder="1" applyAlignment="1" applyProtection="1">
      <alignment/>
      <protection/>
    </xf>
    <xf numFmtId="169" fontId="36" fillId="43" borderId="10" xfId="0" applyNumberFormat="1" applyFont="1" applyFill="1" applyBorder="1" applyAlignment="1" applyProtection="1">
      <alignment/>
      <protection/>
    </xf>
    <xf numFmtId="0" fontId="36" fillId="38" borderId="22" xfId="0" applyFont="1" applyFill="1" applyBorder="1" applyAlignment="1" applyProtection="1">
      <alignment/>
      <protection/>
    </xf>
    <xf numFmtId="169" fontId="35" fillId="35" borderId="11" xfId="0" applyNumberFormat="1" applyFont="1" applyFill="1" applyBorder="1" applyAlignment="1" applyProtection="1">
      <alignment/>
      <protection locked="0"/>
    </xf>
    <xf numFmtId="0" fontId="35" fillId="0" borderId="16" xfId="0" applyFont="1" applyBorder="1" applyAlignment="1" applyProtection="1">
      <alignment/>
      <protection/>
    </xf>
    <xf numFmtId="169" fontId="35" fillId="35" borderId="12" xfId="0" applyNumberFormat="1" applyFont="1" applyFill="1" applyBorder="1" applyAlignment="1" applyProtection="1">
      <alignment/>
      <protection locked="0"/>
    </xf>
    <xf numFmtId="0" fontId="36" fillId="37" borderId="10" xfId="0" applyFont="1" applyFill="1" applyBorder="1" applyAlignment="1" applyProtection="1">
      <alignment/>
      <protection/>
    </xf>
    <xf numFmtId="169" fontId="36" fillId="37" borderId="17" xfId="0" applyNumberFormat="1" applyFont="1" applyFill="1" applyBorder="1" applyAlignment="1" applyProtection="1">
      <alignment/>
      <protection/>
    </xf>
    <xf numFmtId="0" fontId="36" fillId="33" borderId="10" xfId="0" applyFont="1" applyFill="1" applyBorder="1" applyAlignment="1" applyProtection="1">
      <alignment/>
      <protection/>
    </xf>
    <xf numFmtId="2" fontId="36" fillId="33" borderId="10" xfId="0" applyNumberFormat="1" applyFont="1" applyFill="1" applyBorder="1" applyAlignment="1" applyProtection="1">
      <alignment/>
      <protection/>
    </xf>
    <xf numFmtId="0" fontId="36" fillId="39" borderId="10" xfId="0" applyFont="1" applyFill="1" applyBorder="1" applyAlignment="1" applyProtection="1">
      <alignment horizontal="center"/>
      <protection/>
    </xf>
    <xf numFmtId="0" fontId="36" fillId="35" borderId="10" xfId="0" applyFont="1" applyFill="1" applyBorder="1" applyAlignment="1" applyProtection="1">
      <alignment/>
      <protection/>
    </xf>
    <xf numFmtId="169" fontId="35" fillId="35" borderId="10" xfId="0" applyNumberFormat="1" applyFont="1" applyFill="1" applyBorder="1" applyAlignment="1" applyProtection="1">
      <alignment/>
      <protection/>
    </xf>
    <xf numFmtId="169" fontId="35" fillId="36" borderId="0" xfId="0" applyNumberFormat="1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/>
      <protection/>
    </xf>
    <xf numFmtId="169" fontId="35" fillId="0" borderId="10" xfId="0" applyNumberFormat="1" applyFont="1" applyBorder="1" applyAlignment="1" applyProtection="1">
      <alignment/>
      <protection/>
    </xf>
    <xf numFmtId="0" fontId="36" fillId="43" borderId="10" xfId="0" applyFont="1" applyFill="1" applyBorder="1" applyAlignment="1" applyProtection="1">
      <alignment horizontal="center"/>
      <protection/>
    </xf>
    <xf numFmtId="0" fontId="36" fillId="0" borderId="14" xfId="0" applyFont="1" applyBorder="1" applyAlignment="1" applyProtection="1">
      <alignment/>
      <protection/>
    </xf>
    <xf numFmtId="187" fontId="36" fillId="0" borderId="10" xfId="0" applyNumberFormat="1" applyFont="1" applyBorder="1" applyAlignment="1" applyProtection="1">
      <alignment horizontal="center"/>
      <protection/>
    </xf>
    <xf numFmtId="0" fontId="36" fillId="0" borderId="10" xfId="0" applyFont="1" applyBorder="1" applyAlignment="1" applyProtection="1">
      <alignment/>
      <protection/>
    </xf>
    <xf numFmtId="0" fontId="36" fillId="0" borderId="10" xfId="0" applyFont="1" applyBorder="1" applyAlignment="1" applyProtection="1">
      <alignment horizontal="center"/>
      <protection/>
    </xf>
    <xf numFmtId="0" fontId="36" fillId="38" borderId="0" xfId="0" applyFont="1" applyFill="1" applyAlignment="1" applyProtection="1">
      <alignment/>
      <protection/>
    </xf>
    <xf numFmtId="169" fontId="36" fillId="38" borderId="14" xfId="0" applyNumberFormat="1" applyFont="1" applyFill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6" fillId="43" borderId="0" xfId="0" applyFont="1" applyFill="1" applyAlignment="1" applyProtection="1">
      <alignment/>
      <protection/>
    </xf>
    <xf numFmtId="0" fontId="35" fillId="43" borderId="11" xfId="0" applyFont="1" applyFill="1" applyBorder="1" applyAlignment="1" applyProtection="1">
      <alignment/>
      <protection/>
    </xf>
    <xf numFmtId="169" fontId="35" fillId="0" borderId="11" xfId="0" applyNumberFormat="1" applyFont="1" applyBorder="1" applyAlignment="1" applyProtection="1">
      <alignment/>
      <protection locked="0"/>
    </xf>
    <xf numFmtId="169" fontId="35" fillId="0" borderId="11" xfId="0" applyNumberFormat="1" applyFont="1" applyBorder="1" applyAlignment="1" applyProtection="1">
      <alignment/>
      <protection/>
    </xf>
    <xf numFmtId="0" fontId="36" fillId="36" borderId="0" xfId="0" applyFont="1" applyFill="1" applyBorder="1" applyAlignment="1" applyProtection="1">
      <alignment/>
      <protection/>
    </xf>
    <xf numFmtId="169" fontId="36" fillId="36" borderId="0" xfId="0" applyNumberFormat="1" applyFont="1" applyFill="1" applyBorder="1" applyAlignment="1" applyProtection="1">
      <alignment/>
      <protection/>
    </xf>
    <xf numFmtId="0" fontId="35" fillId="36" borderId="0" xfId="0" applyFont="1" applyFill="1" applyAlignment="1" applyProtection="1">
      <alignment/>
      <protection/>
    </xf>
    <xf numFmtId="186" fontId="36" fillId="35" borderId="14" xfId="0" applyNumberFormat="1" applyFont="1" applyFill="1" applyBorder="1" applyAlignment="1" applyProtection="1">
      <alignment horizontal="center"/>
      <protection/>
    </xf>
    <xf numFmtId="186" fontId="36" fillId="35" borderId="10" xfId="0" applyNumberFormat="1" applyFont="1" applyFill="1" applyBorder="1" applyAlignment="1" applyProtection="1">
      <alignment horizontal="center"/>
      <protection/>
    </xf>
    <xf numFmtId="0" fontId="38" fillId="44" borderId="12" xfId="0" applyFont="1" applyFill="1" applyBorder="1" applyAlignment="1" applyProtection="1">
      <alignment/>
      <protection/>
    </xf>
    <xf numFmtId="186" fontId="38" fillId="44" borderId="12" xfId="0" applyNumberFormat="1" applyFont="1" applyFill="1" applyBorder="1" applyAlignment="1" applyProtection="1">
      <alignment horizontal="center"/>
      <protection/>
    </xf>
    <xf numFmtId="0" fontId="36" fillId="0" borderId="12" xfId="0" applyFont="1" applyBorder="1" applyAlignment="1" applyProtection="1">
      <alignment/>
      <protection/>
    </xf>
    <xf numFmtId="0" fontId="36" fillId="35" borderId="12" xfId="0" applyFont="1" applyFill="1" applyBorder="1" applyAlignment="1" applyProtection="1">
      <alignment horizontal="center"/>
      <protection/>
    </xf>
    <xf numFmtId="0" fontId="36" fillId="35" borderId="10" xfId="0" applyFont="1" applyFill="1" applyBorder="1" applyAlignment="1" applyProtection="1">
      <alignment horizontal="center"/>
      <protection/>
    </xf>
    <xf numFmtId="0" fontId="36" fillId="35" borderId="17" xfId="0" applyFont="1" applyFill="1" applyBorder="1" applyAlignment="1" applyProtection="1">
      <alignment horizontal="center"/>
      <protection/>
    </xf>
    <xf numFmtId="0" fontId="36" fillId="35" borderId="10" xfId="0" applyNumberFormat="1" applyFont="1" applyFill="1" applyBorder="1" applyAlignment="1" applyProtection="1">
      <alignment horizontal="center"/>
      <protection/>
    </xf>
    <xf numFmtId="0" fontId="36" fillId="40" borderId="10" xfId="0" applyFont="1" applyFill="1" applyBorder="1" applyAlignment="1" applyProtection="1">
      <alignment/>
      <protection/>
    </xf>
    <xf numFmtId="0" fontId="36" fillId="40" borderId="10" xfId="0" applyFont="1" applyFill="1" applyBorder="1" applyAlignment="1" applyProtection="1">
      <alignment horizontal="center"/>
      <protection/>
    </xf>
    <xf numFmtId="0" fontId="36" fillId="40" borderId="17" xfId="0" applyFont="1" applyFill="1" applyBorder="1" applyAlignment="1" applyProtection="1">
      <alignment horizontal="center"/>
      <protection/>
    </xf>
    <xf numFmtId="0" fontId="36" fillId="40" borderId="18" xfId="0" applyFont="1" applyFill="1" applyBorder="1" applyAlignment="1" applyProtection="1">
      <alignment horizontal="center"/>
      <protection/>
    </xf>
    <xf numFmtId="0" fontId="36" fillId="42" borderId="10" xfId="0" applyFont="1" applyFill="1" applyBorder="1" applyAlignment="1" applyProtection="1">
      <alignment/>
      <protection/>
    </xf>
    <xf numFmtId="0" fontId="36" fillId="42" borderId="1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/>
      <protection/>
    </xf>
    <xf numFmtId="0" fontId="36" fillId="36" borderId="0" xfId="0" applyFont="1" applyFill="1" applyBorder="1" applyAlignment="1" applyProtection="1">
      <alignment horizontal="center"/>
      <protection/>
    </xf>
    <xf numFmtId="0" fontId="36" fillId="43" borderId="10" xfId="0" applyFont="1" applyFill="1" applyBorder="1" applyAlignment="1" applyProtection="1">
      <alignment horizontal="center" vertical="center"/>
      <protection/>
    </xf>
    <xf numFmtId="0" fontId="36" fillId="43" borderId="10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/>
      <protection/>
    </xf>
    <xf numFmtId="3" fontId="35" fillId="0" borderId="14" xfId="0" applyNumberFormat="1" applyFont="1" applyBorder="1" applyAlignment="1" applyProtection="1">
      <alignment/>
      <protection/>
    </xf>
    <xf numFmtId="3" fontId="35" fillId="0" borderId="23" xfId="0" applyNumberFormat="1" applyFont="1" applyBorder="1" applyAlignment="1" applyProtection="1">
      <alignment/>
      <protection/>
    </xf>
    <xf numFmtId="3" fontId="35" fillId="0" borderId="11" xfId="0" applyNumberFormat="1" applyFont="1" applyBorder="1" applyAlignment="1" applyProtection="1">
      <alignment/>
      <protection/>
    </xf>
    <xf numFmtId="3" fontId="35" fillId="0" borderId="0" xfId="0" applyNumberFormat="1" applyFont="1" applyBorder="1" applyAlignment="1" applyProtection="1">
      <alignment/>
      <protection/>
    </xf>
    <xf numFmtId="9" fontId="35" fillId="0" borderId="11" xfId="55" applyFont="1" applyBorder="1" applyAlignment="1" applyProtection="1">
      <alignment/>
      <protection/>
    </xf>
    <xf numFmtId="9" fontId="35" fillId="0" borderId="0" xfId="55" applyFont="1" applyBorder="1" applyAlignment="1" applyProtection="1">
      <alignment/>
      <protection/>
    </xf>
    <xf numFmtId="0" fontId="36" fillId="43" borderId="16" xfId="0" applyFont="1" applyFill="1" applyBorder="1" applyAlignment="1" applyProtection="1">
      <alignment/>
      <protection/>
    </xf>
    <xf numFmtId="9" fontId="36" fillId="43" borderId="12" xfId="55" applyFont="1" applyFill="1" applyBorder="1" applyAlignment="1" applyProtection="1">
      <alignment/>
      <protection/>
    </xf>
    <xf numFmtId="9" fontId="36" fillId="43" borderId="24" xfId="55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33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/>
    </xf>
    <xf numFmtId="0" fontId="32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0" fontId="31" fillId="39" borderId="16" xfId="0" applyFont="1" applyFill="1" applyBorder="1" applyAlignment="1" applyProtection="1">
      <alignment horizontal="center"/>
      <protection/>
    </xf>
    <xf numFmtId="0" fontId="31" fillId="39" borderId="24" xfId="0" applyFont="1" applyFill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 wrapText="1"/>
      <protection/>
    </xf>
    <xf numFmtId="0" fontId="23" fillId="0" borderId="18" xfId="0" applyFont="1" applyBorder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dor\Mis%20documentos\DIANITA%20MILENA\ACTIVA%20DICIEMBEE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dor\Mis%20documentos\DIANITA%20MILENA\PASIVA%20DICIEM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ACIENDA%202008\PRESUPUESTO\DICIEMBRE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O23">
            <v>147118712</v>
          </cell>
        </row>
        <row r="25">
          <cell r="O25">
            <v>5204700</v>
          </cell>
        </row>
        <row r="27">
          <cell r="O27">
            <v>2982210</v>
          </cell>
        </row>
        <row r="31">
          <cell r="O31">
            <v>110339000</v>
          </cell>
        </row>
        <row r="32">
          <cell r="O32">
            <v>0</v>
          </cell>
        </row>
        <row r="34">
          <cell r="O34">
            <v>301646</v>
          </cell>
        </row>
        <row r="35">
          <cell r="O35">
            <v>14088966</v>
          </cell>
        </row>
        <row r="36">
          <cell r="O36">
            <v>14088966</v>
          </cell>
        </row>
        <row r="56">
          <cell r="L56">
            <v>81151189</v>
          </cell>
        </row>
        <row r="64">
          <cell r="L64">
            <v>50155709</v>
          </cell>
        </row>
        <row r="65">
          <cell r="L65">
            <v>1331213</v>
          </cell>
        </row>
        <row r="66">
          <cell r="L66">
            <v>10758415</v>
          </cell>
        </row>
        <row r="74">
          <cell r="G74">
            <v>29486520</v>
          </cell>
          <cell r="L74">
            <v>29486520</v>
          </cell>
        </row>
        <row r="76">
          <cell r="G76">
            <v>356992</v>
          </cell>
          <cell r="L76">
            <v>356992</v>
          </cell>
        </row>
        <row r="91">
          <cell r="O91">
            <v>31664650</v>
          </cell>
        </row>
        <row r="99">
          <cell r="G99">
            <v>20321986.8</v>
          </cell>
          <cell r="H99">
            <v>759316</v>
          </cell>
        </row>
        <row r="100">
          <cell r="G100">
            <v>61770642.39</v>
          </cell>
          <cell r="H100">
            <v>19556467</v>
          </cell>
        </row>
        <row r="107">
          <cell r="G107">
            <v>379293.26</v>
          </cell>
        </row>
        <row r="108">
          <cell r="O108">
            <v>8385709</v>
          </cell>
        </row>
        <row r="113">
          <cell r="F113">
            <v>42600000</v>
          </cell>
          <cell r="G113">
            <v>46896290</v>
          </cell>
          <cell r="O113">
            <v>88149503.07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CTUBRE"/>
      <sheetName val="NOVIEMBRE"/>
      <sheetName val="DICIEMBRE"/>
    </sheetNames>
    <sheetDataSet>
      <sheetData sheetId="2">
        <row r="14">
          <cell r="C14">
            <v>64006730.07</v>
          </cell>
          <cell r="D14">
            <v>1283660</v>
          </cell>
          <cell r="E14">
            <v>1802323</v>
          </cell>
          <cell r="I14">
            <v>48419407.7</v>
          </cell>
        </row>
        <row r="43">
          <cell r="C43">
            <v>43183821.42</v>
          </cell>
          <cell r="D43">
            <v>2648891.07</v>
          </cell>
          <cell r="E43">
            <v>1382744.81</v>
          </cell>
          <cell r="I43">
            <v>40816790.59</v>
          </cell>
        </row>
        <row r="75">
          <cell r="C75">
            <v>57471585.6</v>
          </cell>
          <cell r="E75">
            <v>3252912.56</v>
          </cell>
          <cell r="I75">
            <v>51764664.04</v>
          </cell>
        </row>
        <row r="76">
          <cell r="C76">
            <v>134100366.96</v>
          </cell>
          <cell r="I76">
            <v>134100366.96</v>
          </cell>
        </row>
        <row r="77">
          <cell r="C77">
            <v>5760316</v>
          </cell>
          <cell r="I77">
            <v>5587668</v>
          </cell>
        </row>
        <row r="78">
          <cell r="C78">
            <v>9666612</v>
          </cell>
          <cell r="I78">
            <v>9666612</v>
          </cell>
        </row>
        <row r="80">
          <cell r="D80">
            <v>500000</v>
          </cell>
          <cell r="H80">
            <v>228428</v>
          </cell>
        </row>
        <row r="81">
          <cell r="C81">
            <v>1922275.37</v>
          </cell>
          <cell r="D81">
            <v>1332171</v>
          </cell>
          <cell r="I81">
            <v>3254446</v>
          </cell>
        </row>
        <row r="82">
          <cell r="C82">
            <v>7982164.7</v>
          </cell>
          <cell r="E82">
            <v>7982164.7</v>
          </cell>
        </row>
        <row r="83">
          <cell r="C83">
            <v>1300000</v>
          </cell>
          <cell r="I83">
            <v>549911</v>
          </cell>
        </row>
        <row r="84">
          <cell r="C84">
            <v>6682164.7</v>
          </cell>
          <cell r="I84">
            <v>6031739.5</v>
          </cell>
        </row>
        <row r="85">
          <cell r="D85">
            <v>250000</v>
          </cell>
          <cell r="I85">
            <v>222500</v>
          </cell>
        </row>
        <row r="86">
          <cell r="C86">
            <v>2530944</v>
          </cell>
          <cell r="I86">
            <v>2447500</v>
          </cell>
        </row>
        <row r="87">
          <cell r="C87">
            <v>18197304.76</v>
          </cell>
          <cell r="D87">
            <v>1000000</v>
          </cell>
          <cell r="I87">
            <v>19142420.21</v>
          </cell>
        </row>
        <row r="88">
          <cell r="D88">
            <v>727886</v>
          </cell>
          <cell r="I88">
            <v>0</v>
          </cell>
        </row>
        <row r="89">
          <cell r="C89">
            <v>21108690.03</v>
          </cell>
          <cell r="I89">
            <v>20696152</v>
          </cell>
        </row>
        <row r="92">
          <cell r="C92">
            <v>15528231.75</v>
          </cell>
          <cell r="I92">
            <v>13995368</v>
          </cell>
        </row>
        <row r="98">
          <cell r="C98">
            <v>0</v>
          </cell>
          <cell r="D98">
            <v>5745900</v>
          </cell>
          <cell r="I98">
            <v>5745900</v>
          </cell>
        </row>
        <row r="99">
          <cell r="C99">
            <v>5745900</v>
          </cell>
          <cell r="D99">
            <v>508200</v>
          </cell>
          <cell r="I99">
            <v>6254100</v>
          </cell>
        </row>
        <row r="123">
          <cell r="F123">
            <v>5000000</v>
          </cell>
          <cell r="I123">
            <v>176427</v>
          </cell>
        </row>
        <row r="124">
          <cell r="F124">
            <v>34000000</v>
          </cell>
          <cell r="I124">
            <v>34000000</v>
          </cell>
        </row>
        <row r="125">
          <cell r="C125">
            <v>7558904.11</v>
          </cell>
          <cell r="I125">
            <v>7558904</v>
          </cell>
        </row>
        <row r="126">
          <cell r="C126">
            <v>11338356.16</v>
          </cell>
          <cell r="D126">
            <v>1110543</v>
          </cell>
          <cell r="I126">
            <v>12448899</v>
          </cell>
        </row>
        <row r="127">
          <cell r="C127">
            <v>8000000</v>
          </cell>
          <cell r="I127">
            <v>7995333</v>
          </cell>
        </row>
        <row r="128">
          <cell r="C128">
            <v>4220000</v>
          </cell>
          <cell r="E128">
            <v>107500</v>
          </cell>
          <cell r="I128">
            <v>4112500</v>
          </cell>
        </row>
        <row r="129">
          <cell r="D129">
            <v>5830698</v>
          </cell>
        </row>
        <row r="130">
          <cell r="C130">
            <v>2000000</v>
          </cell>
          <cell r="D130">
            <v>3916200</v>
          </cell>
        </row>
        <row r="131">
          <cell r="C131">
            <v>4000000</v>
          </cell>
          <cell r="E131">
            <v>1000000</v>
          </cell>
        </row>
        <row r="132">
          <cell r="C132">
            <v>1350000</v>
          </cell>
        </row>
        <row r="133">
          <cell r="C133">
            <v>4840804.82</v>
          </cell>
          <cell r="E133">
            <v>840804</v>
          </cell>
          <cell r="I133">
            <v>4000000</v>
          </cell>
        </row>
        <row r="134">
          <cell r="C134">
            <v>1100000</v>
          </cell>
          <cell r="E134">
            <v>26000</v>
          </cell>
          <cell r="I134">
            <v>1074000</v>
          </cell>
        </row>
        <row r="135">
          <cell r="D135">
            <v>229375188</v>
          </cell>
        </row>
        <row r="136">
          <cell r="C136">
            <v>1000000</v>
          </cell>
          <cell r="E136">
            <v>136239</v>
          </cell>
          <cell r="I136">
            <v>863761</v>
          </cell>
        </row>
        <row r="137">
          <cell r="C137">
            <v>1650000</v>
          </cell>
          <cell r="D137">
            <v>3548025</v>
          </cell>
        </row>
        <row r="144">
          <cell r="C144">
            <v>0</v>
          </cell>
          <cell r="D144">
            <v>17150487</v>
          </cell>
          <cell r="E144">
            <v>4000000</v>
          </cell>
          <cell r="I144">
            <v>13124887</v>
          </cell>
        </row>
        <row r="145">
          <cell r="C145">
            <v>20000000</v>
          </cell>
          <cell r="D145">
            <v>17189513</v>
          </cell>
          <cell r="I145">
            <v>37189513</v>
          </cell>
        </row>
        <row r="146">
          <cell r="C146">
            <v>19000000</v>
          </cell>
          <cell r="I146">
            <v>17838119</v>
          </cell>
        </row>
        <row r="147">
          <cell r="D147">
            <v>6860945</v>
          </cell>
          <cell r="I147">
            <v>6860945</v>
          </cell>
        </row>
        <row r="148">
          <cell r="D148">
            <v>16336033</v>
          </cell>
          <cell r="E148">
            <v>539562</v>
          </cell>
          <cell r="I148">
            <v>15796451</v>
          </cell>
        </row>
        <row r="149">
          <cell r="C149">
            <v>9644434</v>
          </cell>
          <cell r="D149">
            <v>3000000</v>
          </cell>
          <cell r="E149">
            <v>80208</v>
          </cell>
          <cell r="I149">
            <v>12564226</v>
          </cell>
        </row>
        <row r="150">
          <cell r="D150">
            <v>539562</v>
          </cell>
          <cell r="I150">
            <v>539562</v>
          </cell>
        </row>
        <row r="151">
          <cell r="D151">
            <v>3000000</v>
          </cell>
          <cell r="I151">
            <v>1388868</v>
          </cell>
        </row>
        <row r="152">
          <cell r="D152">
            <v>5000000</v>
          </cell>
          <cell r="I152">
            <v>4998096</v>
          </cell>
        </row>
        <row r="153">
          <cell r="D153">
            <v>7449405</v>
          </cell>
          <cell r="E153">
            <v>6860945</v>
          </cell>
          <cell r="I153">
            <v>588460</v>
          </cell>
        </row>
        <row r="154">
          <cell r="C154">
            <v>10000000</v>
          </cell>
          <cell r="D154">
            <v>80208</v>
          </cell>
          <cell r="I154">
            <v>9592968</v>
          </cell>
        </row>
        <row r="155">
          <cell r="C155">
            <v>2000000</v>
          </cell>
          <cell r="I155">
            <v>2000000</v>
          </cell>
        </row>
        <row r="156">
          <cell r="D156">
            <v>5000000</v>
          </cell>
          <cell r="E156">
            <v>5000000</v>
          </cell>
        </row>
        <row r="157">
          <cell r="C157">
            <v>3000000</v>
          </cell>
          <cell r="E157">
            <v>3000000</v>
          </cell>
        </row>
        <row r="158">
          <cell r="C158">
            <v>0</v>
          </cell>
          <cell r="D158">
            <v>2525400</v>
          </cell>
          <cell r="I158">
            <v>500000</v>
          </cell>
        </row>
        <row r="159">
          <cell r="D159">
            <v>3000000</v>
          </cell>
          <cell r="E159">
            <v>3000000</v>
          </cell>
        </row>
        <row r="160">
          <cell r="C160">
            <v>943248520</v>
          </cell>
          <cell r="D160">
            <v>306491158.97</v>
          </cell>
          <cell r="E160">
            <v>20315783</v>
          </cell>
          <cell r="I160">
            <v>1146512907.24</v>
          </cell>
        </row>
        <row r="175">
          <cell r="C175">
            <v>263461021</v>
          </cell>
          <cell r="D175">
            <v>296743987</v>
          </cell>
          <cell r="E175">
            <v>226057897</v>
          </cell>
          <cell r="I175">
            <v>304591909.76</v>
          </cell>
        </row>
        <row r="198">
          <cell r="C198">
            <v>38453514</v>
          </cell>
          <cell r="D198">
            <v>29301240</v>
          </cell>
          <cell r="E198">
            <v>6750000</v>
          </cell>
          <cell r="I198">
            <v>59795934</v>
          </cell>
        </row>
        <row r="214">
          <cell r="C214">
            <v>32027636</v>
          </cell>
          <cell r="D214">
            <v>18509961</v>
          </cell>
          <cell r="E214">
            <v>1500000</v>
          </cell>
          <cell r="I214">
            <v>41513158</v>
          </cell>
        </row>
        <row r="231">
          <cell r="C231">
            <v>60000000</v>
          </cell>
          <cell r="D231">
            <v>40393246</v>
          </cell>
          <cell r="E231">
            <v>10688747</v>
          </cell>
          <cell r="I231">
            <v>77530826</v>
          </cell>
        </row>
        <row r="242">
          <cell r="C242">
            <v>118500000</v>
          </cell>
          <cell r="D242">
            <v>65866890</v>
          </cell>
          <cell r="I242">
            <v>181899268</v>
          </cell>
        </row>
        <row r="254">
          <cell r="C254">
            <v>2579055.56</v>
          </cell>
          <cell r="D254">
            <v>1100000</v>
          </cell>
          <cell r="I254">
            <v>3087500</v>
          </cell>
        </row>
        <row r="260">
          <cell r="C260">
            <v>26786900</v>
          </cell>
          <cell r="D260">
            <v>12108108</v>
          </cell>
          <cell r="I260">
            <v>38888126.9</v>
          </cell>
        </row>
        <row r="266">
          <cell r="C266">
            <v>2000000</v>
          </cell>
          <cell r="D266">
            <v>8000000</v>
          </cell>
          <cell r="E266">
            <v>1000000</v>
          </cell>
          <cell r="I266">
            <v>6966000</v>
          </cell>
        </row>
        <row r="271">
          <cell r="C271">
            <v>1000000</v>
          </cell>
          <cell r="I271">
            <v>0</v>
          </cell>
        </row>
        <row r="273">
          <cell r="C273">
            <v>71500000</v>
          </cell>
          <cell r="D273">
            <v>16482058</v>
          </cell>
          <cell r="I273">
            <v>80717893</v>
          </cell>
        </row>
        <row r="285">
          <cell r="C285">
            <v>40000000</v>
          </cell>
          <cell r="I285">
            <v>34051000</v>
          </cell>
        </row>
        <row r="289">
          <cell r="C289">
            <v>15000000</v>
          </cell>
          <cell r="D289">
            <v>6791321</v>
          </cell>
          <cell r="I289">
            <v>21053002</v>
          </cell>
        </row>
        <row r="292">
          <cell r="C292">
            <v>6500000</v>
          </cell>
          <cell r="D292">
            <v>24000000</v>
          </cell>
          <cell r="I292">
            <v>27998825</v>
          </cell>
        </row>
        <row r="298">
          <cell r="F298">
            <v>500000</v>
          </cell>
          <cell r="I298">
            <v>83050</v>
          </cell>
        </row>
        <row r="300">
          <cell r="C300">
            <v>28343233</v>
          </cell>
          <cell r="D300">
            <v>19634042</v>
          </cell>
          <cell r="E300">
            <v>4266514</v>
          </cell>
          <cell r="I300">
            <v>28472968</v>
          </cell>
        </row>
        <row r="313">
          <cell r="C313">
            <v>17000000</v>
          </cell>
          <cell r="D313">
            <v>8311768</v>
          </cell>
          <cell r="I313">
            <v>21025901</v>
          </cell>
        </row>
        <row r="319">
          <cell r="C319">
            <v>500000</v>
          </cell>
          <cell r="D319">
            <v>2289166</v>
          </cell>
          <cell r="I319">
            <v>819000</v>
          </cell>
        </row>
        <row r="323">
          <cell r="C323">
            <v>40818914</v>
          </cell>
          <cell r="D323">
            <v>57504316</v>
          </cell>
          <cell r="E323">
            <v>12608026</v>
          </cell>
          <cell r="I323">
            <v>45291364</v>
          </cell>
        </row>
        <row r="387">
          <cell r="C387">
            <v>20000000</v>
          </cell>
          <cell r="D387">
            <v>14088496</v>
          </cell>
          <cell r="E387">
            <v>1300000</v>
          </cell>
          <cell r="I387">
            <v>21338828</v>
          </cell>
        </row>
        <row r="397">
          <cell r="C397">
            <v>1100000</v>
          </cell>
          <cell r="D397">
            <v>5051081</v>
          </cell>
          <cell r="E397">
            <v>550000</v>
          </cell>
          <cell r="I397">
            <v>5503240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TIVA"/>
      <sheetName val="PASIVA"/>
    </sheetNames>
    <sheetDataSet>
      <sheetData sheetId="0">
        <row r="19">
          <cell r="L19">
            <v>186137497</v>
          </cell>
        </row>
        <row r="20">
          <cell r="L20">
            <v>69111702</v>
          </cell>
        </row>
        <row r="21">
          <cell r="L21">
            <v>5391660</v>
          </cell>
        </row>
        <row r="23">
          <cell r="L23">
            <v>3448188</v>
          </cell>
        </row>
        <row r="24">
          <cell r="L24">
            <v>1760216</v>
          </cell>
        </row>
        <row r="25">
          <cell r="L25">
            <v>65055</v>
          </cell>
        </row>
        <row r="26">
          <cell r="L26">
            <v>12093147</v>
          </cell>
        </row>
        <row r="27">
          <cell r="L27">
            <v>112411000</v>
          </cell>
        </row>
        <row r="29">
          <cell r="L29">
            <v>1843846</v>
          </cell>
        </row>
        <row r="30">
          <cell r="L30">
            <v>23469345.32</v>
          </cell>
        </row>
        <row r="31">
          <cell r="L31">
            <v>23469345.32</v>
          </cell>
        </row>
        <row r="34">
          <cell r="L34">
            <v>9374716</v>
          </cell>
        </row>
        <row r="35">
          <cell r="L35">
            <v>9278184</v>
          </cell>
        </row>
        <row r="36">
          <cell r="L36">
            <v>180000</v>
          </cell>
        </row>
        <row r="37">
          <cell r="L37">
            <v>5308250</v>
          </cell>
        </row>
        <row r="38">
          <cell r="L38">
            <v>3900103</v>
          </cell>
        </row>
        <row r="39">
          <cell r="L39">
            <v>531347</v>
          </cell>
        </row>
        <row r="40">
          <cell r="L40">
            <v>1055586</v>
          </cell>
        </row>
        <row r="41">
          <cell r="L41">
            <v>35530342</v>
          </cell>
        </row>
        <row r="42">
          <cell r="L42">
            <v>303587</v>
          </cell>
        </row>
        <row r="43">
          <cell r="L43">
            <v>0</v>
          </cell>
        </row>
        <row r="44">
          <cell r="L44">
            <v>4337</v>
          </cell>
        </row>
        <row r="45">
          <cell r="L45">
            <v>6954250</v>
          </cell>
        </row>
        <row r="46">
          <cell r="L46">
            <v>462950.57</v>
          </cell>
        </row>
        <row r="48">
          <cell r="L48">
            <v>21684</v>
          </cell>
        </row>
        <row r="51">
          <cell r="L51">
            <v>76243532</v>
          </cell>
        </row>
        <row r="52">
          <cell r="L52">
            <v>304974130</v>
          </cell>
        </row>
        <row r="53">
          <cell r="L53">
            <v>882246588</v>
          </cell>
        </row>
        <row r="54">
          <cell r="L54">
            <v>140697312</v>
          </cell>
        </row>
        <row r="55">
          <cell r="L55">
            <v>12655967</v>
          </cell>
        </row>
        <row r="56">
          <cell r="L56">
            <v>25000000</v>
          </cell>
        </row>
        <row r="58">
          <cell r="L58">
            <v>17497656</v>
          </cell>
        </row>
        <row r="60">
          <cell r="L60">
            <v>1508445.65</v>
          </cell>
        </row>
        <row r="62">
          <cell r="L62">
            <v>20074892.27</v>
          </cell>
        </row>
        <row r="63">
          <cell r="L63">
            <v>357205</v>
          </cell>
        </row>
        <row r="64">
          <cell r="L64">
            <v>60000000</v>
          </cell>
        </row>
        <row r="65">
          <cell r="L65">
            <v>12000000</v>
          </cell>
        </row>
        <row r="66">
          <cell r="L66">
            <v>10400000</v>
          </cell>
        </row>
        <row r="70">
          <cell r="L70">
            <v>94942099</v>
          </cell>
        </row>
        <row r="71">
          <cell r="L71">
            <v>8500000</v>
          </cell>
        </row>
        <row r="72">
          <cell r="L72">
            <v>41729970</v>
          </cell>
        </row>
        <row r="73">
          <cell r="L73">
            <v>10101591</v>
          </cell>
        </row>
        <row r="95">
          <cell r="L95">
            <v>1946931</v>
          </cell>
        </row>
        <row r="96">
          <cell r="L96">
            <v>18248747</v>
          </cell>
        </row>
        <row r="98">
          <cell r="L98">
            <v>12754000</v>
          </cell>
        </row>
        <row r="99">
          <cell r="L99">
            <v>3478166</v>
          </cell>
        </row>
        <row r="101">
          <cell r="L101">
            <v>670763</v>
          </cell>
        </row>
        <row r="107">
          <cell r="L107">
            <v>90599918</v>
          </cell>
        </row>
        <row r="109">
          <cell r="L109">
            <v>720140464.2</v>
          </cell>
        </row>
        <row r="110">
          <cell r="L110">
            <v>62959036</v>
          </cell>
        </row>
        <row r="111">
          <cell r="L111">
            <v>494483145</v>
          </cell>
        </row>
        <row r="112">
          <cell r="L112">
            <v>16503454.26</v>
          </cell>
        </row>
        <row r="113">
          <cell r="L113">
            <v>10682721.1</v>
          </cell>
        </row>
        <row r="115">
          <cell r="L115">
            <v>1581248</v>
          </cell>
        </row>
        <row r="116">
          <cell r="L116">
            <v>151560</v>
          </cell>
        </row>
        <row r="118">
          <cell r="L118">
            <v>3000000</v>
          </cell>
        </row>
        <row r="121">
          <cell r="L121">
            <v>21521684.84</v>
          </cell>
        </row>
        <row r="122">
          <cell r="L122">
            <v>0</v>
          </cell>
        </row>
        <row r="124">
          <cell r="L124">
            <v>10937142.56</v>
          </cell>
        </row>
        <row r="125">
          <cell r="L125">
            <v>22818843.72</v>
          </cell>
        </row>
        <row r="126">
          <cell r="L126">
            <v>696862.45</v>
          </cell>
        </row>
        <row r="128">
          <cell r="L128">
            <v>7302943.91</v>
          </cell>
        </row>
        <row r="130">
          <cell r="L130">
            <v>3616144.98</v>
          </cell>
        </row>
        <row r="131">
          <cell r="L131">
            <v>7560889.61</v>
          </cell>
        </row>
        <row r="133">
          <cell r="L133">
            <v>11968501.87</v>
          </cell>
        </row>
        <row r="135">
          <cell r="L135">
            <v>6242938.27</v>
          </cell>
        </row>
        <row r="136">
          <cell r="L136">
            <v>16403855.85</v>
          </cell>
        </row>
        <row r="137">
          <cell r="L137">
            <v>604165167.06</v>
          </cell>
        </row>
      </sheetData>
      <sheetData sheetId="1">
        <row r="15">
          <cell r="M15">
            <v>62787211</v>
          </cell>
          <cell r="O15">
            <v>921289</v>
          </cell>
        </row>
        <row r="43">
          <cell r="M43">
            <v>49847328</v>
          </cell>
          <cell r="O43">
            <v>2971677</v>
          </cell>
        </row>
        <row r="75">
          <cell r="M75">
            <v>48461307</v>
          </cell>
        </row>
        <row r="76">
          <cell r="M76">
            <v>159358664</v>
          </cell>
        </row>
        <row r="77">
          <cell r="M77">
            <v>12108168</v>
          </cell>
        </row>
        <row r="78">
          <cell r="M78">
            <v>6185276.5</v>
          </cell>
        </row>
        <row r="79">
          <cell r="M79">
            <v>4192696</v>
          </cell>
        </row>
        <row r="80">
          <cell r="M80">
            <v>4783639</v>
          </cell>
        </row>
        <row r="81">
          <cell r="M81">
            <v>4162146.15</v>
          </cell>
        </row>
        <row r="82">
          <cell r="M82">
            <v>8744140.15</v>
          </cell>
        </row>
        <row r="83">
          <cell r="M83">
            <v>454879</v>
          </cell>
        </row>
        <row r="84">
          <cell r="M84">
            <v>3048000</v>
          </cell>
        </row>
        <row r="85">
          <cell r="M85">
            <v>2797272</v>
          </cell>
          <cell r="O85">
            <v>17163924</v>
          </cell>
        </row>
        <row r="86">
          <cell r="O86">
            <v>1675860</v>
          </cell>
        </row>
        <row r="87">
          <cell r="M87">
            <v>23415210</v>
          </cell>
        </row>
        <row r="88">
          <cell r="M88">
            <v>8056854</v>
          </cell>
        </row>
        <row r="89">
          <cell r="M89">
            <v>6797971</v>
          </cell>
        </row>
        <row r="90">
          <cell r="M90">
            <v>6000000</v>
          </cell>
        </row>
        <row r="91">
          <cell r="M91">
            <v>17033738</v>
          </cell>
        </row>
        <row r="92">
          <cell r="M92">
            <v>29593</v>
          </cell>
        </row>
        <row r="93">
          <cell r="M93">
            <v>1007105</v>
          </cell>
        </row>
        <row r="94">
          <cell r="M94">
            <v>1007105</v>
          </cell>
        </row>
        <row r="95">
          <cell r="M95">
            <v>2014217</v>
          </cell>
        </row>
        <row r="96">
          <cell r="M96">
            <v>4906611</v>
          </cell>
        </row>
        <row r="97">
          <cell r="M97">
            <v>3000000</v>
          </cell>
          <cell r="O97">
            <v>5000000</v>
          </cell>
        </row>
        <row r="99">
          <cell r="M99">
            <v>5000000</v>
          </cell>
        </row>
        <row r="100">
          <cell r="M100">
            <v>13482000</v>
          </cell>
        </row>
        <row r="105">
          <cell r="M105">
            <v>4976525</v>
          </cell>
        </row>
        <row r="106">
          <cell r="M106">
            <v>3420610</v>
          </cell>
        </row>
        <row r="107">
          <cell r="M107">
            <v>11250000</v>
          </cell>
        </row>
        <row r="108">
          <cell r="M108">
            <v>3000000</v>
          </cell>
        </row>
        <row r="109">
          <cell r="M109">
            <v>758743</v>
          </cell>
        </row>
        <row r="110">
          <cell r="M110">
            <v>839306</v>
          </cell>
        </row>
        <row r="111">
          <cell r="M111">
            <v>853670</v>
          </cell>
        </row>
        <row r="112">
          <cell r="M112">
            <v>1718900</v>
          </cell>
        </row>
        <row r="113">
          <cell r="M113">
            <v>9307746</v>
          </cell>
        </row>
        <row r="114">
          <cell r="M114">
            <v>0</v>
          </cell>
        </row>
        <row r="115">
          <cell r="M115">
            <v>3538229.02</v>
          </cell>
        </row>
        <row r="116">
          <cell r="M116">
            <v>4107998</v>
          </cell>
        </row>
        <row r="117">
          <cell r="M117">
            <v>0</v>
          </cell>
        </row>
        <row r="118">
          <cell r="M118">
            <v>792000</v>
          </cell>
        </row>
        <row r="119">
          <cell r="M119">
            <v>1334300</v>
          </cell>
        </row>
        <row r="120">
          <cell r="M120">
            <v>0</v>
          </cell>
        </row>
        <row r="121">
          <cell r="M121">
            <v>28500000</v>
          </cell>
        </row>
        <row r="122">
          <cell r="M122">
            <v>6787369.94</v>
          </cell>
          <cell r="O122">
            <v>26255</v>
          </cell>
        </row>
        <row r="123">
          <cell r="M123">
            <v>9800653</v>
          </cell>
        </row>
        <row r="124">
          <cell r="M124">
            <v>2250000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1000000</v>
          </cell>
        </row>
        <row r="128">
          <cell r="M128">
            <v>15000000</v>
          </cell>
        </row>
        <row r="129">
          <cell r="M129">
            <v>3000000</v>
          </cell>
        </row>
        <row r="130">
          <cell r="M130">
            <v>4106000</v>
          </cell>
          <cell r="O130">
            <v>750000</v>
          </cell>
        </row>
        <row r="132">
          <cell r="M132">
            <v>12540</v>
          </cell>
        </row>
        <row r="133">
          <cell r="M133">
            <v>24613512</v>
          </cell>
        </row>
        <row r="136">
          <cell r="M136">
            <v>1283741</v>
          </cell>
        </row>
        <row r="137">
          <cell r="M137">
            <v>5193484</v>
          </cell>
        </row>
        <row r="138">
          <cell r="M138">
            <v>8000000</v>
          </cell>
          <cell r="O138">
            <v>10000000</v>
          </cell>
        </row>
        <row r="139">
          <cell r="M139">
            <v>2500000</v>
          </cell>
          <cell r="O139">
            <v>15000000</v>
          </cell>
        </row>
        <row r="140">
          <cell r="O140">
            <v>13500000</v>
          </cell>
        </row>
        <row r="141">
          <cell r="M141">
            <v>7815721</v>
          </cell>
          <cell r="O141">
            <v>16000000</v>
          </cell>
        </row>
        <row r="143">
          <cell r="M143">
            <v>7165546</v>
          </cell>
        </row>
        <row r="144">
          <cell r="M144">
            <v>1224000</v>
          </cell>
        </row>
        <row r="145">
          <cell r="M145">
            <v>353424</v>
          </cell>
        </row>
        <row r="146">
          <cell r="M146">
            <v>0</v>
          </cell>
        </row>
        <row r="147">
          <cell r="M147">
            <v>0</v>
          </cell>
        </row>
        <row r="149">
          <cell r="M149">
            <v>2247000</v>
          </cell>
        </row>
        <row r="150">
          <cell r="M150">
            <v>1800000</v>
          </cell>
        </row>
        <row r="153">
          <cell r="M153">
            <v>378167</v>
          </cell>
        </row>
        <row r="154">
          <cell r="M154">
            <v>34000000</v>
          </cell>
        </row>
        <row r="155">
          <cell r="M155">
            <v>7881233</v>
          </cell>
        </row>
        <row r="156">
          <cell r="M156">
            <v>5000000</v>
          </cell>
        </row>
        <row r="157">
          <cell r="M157">
            <v>886072</v>
          </cell>
        </row>
        <row r="158">
          <cell r="M158">
            <v>15249700</v>
          </cell>
          <cell r="O158">
            <v>300</v>
          </cell>
        </row>
        <row r="159">
          <cell r="M159">
            <v>10953903</v>
          </cell>
        </row>
        <row r="160">
          <cell r="M160">
            <v>4999997</v>
          </cell>
        </row>
        <row r="161">
          <cell r="M161">
            <v>1543541</v>
          </cell>
        </row>
        <row r="162">
          <cell r="M162">
            <v>15000000</v>
          </cell>
        </row>
        <row r="164">
          <cell r="M164">
            <v>3000000</v>
          </cell>
        </row>
        <row r="166">
          <cell r="M166">
            <v>997000</v>
          </cell>
          <cell r="O166">
            <v>1750000</v>
          </cell>
        </row>
        <row r="167">
          <cell r="M167">
            <v>3500000</v>
          </cell>
        </row>
        <row r="169">
          <cell r="O169">
            <v>5281278</v>
          </cell>
        </row>
        <row r="170">
          <cell r="O170">
            <v>3000000</v>
          </cell>
        </row>
        <row r="171">
          <cell r="O171">
            <v>5830357.18</v>
          </cell>
        </row>
        <row r="172">
          <cell r="O172">
            <v>627447</v>
          </cell>
        </row>
        <row r="173">
          <cell r="O173">
            <v>25640.82</v>
          </cell>
        </row>
        <row r="175">
          <cell r="M175">
            <v>1290978263.85</v>
          </cell>
          <cell r="O175">
            <v>218031983.16</v>
          </cell>
        </row>
        <row r="196">
          <cell r="M196">
            <v>545837548.16</v>
          </cell>
          <cell r="O196">
            <v>85867166.8</v>
          </cell>
        </row>
        <row r="223">
          <cell r="M223">
            <v>50677198</v>
          </cell>
        </row>
        <row r="224">
          <cell r="M224">
            <v>33079198</v>
          </cell>
          <cell r="O224">
            <v>40251738</v>
          </cell>
        </row>
        <row r="225">
          <cell r="O225">
            <v>25000000</v>
          </cell>
        </row>
        <row r="226">
          <cell r="M226">
            <v>67321097</v>
          </cell>
          <cell r="O226">
            <v>9170600</v>
          </cell>
        </row>
        <row r="241">
          <cell r="M241">
            <v>6885872</v>
          </cell>
          <cell r="O241">
            <v>614128</v>
          </cell>
        </row>
        <row r="242">
          <cell r="O242">
            <v>5000000</v>
          </cell>
        </row>
        <row r="244">
          <cell r="M244">
            <v>0</v>
          </cell>
        </row>
        <row r="245">
          <cell r="M245">
            <v>1800000</v>
          </cell>
        </row>
        <row r="246">
          <cell r="M246">
            <v>309000</v>
          </cell>
        </row>
        <row r="247">
          <cell r="M247">
            <v>3000000</v>
          </cell>
        </row>
        <row r="248">
          <cell r="M248">
            <v>5000000</v>
          </cell>
        </row>
        <row r="249">
          <cell r="M249">
            <v>10999900</v>
          </cell>
        </row>
        <row r="250">
          <cell r="M250">
            <v>4587946</v>
          </cell>
        </row>
        <row r="251">
          <cell r="M251">
            <v>1673154</v>
          </cell>
          <cell r="O251">
            <v>750000</v>
          </cell>
        </row>
        <row r="252">
          <cell r="M252">
            <v>589000</v>
          </cell>
        </row>
        <row r="253">
          <cell r="M253">
            <v>6041923</v>
          </cell>
        </row>
        <row r="254">
          <cell r="M254">
            <v>460000</v>
          </cell>
        </row>
        <row r="255">
          <cell r="M255">
            <v>1000000</v>
          </cell>
        </row>
        <row r="256">
          <cell r="M256">
            <v>5000000</v>
          </cell>
        </row>
        <row r="257">
          <cell r="M257">
            <v>4200000</v>
          </cell>
        </row>
        <row r="258">
          <cell r="M258">
            <v>629450</v>
          </cell>
        </row>
        <row r="259">
          <cell r="M259">
            <v>967946</v>
          </cell>
        </row>
        <row r="260">
          <cell r="M260">
            <v>5952054</v>
          </cell>
        </row>
        <row r="265">
          <cell r="M265">
            <v>99722758</v>
          </cell>
          <cell r="O265">
            <v>8190000</v>
          </cell>
        </row>
        <row r="281">
          <cell r="M281">
            <v>14512552</v>
          </cell>
          <cell r="O281">
            <v>427536</v>
          </cell>
        </row>
        <row r="282">
          <cell r="M282">
            <v>61502810</v>
          </cell>
          <cell r="O282">
            <v>13497190</v>
          </cell>
        </row>
        <row r="283">
          <cell r="M283">
            <v>10000000</v>
          </cell>
        </row>
        <row r="284">
          <cell r="M284">
            <v>11325935</v>
          </cell>
        </row>
        <row r="285">
          <cell r="M285">
            <v>2666810</v>
          </cell>
        </row>
        <row r="286">
          <cell r="M286">
            <v>12526804</v>
          </cell>
        </row>
        <row r="287">
          <cell r="M287">
            <v>16538691</v>
          </cell>
        </row>
        <row r="288">
          <cell r="M288">
            <v>0</v>
          </cell>
        </row>
        <row r="289">
          <cell r="M289">
            <v>15000000</v>
          </cell>
        </row>
        <row r="290">
          <cell r="M290">
            <v>2600625</v>
          </cell>
        </row>
        <row r="291">
          <cell r="M291">
            <v>3826448</v>
          </cell>
        </row>
        <row r="292">
          <cell r="M292">
            <v>0</v>
          </cell>
        </row>
        <row r="293">
          <cell r="M293">
            <v>1000000</v>
          </cell>
        </row>
        <row r="294">
          <cell r="O294">
            <v>5000000</v>
          </cell>
        </row>
        <row r="295">
          <cell r="M295">
            <v>1000000</v>
          </cell>
        </row>
        <row r="302">
          <cell r="O302">
            <v>182029</v>
          </cell>
        </row>
        <row r="304">
          <cell r="M304">
            <v>3037057</v>
          </cell>
        </row>
        <row r="305">
          <cell r="M305">
            <v>128000</v>
          </cell>
        </row>
        <row r="308">
          <cell r="M308">
            <v>2000000</v>
          </cell>
        </row>
        <row r="309">
          <cell r="M309">
            <v>282251</v>
          </cell>
        </row>
        <row r="311">
          <cell r="M311">
            <v>213660185</v>
          </cell>
          <cell r="O311">
            <v>88577496.32</v>
          </cell>
        </row>
        <row r="318">
          <cell r="M318">
            <v>51163200</v>
          </cell>
          <cell r="O318">
            <v>51163200</v>
          </cell>
        </row>
        <row r="319">
          <cell r="M319">
            <v>49408314</v>
          </cell>
          <cell r="O319">
            <v>24754386</v>
          </cell>
        </row>
        <row r="320">
          <cell r="M320">
            <v>10270000</v>
          </cell>
        </row>
        <row r="328">
          <cell r="M328">
            <v>31000000</v>
          </cell>
        </row>
        <row r="329">
          <cell r="M329">
            <v>1500000</v>
          </cell>
        </row>
        <row r="330">
          <cell r="M330">
            <v>1639680</v>
          </cell>
        </row>
        <row r="331">
          <cell r="M331">
            <v>2000000</v>
          </cell>
        </row>
        <row r="332">
          <cell r="M332">
            <v>765700</v>
          </cell>
        </row>
        <row r="333">
          <cell r="M333">
            <v>9526100</v>
          </cell>
        </row>
        <row r="334">
          <cell r="M334">
            <v>1000000</v>
          </cell>
        </row>
        <row r="335">
          <cell r="M335">
            <v>3659231</v>
          </cell>
        </row>
        <row r="336">
          <cell r="M336">
            <v>17438917</v>
          </cell>
          <cell r="O336">
            <v>11069193.08</v>
          </cell>
        </row>
        <row r="337">
          <cell r="M337">
            <v>115600</v>
          </cell>
        </row>
        <row r="338">
          <cell r="M338">
            <v>12054000</v>
          </cell>
          <cell r="O338">
            <v>16000</v>
          </cell>
        </row>
        <row r="339">
          <cell r="M339">
            <v>0</v>
          </cell>
        </row>
        <row r="340">
          <cell r="M340">
            <v>0</v>
          </cell>
        </row>
        <row r="341">
          <cell r="M341">
            <v>2000000</v>
          </cell>
        </row>
        <row r="342">
          <cell r="M342">
            <v>1000000</v>
          </cell>
        </row>
        <row r="343">
          <cell r="M343">
            <v>14000</v>
          </cell>
        </row>
        <row r="344">
          <cell r="M344">
            <v>2199504</v>
          </cell>
        </row>
        <row r="347">
          <cell r="M347">
            <v>5000000</v>
          </cell>
        </row>
        <row r="348">
          <cell r="M348">
            <v>1264000</v>
          </cell>
        </row>
        <row r="349">
          <cell r="M349">
            <v>8000000</v>
          </cell>
        </row>
        <row r="350">
          <cell r="M350">
            <v>27197750</v>
          </cell>
          <cell r="O350">
            <v>1737946</v>
          </cell>
        </row>
        <row r="351">
          <cell r="M351">
            <v>2581759</v>
          </cell>
          <cell r="O351">
            <v>923840</v>
          </cell>
        </row>
        <row r="352">
          <cell r="M352">
            <v>541501</v>
          </cell>
          <cell r="O352">
            <v>810304</v>
          </cell>
        </row>
        <row r="353">
          <cell r="M353">
            <v>2748000</v>
          </cell>
          <cell r="O353">
            <v>252000</v>
          </cell>
        </row>
        <row r="354">
          <cell r="O354">
            <v>600000</v>
          </cell>
        </row>
        <row r="356">
          <cell r="M356">
            <v>20000000</v>
          </cell>
        </row>
        <row r="357">
          <cell r="M357">
            <v>3300000</v>
          </cell>
        </row>
        <row r="358">
          <cell r="M358">
            <v>2314800</v>
          </cell>
        </row>
        <row r="359">
          <cell r="M359">
            <v>11610000</v>
          </cell>
        </row>
        <row r="362">
          <cell r="M362">
            <v>2416685</v>
          </cell>
        </row>
        <row r="363">
          <cell r="M363">
            <v>13000000</v>
          </cell>
        </row>
        <row r="364">
          <cell r="M364">
            <v>1254576</v>
          </cell>
        </row>
        <row r="365">
          <cell r="M365">
            <v>4492705</v>
          </cell>
        </row>
        <row r="381">
          <cell r="M381">
            <v>64301999</v>
          </cell>
          <cell r="O381">
            <v>540</v>
          </cell>
        </row>
        <row r="399">
          <cell r="M399">
            <v>1718722</v>
          </cell>
        </row>
        <row r="403">
          <cell r="M403">
            <v>5000000</v>
          </cell>
        </row>
        <row r="404">
          <cell r="O404">
            <v>7000000</v>
          </cell>
        </row>
        <row r="405">
          <cell r="O405">
            <v>5169642.82</v>
          </cell>
        </row>
        <row r="406">
          <cell r="M406">
            <v>250000</v>
          </cell>
        </row>
        <row r="409">
          <cell r="M409">
            <v>620001.44</v>
          </cell>
        </row>
        <row r="410">
          <cell r="M410">
            <v>1745500</v>
          </cell>
        </row>
        <row r="416">
          <cell r="M416">
            <v>6580655</v>
          </cell>
        </row>
        <row r="417">
          <cell r="M417">
            <v>599188</v>
          </cell>
        </row>
        <row r="418">
          <cell r="M418">
            <v>288900</v>
          </cell>
        </row>
        <row r="419">
          <cell r="M419">
            <v>274194</v>
          </cell>
        </row>
        <row r="420">
          <cell r="M420">
            <v>609600</v>
          </cell>
        </row>
        <row r="421">
          <cell r="O421">
            <v>747865</v>
          </cell>
        </row>
        <row r="422">
          <cell r="M422">
            <v>749844</v>
          </cell>
        </row>
        <row r="423">
          <cell r="M423">
            <v>258016</v>
          </cell>
        </row>
        <row r="424">
          <cell r="M424">
            <v>217696</v>
          </cell>
        </row>
        <row r="425">
          <cell r="M425">
            <v>548272</v>
          </cell>
        </row>
        <row r="426">
          <cell r="M426">
            <v>32252</v>
          </cell>
        </row>
        <row r="427">
          <cell r="M427">
            <v>32252</v>
          </cell>
        </row>
        <row r="428">
          <cell r="M428">
            <v>64504</v>
          </cell>
        </row>
        <row r="429">
          <cell r="M429">
            <v>157132</v>
          </cell>
        </row>
        <row r="431">
          <cell r="M431">
            <v>901050</v>
          </cell>
        </row>
        <row r="432">
          <cell r="M432">
            <v>12232181</v>
          </cell>
          <cell r="O432">
            <v>2000000</v>
          </cell>
        </row>
        <row r="433">
          <cell r="M433">
            <v>2763149</v>
          </cell>
          <cell r="O433">
            <v>303427</v>
          </cell>
        </row>
        <row r="435">
          <cell r="M435">
            <v>2217887</v>
          </cell>
        </row>
        <row r="440">
          <cell r="M440">
            <v>6141889</v>
          </cell>
        </row>
        <row r="441">
          <cell r="M441">
            <v>511824</v>
          </cell>
        </row>
        <row r="442">
          <cell r="M442">
            <v>288900</v>
          </cell>
        </row>
        <row r="443">
          <cell r="M443">
            <v>255912</v>
          </cell>
        </row>
        <row r="444">
          <cell r="O444">
            <v>644898</v>
          </cell>
        </row>
        <row r="445">
          <cell r="M445">
            <v>699852</v>
          </cell>
        </row>
        <row r="446">
          <cell r="M446">
            <v>240808</v>
          </cell>
        </row>
        <row r="447">
          <cell r="M447">
            <v>203180</v>
          </cell>
        </row>
        <row r="448">
          <cell r="M448">
            <v>511716</v>
          </cell>
        </row>
        <row r="449">
          <cell r="M449">
            <v>30100</v>
          </cell>
        </row>
        <row r="450">
          <cell r="M450">
            <v>30100</v>
          </cell>
        </row>
        <row r="451">
          <cell r="M451">
            <v>60200</v>
          </cell>
        </row>
        <row r="452">
          <cell r="M452">
            <v>146652</v>
          </cell>
        </row>
        <row r="454">
          <cell r="M454">
            <v>928125</v>
          </cell>
        </row>
        <row r="459">
          <cell r="M459">
            <v>6141689</v>
          </cell>
        </row>
        <row r="460">
          <cell r="M460">
            <v>511824</v>
          </cell>
        </row>
        <row r="461">
          <cell r="M461">
            <v>288900</v>
          </cell>
        </row>
        <row r="462">
          <cell r="M462">
            <v>255912</v>
          </cell>
        </row>
        <row r="463">
          <cell r="O463">
            <v>644898</v>
          </cell>
        </row>
        <row r="464">
          <cell r="M464">
            <v>699852</v>
          </cell>
        </row>
        <row r="465">
          <cell r="M465">
            <v>240808</v>
          </cell>
        </row>
        <row r="466">
          <cell r="M466">
            <v>203180</v>
          </cell>
        </row>
        <row r="467">
          <cell r="M467">
            <v>511716</v>
          </cell>
        </row>
        <row r="468">
          <cell r="M468">
            <v>30100</v>
          </cell>
        </row>
        <row r="469">
          <cell r="M469">
            <v>30100</v>
          </cell>
        </row>
        <row r="470">
          <cell r="M470">
            <v>60200</v>
          </cell>
        </row>
        <row r="471">
          <cell r="M471">
            <v>146652</v>
          </cell>
        </row>
        <row r="473">
          <cell r="M473">
            <v>3000000</v>
          </cell>
        </row>
        <row r="479">
          <cell r="M479">
            <v>535500</v>
          </cell>
          <cell r="O479">
            <v>3764500</v>
          </cell>
        </row>
        <row r="482">
          <cell r="M482">
            <v>2000000</v>
          </cell>
        </row>
        <row r="483">
          <cell r="M483">
            <v>2250000</v>
          </cell>
          <cell r="O483">
            <v>6750000</v>
          </cell>
        </row>
        <row r="487">
          <cell r="M487">
            <v>180000</v>
          </cell>
        </row>
        <row r="488">
          <cell r="M488">
            <v>1793000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37"/>
  <sheetViews>
    <sheetView zoomScalePageLayoutView="0" workbookViewId="0" topLeftCell="B73">
      <selection activeCell="D92" sqref="D92"/>
    </sheetView>
  </sheetViews>
  <sheetFormatPr defaultColWidth="11.421875" defaultRowHeight="12.75"/>
  <cols>
    <col min="1" max="1" width="4.140625" style="0" customWidth="1"/>
    <col min="2" max="2" width="47.140625" style="0" bestFit="1" customWidth="1"/>
    <col min="3" max="3" width="40.57421875" style="0" customWidth="1"/>
    <col min="4" max="4" width="13.7109375" style="287" bestFit="1" customWidth="1"/>
    <col min="5" max="5" width="14.140625" style="0" customWidth="1"/>
    <col min="6" max="6" width="13.7109375" style="0" bestFit="1" customWidth="1"/>
    <col min="7" max="7" width="14.57421875" style="0" customWidth="1"/>
    <col min="8" max="8" width="14.140625" style="0" customWidth="1"/>
    <col min="9" max="9" width="12.7109375" style="0" bestFit="1" customWidth="1"/>
  </cols>
  <sheetData>
    <row r="2" spans="2:4" ht="23.25">
      <c r="B2" s="386" t="s">
        <v>361</v>
      </c>
      <c r="C2" s="386"/>
      <c r="D2" s="287" t="s">
        <v>450</v>
      </c>
    </row>
    <row r="4" spans="2:3" ht="12.75">
      <c r="B4" s="272" t="s">
        <v>362</v>
      </c>
      <c r="C4" s="272" t="s">
        <v>363</v>
      </c>
    </row>
    <row r="5" spans="2:3" ht="12.75">
      <c r="B5" t="s">
        <v>364</v>
      </c>
      <c r="C5" t="s">
        <v>365</v>
      </c>
    </row>
    <row r="6" spans="2:3" ht="12.75">
      <c r="B6" t="s">
        <v>366</v>
      </c>
      <c r="C6" t="s">
        <v>367</v>
      </c>
    </row>
    <row r="7" spans="2:3" ht="12.75">
      <c r="B7" t="s">
        <v>368</v>
      </c>
      <c r="C7" t="s">
        <v>369</v>
      </c>
    </row>
    <row r="8" ht="12.75">
      <c r="C8" t="s">
        <v>370</v>
      </c>
    </row>
    <row r="9" ht="12.75">
      <c r="C9" t="s">
        <v>372</v>
      </c>
    </row>
    <row r="10" ht="12.75">
      <c r="C10" t="s">
        <v>373</v>
      </c>
    </row>
    <row r="11" ht="12.75">
      <c r="C11" t="s">
        <v>374</v>
      </c>
    </row>
    <row r="12" ht="12.75">
      <c r="C12" t="s">
        <v>375</v>
      </c>
    </row>
    <row r="13" spans="2:3" ht="12.75">
      <c r="B13" t="s">
        <v>371</v>
      </c>
      <c r="C13" s="282" t="s">
        <v>432</v>
      </c>
    </row>
    <row r="14" ht="12.75">
      <c r="C14" s="282" t="s">
        <v>433</v>
      </c>
    </row>
    <row r="15" ht="12.75">
      <c r="C15" s="282" t="s">
        <v>434</v>
      </c>
    </row>
    <row r="16" ht="12.75">
      <c r="C16" s="282" t="s">
        <v>435</v>
      </c>
    </row>
    <row r="17" ht="12.75">
      <c r="C17" s="282" t="s">
        <v>436</v>
      </c>
    </row>
    <row r="18" ht="12.75">
      <c r="C18" s="282" t="s">
        <v>437</v>
      </c>
    </row>
    <row r="19" ht="12.75">
      <c r="C19" s="282" t="s">
        <v>438</v>
      </c>
    </row>
    <row r="20" ht="12.75">
      <c r="C20" s="282" t="s">
        <v>439</v>
      </c>
    </row>
    <row r="21" ht="12.75">
      <c r="C21" s="282" t="s">
        <v>440</v>
      </c>
    </row>
    <row r="22" ht="12.75">
      <c r="C22" s="282" t="s">
        <v>441</v>
      </c>
    </row>
    <row r="23" ht="12.75">
      <c r="C23" s="282" t="s">
        <v>442</v>
      </c>
    </row>
    <row r="24" ht="12.75">
      <c r="C24" s="283" t="s">
        <v>443</v>
      </c>
    </row>
    <row r="25" spans="2:3" ht="12.75">
      <c r="B25" t="s">
        <v>376</v>
      </c>
      <c r="C25" t="s">
        <v>377</v>
      </c>
    </row>
    <row r="26" ht="12.75">
      <c r="C26" t="s">
        <v>378</v>
      </c>
    </row>
    <row r="27" ht="12.75">
      <c r="C27" t="s">
        <v>379</v>
      </c>
    </row>
    <row r="28" ht="12.75">
      <c r="C28" t="s">
        <v>444</v>
      </c>
    </row>
    <row r="29" ht="13.5" customHeight="1">
      <c r="C29" t="s">
        <v>445</v>
      </c>
    </row>
    <row r="30" spans="2:3" ht="13.5" customHeight="1">
      <c r="B30" t="s">
        <v>446</v>
      </c>
      <c r="C30" t="s">
        <v>447</v>
      </c>
    </row>
    <row r="31" spans="2:3" ht="13.5" customHeight="1">
      <c r="B31" t="s">
        <v>448</v>
      </c>
      <c r="C31" t="s">
        <v>449</v>
      </c>
    </row>
    <row r="32" spans="2:3" ht="12.75">
      <c r="B32" t="s">
        <v>380</v>
      </c>
      <c r="C32" t="s">
        <v>381</v>
      </c>
    </row>
    <row r="33" ht="12.75">
      <c r="C33" t="s">
        <v>382</v>
      </c>
    </row>
    <row r="34" ht="12.75">
      <c r="C34" t="s">
        <v>383</v>
      </c>
    </row>
    <row r="38" spans="2:3" ht="23.25">
      <c r="B38" s="386" t="s">
        <v>384</v>
      </c>
      <c r="C38" s="386"/>
    </row>
    <row r="40" spans="2:3" ht="12.75">
      <c r="B40" s="272" t="s">
        <v>362</v>
      </c>
      <c r="C40" s="272" t="s">
        <v>363</v>
      </c>
    </row>
    <row r="41" spans="2:5" ht="12.75">
      <c r="B41" t="s">
        <v>385</v>
      </c>
      <c r="C41" t="s">
        <v>386</v>
      </c>
      <c r="D41" s="288">
        <f>+'[3]PASIVA'!$M$75+'[3]PASIVA'!$M$76+'[3]PASIVA'!$M$416+'[3]PASIVA'!$M$440+'[3]PASIVA'!$M$459</f>
        <v>226684204</v>
      </c>
      <c r="E41" s="284">
        <f>+D41+D42+D43+D44+D45</f>
        <v>274248302.8</v>
      </c>
    </row>
    <row r="42" spans="3:4" ht="12.75">
      <c r="C42" t="s">
        <v>387</v>
      </c>
      <c r="D42" s="288">
        <f>+'[3]PASIVA'!$M$462+'[3]PASIVA'!$M$460+'[3]PASIVA'!$M$443+'[3]PASIVA'!$M$441+'[3]PASIVA'!$M$419+'[3]PASIVA'!$M$417+'[3]PASIVA'!$M$83+'[3]PASIVA'!$M$82+'[3]PASIVA'!$M$78+'[3]PASIVA'!$M$77</f>
        <v>29901317.65</v>
      </c>
    </row>
    <row r="43" spans="3:4" ht="12.75">
      <c r="C43" t="s">
        <v>388</v>
      </c>
      <c r="D43" s="288">
        <f>+'[3]PASIVA'!$M$79+'[3]PASIVA'!$M$418+'[3]PASIVA'!$M$442+'[3]PASIVA'!$M$461</f>
        <v>5059396</v>
      </c>
    </row>
    <row r="44" spans="3:4" ht="12.75">
      <c r="C44" t="s">
        <v>389</v>
      </c>
      <c r="D44" s="288">
        <f>+'[3]PASIVA'!$M$80+'[3]PASIVA'!$M$81</f>
        <v>8945785.15</v>
      </c>
    </row>
    <row r="45" spans="3:4" ht="12.75">
      <c r="C45" t="s">
        <v>390</v>
      </c>
      <c r="D45" s="288">
        <f>+'[3]PASIVA'!$M$420+'[3]PASIVA'!$M$84</f>
        <v>3657600</v>
      </c>
    </row>
    <row r="46" spans="2:3" ht="12.75">
      <c r="B46" t="s">
        <v>391</v>
      </c>
      <c r="C46" t="s">
        <v>392</v>
      </c>
    </row>
    <row r="47" spans="2:3" ht="12.75">
      <c r="B47" t="s">
        <v>393</v>
      </c>
      <c r="C47" t="s">
        <v>394</v>
      </c>
    </row>
    <row r="48" ht="12.75">
      <c r="C48" t="s">
        <v>395</v>
      </c>
    </row>
    <row r="49" spans="2:3" ht="12.75">
      <c r="B49" t="s">
        <v>396</v>
      </c>
      <c r="C49" t="s">
        <v>397</v>
      </c>
    </row>
    <row r="50" spans="3:5" ht="12.75">
      <c r="C50" t="s">
        <v>398</v>
      </c>
      <c r="E50" s="232"/>
    </row>
    <row r="51" ht="12.75">
      <c r="C51" t="s">
        <v>399</v>
      </c>
    </row>
    <row r="52" ht="12.75">
      <c r="C52" t="s">
        <v>400</v>
      </c>
    </row>
    <row r="53" ht="12.75">
      <c r="C53" t="s">
        <v>401</v>
      </c>
    </row>
    <row r="54" spans="2:3" ht="12.75">
      <c r="B54" s="273" t="s">
        <v>402</v>
      </c>
      <c r="C54" s="273" t="s">
        <v>403</v>
      </c>
    </row>
    <row r="55" spans="2:3" ht="12.75">
      <c r="B55" t="s">
        <v>404</v>
      </c>
      <c r="C55" t="s">
        <v>405</v>
      </c>
    </row>
    <row r="56" ht="12.75">
      <c r="C56" t="s">
        <v>406</v>
      </c>
    </row>
    <row r="57" ht="12.75">
      <c r="C57" t="s">
        <v>407</v>
      </c>
    </row>
    <row r="58" spans="2:3" ht="12.75">
      <c r="B58" t="s">
        <v>408</v>
      </c>
      <c r="C58" t="s">
        <v>409</v>
      </c>
    </row>
    <row r="59" ht="12.75">
      <c r="C59" t="s">
        <v>410</v>
      </c>
    </row>
    <row r="60" ht="12.75">
      <c r="C60" t="s">
        <v>411</v>
      </c>
    </row>
    <row r="61" ht="12.75">
      <c r="C61" t="s">
        <v>412</v>
      </c>
    </row>
    <row r="62" ht="12.75">
      <c r="C62" t="s">
        <v>413</v>
      </c>
    </row>
    <row r="63" spans="2:3" ht="12.75">
      <c r="B63" t="s">
        <v>414</v>
      </c>
      <c r="C63" s="273" t="s">
        <v>415</v>
      </c>
    </row>
    <row r="64" spans="2:3" ht="12.75">
      <c r="B64" s="273" t="s">
        <v>416</v>
      </c>
      <c r="C64" s="273" t="s">
        <v>417</v>
      </c>
    </row>
    <row r="65" spans="2:3" ht="12.75">
      <c r="B65" s="274" t="s">
        <v>418</v>
      </c>
      <c r="C65" s="273"/>
    </row>
    <row r="66" spans="2:3" ht="12.75">
      <c r="B66" s="273" t="s">
        <v>419</v>
      </c>
      <c r="C66" s="273" t="s">
        <v>420</v>
      </c>
    </row>
    <row r="67" spans="2:3" ht="12.75">
      <c r="B67" s="273"/>
      <c r="C67" s="273" t="s">
        <v>421</v>
      </c>
    </row>
    <row r="68" spans="2:3" ht="12.75">
      <c r="B68" s="273" t="s">
        <v>422</v>
      </c>
      <c r="C68" s="273" t="s">
        <v>423</v>
      </c>
    </row>
    <row r="69" spans="2:3" ht="12.75">
      <c r="B69" s="273" t="s">
        <v>424</v>
      </c>
      <c r="C69" s="273" t="s">
        <v>425</v>
      </c>
    </row>
    <row r="70" spans="2:3" ht="12.75">
      <c r="B70" s="273"/>
      <c r="C70" s="273" t="s">
        <v>426</v>
      </c>
    </row>
    <row r="71" spans="2:3" ht="12.75">
      <c r="B71" s="273" t="s">
        <v>427</v>
      </c>
      <c r="C71" s="273" t="s">
        <v>428</v>
      </c>
    </row>
    <row r="72" spans="4:9" ht="13.5" customHeight="1">
      <c r="D72" s="289"/>
      <c r="E72" s="272"/>
      <c r="F72" s="272"/>
      <c r="G72" s="272"/>
      <c r="H72" s="272"/>
      <c r="I72" s="272"/>
    </row>
    <row r="73" spans="2:9" ht="12.75">
      <c r="B73" t="s">
        <v>429</v>
      </c>
      <c r="C73" t="s">
        <v>451</v>
      </c>
      <c r="D73" s="292">
        <f>+'[3]PASIVA'!$M$244+'[3]PASIVA'!$M$246+'[3]PASIVA'!$M$247+'[3]PASIVA'!$M$249+'[3]PASIVA'!$M$251+'[3]PASIVA'!$O$251+'[3]PASIVA'!$M$252+'[3]PASIVA'!$M$253+'[3]PASIVA'!$M$255+'[3]PASIVA'!$M$256+'[3]PASIVA'!$M$258+'[3]PASIVA'!$M$259</f>
        <v>30960373</v>
      </c>
      <c r="E73" s="272"/>
      <c r="F73" s="272"/>
      <c r="G73" s="275"/>
      <c r="H73" s="275"/>
      <c r="I73" s="275"/>
    </row>
    <row r="74" spans="2:9" ht="12.75">
      <c r="B74" t="s">
        <v>430</v>
      </c>
      <c r="D74" s="290">
        <f>+'[3]PASIVA'!$M$245+'[3]PASIVA'!$M$248+'[3]PASIVA'!$M$250+'[3]PASIVA'!$M$254+'[3]PASIVA'!$M$257+'[3]PASIVA'!$M$260</f>
        <v>22000000</v>
      </c>
      <c r="E74" s="275"/>
      <c r="F74" s="275"/>
      <c r="G74" s="275"/>
      <c r="I74" s="275"/>
    </row>
    <row r="75" spans="2:6" ht="12.75">
      <c r="B75" t="s">
        <v>459</v>
      </c>
      <c r="C75" t="s">
        <v>452</v>
      </c>
      <c r="D75" s="288">
        <f>+'[3]PASIVA'!$M$282+'[3]PASIVA'!$O$282+'[3]PASIVA'!$M$283+'[3]PASIVA'!$M$285+'[3]PASIVA'!$M$286+'[3]PASIVA'!$M$289+'[3]PASIVA'!$M$290+'[3]PASIVA'!$M$292+'[3]PASIVA'!$M$293+'[3]PASIVA'!$M$295</f>
        <v>119794239</v>
      </c>
      <c r="E75" s="275"/>
      <c r="F75" s="275"/>
    </row>
    <row r="76" spans="4:8" ht="12.75">
      <c r="D76" s="290">
        <f>+'[3]PASIVA'!$M$281+'[3]PASIVA'!$O$281+'[3]PASIVA'!$M$284+'[3]PASIVA'!$M$287+'[3]PASIVA'!$M$288+'[3]PASIVA'!$M$291+'[3]PASIVA'!$O$294</f>
        <v>51631162</v>
      </c>
      <c r="E76" s="276"/>
      <c r="F76" s="276"/>
      <c r="H76" s="275"/>
    </row>
    <row r="77" spans="3:9" ht="12.75">
      <c r="C77" t="s">
        <v>453</v>
      </c>
      <c r="D77" s="288">
        <f>+'[3]PASIVA'!$M$399+'[3]PASIVA'!$M$403+'[3]PASIVA'!$O$404+'[3]PASIVA'!$M$406</f>
        <v>13968722</v>
      </c>
      <c r="E77" s="275"/>
      <c r="F77" s="275"/>
      <c r="H77" s="275"/>
      <c r="I77" s="275"/>
    </row>
    <row r="78" spans="4:9" ht="12.75">
      <c r="D78" s="290">
        <f>+'[3]PASIVA'!$O$405</f>
        <v>5169642.82</v>
      </c>
      <c r="E78" s="276"/>
      <c r="F78" s="276"/>
      <c r="G78" s="275"/>
      <c r="H78" s="275"/>
      <c r="I78" s="275"/>
    </row>
    <row r="79" spans="3:9" ht="12.75">
      <c r="C79" s="277" t="s">
        <v>454</v>
      </c>
      <c r="D79" s="288">
        <f>+'[3]PASIVA'!$M$356+'[3]PASIVA'!$M$357+'[3]PASIVA'!$M$358+'[3]PASIVA'!$M$359+'[3]PASIVA'!$M$362+'[3]PASIVA'!$M$364</f>
        <v>40896061</v>
      </c>
      <c r="E79" s="275"/>
      <c r="F79" s="275"/>
      <c r="G79" s="275"/>
      <c r="H79" s="275"/>
      <c r="I79" s="275"/>
    </row>
    <row r="80" spans="4:9" ht="12.75">
      <c r="D80" s="290">
        <f>+'[3]PASIVA'!$M$363</f>
        <v>13000000</v>
      </c>
      <c r="E80" s="276"/>
      <c r="F80" s="276"/>
      <c r="G80" s="275"/>
      <c r="H80" s="275"/>
      <c r="I80" s="275"/>
    </row>
    <row r="81" spans="3:4" ht="12.75">
      <c r="C81" t="s">
        <v>455</v>
      </c>
      <c r="D81" s="288">
        <f>+D83+D84+D85+D86+D87+D88</f>
        <v>166247563.07999998</v>
      </c>
    </row>
    <row r="82" spans="4:6" ht="12.75">
      <c r="D82" s="290">
        <f>+E83+E84+E85+E86+E87+E88</f>
        <v>2799504</v>
      </c>
      <c r="E82" s="278"/>
      <c r="F82" s="278"/>
    </row>
    <row r="83" spans="3:5" ht="12.75">
      <c r="C83" s="279" t="s">
        <v>431</v>
      </c>
      <c r="D83" s="293">
        <f>+'[3]PASIVA'!$O$302+'[3]PASIVA'!$M$304+'[3]PASIVA'!$M$305+'[3]PASIVA'!$M$308+'[3]PASIVA'!$M$309</f>
        <v>5629337</v>
      </c>
      <c r="E83" s="278">
        <v>0</v>
      </c>
    </row>
    <row r="84" spans="3:6" ht="12.75">
      <c r="C84" s="279" t="s">
        <v>456</v>
      </c>
      <c r="D84" s="293">
        <f>+'[3]PASIVA'!$M$320</f>
        <v>10270000</v>
      </c>
      <c r="E84" s="286">
        <v>0</v>
      </c>
      <c r="F84" s="276"/>
    </row>
    <row r="85" spans="3:5" ht="12.75">
      <c r="C85" s="279" t="s">
        <v>457</v>
      </c>
      <c r="D85" s="293">
        <v>0</v>
      </c>
      <c r="E85" s="286">
        <v>0</v>
      </c>
    </row>
    <row r="86" spans="3:6" ht="12.75">
      <c r="C86" s="279" t="s">
        <v>458</v>
      </c>
      <c r="D86" s="293">
        <f>+SUM('[3]PASIVA'!$M$328:$M$343)+'[3]PASIVA'!$O$336+'[3]PASIVA'!$O$338</f>
        <v>94798421.08</v>
      </c>
      <c r="E86" s="286">
        <f>+'[3]PASIVA'!$M$344</f>
        <v>2199504</v>
      </c>
      <c r="F86" s="276"/>
    </row>
    <row r="87" spans="3:6" ht="12.75">
      <c r="C87" s="279" t="s">
        <v>460</v>
      </c>
      <c r="D87" s="293">
        <f>+'[3]PASIVA'!$M$347+'[3]PASIVA'!$M$348+'[3]PASIVA'!$M$349+'[3]PASIVA'!$M$350+'[3]PASIVA'!$M$351+'[3]PASIVA'!$M$352+'[3]PASIVA'!$M$353+'[3]PASIVA'!$O$353+'[3]PASIVA'!$O$352+'[3]PASIVA'!$O$351+'[3]PASIVA'!$O$350</f>
        <v>51057100</v>
      </c>
      <c r="E87" s="286">
        <f>+'[3]PASIVA'!$O$354</f>
        <v>600000</v>
      </c>
      <c r="F87" s="275"/>
    </row>
    <row r="88" spans="3:5" ht="12.75">
      <c r="C88" s="279" t="s">
        <v>461</v>
      </c>
      <c r="D88" s="288">
        <f>+'[3]PASIVA'!$M$365</f>
        <v>4492705</v>
      </c>
      <c r="E88" s="286">
        <v>0</v>
      </c>
    </row>
    <row r="89" spans="3:5" ht="12.75">
      <c r="C89" s="279"/>
      <c r="D89" s="293"/>
      <c r="E89" s="286"/>
    </row>
    <row r="90" spans="4:5" ht="12.75">
      <c r="D90" s="294"/>
      <c r="E90" s="278"/>
    </row>
    <row r="91" spans="4:5" ht="12.75">
      <c r="D91" s="294"/>
      <c r="E91" s="278"/>
    </row>
    <row r="92" spans="3:5" ht="12.75">
      <c r="C92" t="s">
        <v>462</v>
      </c>
      <c r="D92" s="294"/>
      <c r="E92" s="278"/>
    </row>
    <row r="93" ht="12.75">
      <c r="D93" s="294"/>
    </row>
    <row r="94" ht="12.75">
      <c r="D94" s="294"/>
    </row>
    <row r="104" spans="3:4" ht="23.25">
      <c r="C104" s="386"/>
      <c r="D104" s="386"/>
    </row>
    <row r="106" spans="3:4" ht="12.75">
      <c r="C106" s="272"/>
      <c r="D106" s="289"/>
    </row>
    <row r="120" spans="3:4" ht="12.75">
      <c r="C120" s="273"/>
      <c r="D120" s="291"/>
    </row>
    <row r="129" ht="12.75">
      <c r="D129" s="291"/>
    </row>
    <row r="130" spans="3:4" ht="12.75">
      <c r="C130" s="273"/>
      <c r="D130" s="291"/>
    </row>
    <row r="131" spans="3:4" ht="12.75">
      <c r="C131" s="274"/>
      <c r="D131" s="291"/>
    </row>
    <row r="132" spans="3:4" ht="12.75">
      <c r="C132" s="273"/>
      <c r="D132" s="291"/>
    </row>
    <row r="133" spans="3:4" ht="12.75">
      <c r="C133" s="273"/>
      <c r="D133" s="291"/>
    </row>
    <row r="134" spans="3:4" ht="12.75">
      <c r="C134" s="273"/>
      <c r="D134" s="291"/>
    </row>
    <row r="135" spans="3:4" ht="12.75">
      <c r="C135" s="273"/>
      <c r="D135" s="291"/>
    </row>
    <row r="136" spans="3:4" ht="12.75">
      <c r="C136" s="273"/>
      <c r="D136" s="291"/>
    </row>
    <row r="137" spans="3:4" ht="12.75">
      <c r="C137" s="273"/>
      <c r="D137" s="291"/>
    </row>
  </sheetData>
  <sheetProtection/>
  <mergeCells count="3">
    <mergeCell ref="B2:C2"/>
    <mergeCell ref="B38:C38"/>
    <mergeCell ref="C104:D104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46.8515625" style="45" customWidth="1"/>
    <col min="2" max="2" width="15.00390625" style="45" customWidth="1"/>
    <col min="3" max="3" width="15.421875" style="45" customWidth="1"/>
    <col min="4" max="4" width="15.8515625" style="45" customWidth="1"/>
    <col min="5" max="5" width="14.7109375" style="45" customWidth="1"/>
    <col min="6" max="6" width="16.28125" style="45" customWidth="1"/>
    <col min="7" max="7" width="14.57421875" style="45" customWidth="1"/>
    <col min="8" max="8" width="11.28125" style="45" customWidth="1"/>
    <col min="9" max="9" width="15.421875" style="45" customWidth="1"/>
    <col min="10" max="10" width="14.28125" style="45" bestFit="1" customWidth="1"/>
    <col min="11" max="11" width="10.8515625" style="45" customWidth="1"/>
    <col min="12" max="12" width="11.00390625" style="45" customWidth="1"/>
    <col min="13" max="13" width="16.57421875" style="45" customWidth="1"/>
    <col min="14" max="16384" width="11.421875" style="45" customWidth="1"/>
  </cols>
  <sheetData>
    <row r="1" spans="1:13" ht="20.25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ht="12.75"/>
    <row r="3" spans="1:13" ht="18">
      <c r="A3" s="391" t="s">
        <v>3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4" ht="12.75"/>
    <row r="5" spans="1:13" ht="18">
      <c r="A5" s="390" t="s">
        <v>356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6" ht="12.75"/>
    <row r="7" spans="1:13" ht="18">
      <c r="A7" s="389" t="s">
        <v>25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</row>
    <row r="8" spans="1:13" ht="18">
      <c r="A8" s="388" t="s">
        <v>232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</row>
    <row r="9" spans="1:13" ht="18">
      <c r="A9" s="388" t="s">
        <v>233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</row>
    <row r="10" spans="1:9" ht="13.5" thickBot="1">
      <c r="A10" s="46"/>
      <c r="B10" s="47"/>
      <c r="C10" s="46"/>
      <c r="I10" s="46"/>
    </row>
    <row r="11" spans="1:15" ht="60.75" thickBot="1">
      <c r="A11" s="16" t="s">
        <v>4</v>
      </c>
      <c r="B11" s="16" t="s">
        <v>228</v>
      </c>
      <c r="C11" s="16" t="s">
        <v>227</v>
      </c>
      <c r="D11" s="193" t="s">
        <v>358</v>
      </c>
      <c r="E11" s="16" t="s">
        <v>2</v>
      </c>
      <c r="F11" s="194" t="s">
        <v>359</v>
      </c>
      <c r="G11" s="49" t="s">
        <v>245</v>
      </c>
      <c r="H11" s="50" t="s">
        <v>239</v>
      </c>
      <c r="I11" s="16" t="s">
        <v>224</v>
      </c>
      <c r="J11" s="16" t="s">
        <v>225</v>
      </c>
      <c r="K11" s="17" t="s">
        <v>236</v>
      </c>
      <c r="L11" s="17" t="s">
        <v>237</v>
      </c>
      <c r="M11" s="16" t="s">
        <v>240</v>
      </c>
      <c r="O11" s="16" t="s">
        <v>244</v>
      </c>
    </row>
    <row r="12" spans="1:15" ht="15.75" thickBot="1">
      <c r="A12" s="18" t="s">
        <v>28</v>
      </c>
      <c r="B12" s="80">
        <f aca="true" t="shared" si="0" ref="B12:J12">+B13+B64</f>
        <v>3188531941.3182</v>
      </c>
      <c r="C12" s="80">
        <f t="shared" si="0"/>
        <v>2361335535.8</v>
      </c>
      <c r="D12" s="80">
        <f t="shared" si="0"/>
        <v>978100056.97</v>
      </c>
      <c r="E12" s="80">
        <f t="shared" si="0"/>
        <v>3339435592.7699995</v>
      </c>
      <c r="F12" s="80">
        <f t="shared" si="0"/>
        <v>2953187261.15</v>
      </c>
      <c r="G12" s="80">
        <f t="shared" si="0"/>
        <v>2953187261.15</v>
      </c>
      <c r="H12" s="31">
        <f>((G12*100)/E12)</f>
        <v>88.43372417613799</v>
      </c>
      <c r="I12" s="80">
        <f t="shared" si="0"/>
        <v>0</v>
      </c>
      <c r="J12" s="80">
        <f t="shared" si="0"/>
        <v>0</v>
      </c>
      <c r="K12" s="51" t="e">
        <f aca="true" t="shared" si="1" ref="K12:K35">+((G12/I12)-1)*100</f>
        <v>#DIV/0!</v>
      </c>
      <c r="L12" s="51" t="e">
        <f>+((I12/J12)-1)*100</f>
        <v>#DIV/0!</v>
      </c>
      <c r="M12" s="52">
        <f>((B12/G12)-1)*100</f>
        <v>7.969175651819471</v>
      </c>
      <c r="O12" s="19"/>
    </row>
    <row r="13" spans="1:15" ht="13.5" thickBot="1">
      <c r="A13" s="11" t="s">
        <v>29</v>
      </c>
      <c r="B13" s="53">
        <f aca="true" t="shared" si="2" ref="B13:J13">+B14+B30</f>
        <v>2832468319.0582</v>
      </c>
      <c r="C13" s="53">
        <f t="shared" si="2"/>
        <v>2282735535.8</v>
      </c>
      <c r="D13" s="53">
        <f t="shared" si="2"/>
        <v>491852185.71</v>
      </c>
      <c r="E13" s="53">
        <f t="shared" si="2"/>
        <v>2774587721.5099998</v>
      </c>
      <c r="F13" s="53">
        <f t="shared" si="2"/>
        <v>2611848631.15</v>
      </c>
      <c r="G13" s="53">
        <f t="shared" si="2"/>
        <v>2611848631.15</v>
      </c>
      <c r="H13" s="32">
        <f>((G13*100)/E13)</f>
        <v>94.13465686817669</v>
      </c>
      <c r="I13" s="53">
        <f t="shared" si="2"/>
        <v>0</v>
      </c>
      <c r="J13" s="170">
        <f t="shared" si="2"/>
        <v>0</v>
      </c>
      <c r="K13" s="55" t="e">
        <f t="shared" si="1"/>
        <v>#DIV/0!</v>
      </c>
      <c r="L13" s="204" t="e">
        <f>+((I13/J13)-1)*100</f>
        <v>#DIV/0!</v>
      </c>
      <c r="M13" s="55">
        <f>((B13/G13)-1)*100</f>
        <v>8.44687878451289</v>
      </c>
      <c r="O13" s="54"/>
    </row>
    <row r="14" spans="1:15" ht="12.75">
      <c r="A14" s="124" t="s">
        <v>30</v>
      </c>
      <c r="B14" s="133">
        <f>SUM(B15:B29)</f>
        <v>374045087.885</v>
      </c>
      <c r="C14" s="133">
        <f aca="true" t="shared" si="3" ref="C14:J14">SUM(C15:C29)</f>
        <v>321075000</v>
      </c>
      <c r="D14" s="133">
        <f t="shared" si="3"/>
        <v>0</v>
      </c>
      <c r="E14" s="133">
        <f t="shared" si="3"/>
        <v>321075000</v>
      </c>
      <c r="F14" s="134">
        <f t="shared" si="3"/>
        <v>354545107</v>
      </c>
      <c r="G14" s="133">
        <f t="shared" si="3"/>
        <v>354545107</v>
      </c>
      <c r="H14" s="135">
        <f>((G14*100)/E14)</f>
        <v>110.42438900568403</v>
      </c>
      <c r="I14" s="133">
        <f t="shared" si="3"/>
        <v>0</v>
      </c>
      <c r="J14" s="168">
        <f t="shared" si="3"/>
        <v>0</v>
      </c>
      <c r="K14" s="136" t="e">
        <f t="shared" si="1"/>
        <v>#DIV/0!</v>
      </c>
      <c r="L14" s="169" t="e">
        <f>+((I14/J14)-1)*100</f>
        <v>#DIV/0!</v>
      </c>
      <c r="M14" s="150">
        <f>((B14/G14)-1)*100</f>
        <v>5.499999999999994</v>
      </c>
      <c r="O14" s="56"/>
    </row>
    <row r="15" spans="1:15" ht="12.75">
      <c r="A15" s="14" t="s">
        <v>229</v>
      </c>
      <c r="B15" s="35">
        <f>+G15*O15</f>
        <v>155210241.16</v>
      </c>
      <c r="C15" s="36">
        <v>120000000</v>
      </c>
      <c r="D15" s="37"/>
      <c r="E15" s="156">
        <f aca="true" t="shared" si="4" ref="E15:E29">+C15+D15</f>
        <v>120000000</v>
      </c>
      <c r="F15" s="36">
        <f>+'[1]Hoja1'!$O$23</f>
        <v>147118712</v>
      </c>
      <c r="G15" s="70">
        <f>+F15</f>
        <v>147118712</v>
      </c>
      <c r="H15" s="158">
        <f>((G15*100)/E15)</f>
        <v>122.59892666666667</v>
      </c>
      <c r="I15" s="73"/>
      <c r="J15" s="171"/>
      <c r="K15" s="164" t="e">
        <f t="shared" si="1"/>
        <v>#DIV/0!</v>
      </c>
      <c r="L15" s="176" t="e">
        <f>+((I15/J15)-1)*100</f>
        <v>#DIV/0!</v>
      </c>
      <c r="M15" s="62">
        <f>((B15/G15)-1)*100</f>
        <v>5.499999999999994</v>
      </c>
      <c r="O15" s="37">
        <f>1+(0.055)</f>
        <v>1.055</v>
      </c>
    </row>
    <row r="16" spans="1:15" ht="12.75">
      <c r="A16" s="14" t="s">
        <v>198</v>
      </c>
      <c r="B16" s="35">
        <f aca="true" t="shared" si="5" ref="B16:B29">+G16*O16</f>
        <v>0</v>
      </c>
      <c r="C16" s="36">
        <v>0</v>
      </c>
      <c r="D16" s="38"/>
      <c r="E16" s="156">
        <f t="shared" si="4"/>
        <v>0</v>
      </c>
      <c r="F16" s="36"/>
      <c r="G16" s="70"/>
      <c r="H16" s="158" t="e">
        <f aca="true" t="shared" si="6" ref="H16:H80">((G16*100)/E16)</f>
        <v>#DIV/0!</v>
      </c>
      <c r="I16" s="73"/>
      <c r="J16" s="171"/>
      <c r="K16" s="164" t="e">
        <f t="shared" si="1"/>
        <v>#DIV/0!</v>
      </c>
      <c r="L16" s="176" t="e">
        <f aca="true" t="shared" si="7" ref="L16:L30">+((I16/J16)-1)*100</f>
        <v>#DIV/0!</v>
      </c>
      <c r="M16" s="62" t="e">
        <f aca="true" t="shared" si="8" ref="M16:M29">((B16/G16)-1)*100</f>
        <v>#DIV/0!</v>
      </c>
      <c r="O16" s="37">
        <f aca="true" t="shared" si="9" ref="O16:O34">1+(0.055)</f>
        <v>1.055</v>
      </c>
    </row>
    <row r="17" spans="1:15" ht="12.75">
      <c r="A17" s="14" t="s">
        <v>31</v>
      </c>
      <c r="B17" s="35">
        <f t="shared" si="5"/>
        <v>5490958.5</v>
      </c>
      <c r="C17" s="36">
        <v>5500000</v>
      </c>
      <c r="D17" s="37"/>
      <c r="E17" s="156">
        <f t="shared" si="4"/>
        <v>5500000</v>
      </c>
      <c r="F17" s="36">
        <f>+'[1]Hoja1'!$O$25</f>
        <v>5204700</v>
      </c>
      <c r="G17" s="70">
        <f>+F17</f>
        <v>5204700</v>
      </c>
      <c r="H17" s="158">
        <f t="shared" si="6"/>
        <v>94.63090909090909</v>
      </c>
      <c r="I17" s="73"/>
      <c r="J17" s="171"/>
      <c r="K17" s="164" t="e">
        <f t="shared" si="1"/>
        <v>#DIV/0!</v>
      </c>
      <c r="L17" s="176" t="e">
        <f t="shared" si="7"/>
        <v>#DIV/0!</v>
      </c>
      <c r="M17" s="62">
        <f t="shared" si="8"/>
        <v>5.499999999999994</v>
      </c>
      <c r="O17" s="37">
        <f t="shared" si="9"/>
        <v>1.055</v>
      </c>
    </row>
    <row r="18" spans="1:15" ht="12.75">
      <c r="A18" s="14" t="s">
        <v>32</v>
      </c>
      <c r="B18" s="35">
        <f t="shared" si="5"/>
        <v>3146231.55</v>
      </c>
      <c r="C18" s="36">
        <v>4000000</v>
      </c>
      <c r="D18" s="37"/>
      <c r="E18" s="156">
        <f t="shared" si="4"/>
        <v>4000000</v>
      </c>
      <c r="F18" s="36">
        <f>+'[1]Hoja1'!$O$27</f>
        <v>2982210</v>
      </c>
      <c r="G18" s="70">
        <f>+F18</f>
        <v>2982210</v>
      </c>
      <c r="H18" s="158">
        <f t="shared" si="6"/>
        <v>74.55525</v>
      </c>
      <c r="I18" s="73"/>
      <c r="J18" s="171"/>
      <c r="K18" s="164" t="e">
        <f t="shared" si="1"/>
        <v>#DIV/0!</v>
      </c>
      <c r="L18" s="176" t="e">
        <f t="shared" si="7"/>
        <v>#DIV/0!</v>
      </c>
      <c r="M18" s="62">
        <f t="shared" si="8"/>
        <v>5.499999999999994</v>
      </c>
      <c r="O18" s="37">
        <f t="shared" si="9"/>
        <v>1.055</v>
      </c>
    </row>
    <row r="19" spans="1:15" ht="12.75">
      <c r="A19" s="14" t="s">
        <v>33</v>
      </c>
      <c r="B19" s="35">
        <f t="shared" si="5"/>
        <v>116407645</v>
      </c>
      <c r="C19" s="36">
        <v>85000000</v>
      </c>
      <c r="D19" s="37"/>
      <c r="E19" s="156">
        <f t="shared" si="4"/>
        <v>85000000</v>
      </c>
      <c r="F19" s="36">
        <f>+'[1]Hoja1'!$O$31</f>
        <v>110339000</v>
      </c>
      <c r="G19" s="70">
        <f>+F19</f>
        <v>110339000</v>
      </c>
      <c r="H19" s="158">
        <f t="shared" si="6"/>
        <v>129.81058823529412</v>
      </c>
      <c r="I19" s="73"/>
      <c r="J19" s="171"/>
      <c r="K19" s="164" t="e">
        <f t="shared" si="1"/>
        <v>#DIV/0!</v>
      </c>
      <c r="L19" s="176" t="e">
        <f t="shared" si="7"/>
        <v>#DIV/0!</v>
      </c>
      <c r="M19" s="62">
        <f t="shared" si="8"/>
        <v>5.499999999999994</v>
      </c>
      <c r="O19" s="37">
        <f t="shared" si="9"/>
        <v>1.055</v>
      </c>
    </row>
    <row r="20" spans="1:15" ht="12.75">
      <c r="A20" s="14" t="s">
        <v>34</v>
      </c>
      <c r="B20" s="35">
        <f t="shared" si="5"/>
        <v>0</v>
      </c>
      <c r="C20" s="36">
        <v>75000</v>
      </c>
      <c r="D20" s="37"/>
      <c r="E20" s="156">
        <f t="shared" si="4"/>
        <v>75000</v>
      </c>
      <c r="F20" s="36">
        <f>+'[1]Hoja1'!$O$32</f>
        <v>0</v>
      </c>
      <c r="G20" s="70"/>
      <c r="H20" s="158">
        <f t="shared" si="6"/>
        <v>0</v>
      </c>
      <c r="I20" s="73"/>
      <c r="J20" s="171"/>
      <c r="K20" s="164" t="e">
        <f t="shared" si="1"/>
        <v>#DIV/0!</v>
      </c>
      <c r="L20" s="176" t="e">
        <f t="shared" si="7"/>
        <v>#DIV/0!</v>
      </c>
      <c r="M20" s="62" t="e">
        <f t="shared" si="8"/>
        <v>#DIV/0!</v>
      </c>
      <c r="O20" s="37">
        <f t="shared" si="9"/>
        <v>1.055</v>
      </c>
    </row>
    <row r="21" spans="1:15" ht="12.75">
      <c r="A21" s="14" t="s">
        <v>35</v>
      </c>
      <c r="B21" s="35">
        <f t="shared" si="5"/>
        <v>0</v>
      </c>
      <c r="C21" s="36">
        <v>50000</v>
      </c>
      <c r="D21" s="37"/>
      <c r="E21" s="156">
        <f t="shared" si="4"/>
        <v>50000</v>
      </c>
      <c r="F21" s="36"/>
      <c r="G21" s="70"/>
      <c r="H21" s="158">
        <f t="shared" si="6"/>
        <v>0</v>
      </c>
      <c r="I21" s="73"/>
      <c r="J21" s="171"/>
      <c r="K21" s="164" t="e">
        <f t="shared" si="1"/>
        <v>#DIV/0!</v>
      </c>
      <c r="L21" s="176" t="e">
        <f>+((H21/J21)-1)*100</f>
        <v>#DIV/0!</v>
      </c>
      <c r="M21" s="164" t="e">
        <f>+((I21/K21)-1)*100</f>
        <v>#DIV/0!</v>
      </c>
      <c r="O21" s="37">
        <f t="shared" si="9"/>
        <v>1.055</v>
      </c>
    </row>
    <row r="22" spans="1:15" ht="12.75">
      <c r="A22" s="14" t="s">
        <v>36</v>
      </c>
      <c r="B22" s="35">
        <f t="shared" si="5"/>
        <v>318236.52999999997</v>
      </c>
      <c r="C22" s="36">
        <v>500000</v>
      </c>
      <c r="D22" s="37"/>
      <c r="E22" s="156">
        <f t="shared" si="4"/>
        <v>500000</v>
      </c>
      <c r="F22" s="36">
        <f>+'[1]Hoja1'!$O$34</f>
        <v>301646</v>
      </c>
      <c r="G22" s="70">
        <f>+F22</f>
        <v>301646</v>
      </c>
      <c r="H22" s="158">
        <f t="shared" si="6"/>
        <v>60.3292</v>
      </c>
      <c r="I22" s="73"/>
      <c r="J22" s="171"/>
      <c r="K22" s="164" t="e">
        <f t="shared" si="1"/>
        <v>#DIV/0!</v>
      </c>
      <c r="L22" s="176" t="e">
        <f t="shared" si="7"/>
        <v>#DIV/0!</v>
      </c>
      <c r="M22" s="62">
        <f t="shared" si="8"/>
        <v>5.499999999999994</v>
      </c>
      <c r="O22" s="37">
        <f t="shared" si="9"/>
        <v>1.055</v>
      </c>
    </row>
    <row r="23" spans="1:15" ht="12.75">
      <c r="A23" s="14" t="s">
        <v>37</v>
      </c>
      <c r="B23" s="35">
        <f t="shared" si="5"/>
        <v>0</v>
      </c>
      <c r="C23" s="36">
        <v>0</v>
      </c>
      <c r="D23" s="37"/>
      <c r="E23" s="156">
        <f t="shared" si="4"/>
        <v>0</v>
      </c>
      <c r="F23" s="36"/>
      <c r="G23" s="70"/>
      <c r="H23" s="158" t="e">
        <f t="shared" si="6"/>
        <v>#DIV/0!</v>
      </c>
      <c r="I23" s="73"/>
      <c r="J23" s="171"/>
      <c r="K23" s="164" t="e">
        <f t="shared" si="1"/>
        <v>#DIV/0!</v>
      </c>
      <c r="L23" s="176" t="e">
        <f t="shared" si="7"/>
        <v>#DIV/0!</v>
      </c>
      <c r="M23" s="62" t="e">
        <f t="shared" si="8"/>
        <v>#DIV/0!</v>
      </c>
      <c r="O23" s="37">
        <f t="shared" si="9"/>
        <v>1.055</v>
      </c>
    </row>
    <row r="24" spans="1:15" ht="12.75">
      <c r="A24" s="14" t="s">
        <v>38</v>
      </c>
      <c r="B24" s="35">
        <f t="shared" si="5"/>
        <v>0</v>
      </c>
      <c r="C24" s="36">
        <v>500000</v>
      </c>
      <c r="D24" s="37"/>
      <c r="E24" s="156">
        <f t="shared" si="4"/>
        <v>500000</v>
      </c>
      <c r="F24" s="36">
        <v>0</v>
      </c>
      <c r="G24" s="70"/>
      <c r="H24" s="158">
        <f t="shared" si="6"/>
        <v>0</v>
      </c>
      <c r="I24" s="73"/>
      <c r="J24" s="171"/>
      <c r="K24" s="164" t="e">
        <f t="shared" si="1"/>
        <v>#DIV/0!</v>
      </c>
      <c r="L24" s="176" t="e">
        <f t="shared" si="7"/>
        <v>#DIV/0!</v>
      </c>
      <c r="M24" s="62" t="e">
        <f t="shared" si="8"/>
        <v>#DIV/0!</v>
      </c>
      <c r="O24" s="37">
        <f t="shared" si="9"/>
        <v>1.055</v>
      </c>
    </row>
    <row r="25" spans="1:15" ht="12.75">
      <c r="A25" s="14" t="s">
        <v>39</v>
      </c>
      <c r="B25" s="35">
        <f t="shared" si="5"/>
        <v>0</v>
      </c>
      <c r="C25" s="36">
        <v>0</v>
      </c>
      <c r="D25" s="37"/>
      <c r="E25" s="156">
        <f t="shared" si="4"/>
        <v>0</v>
      </c>
      <c r="F25" s="36"/>
      <c r="G25" s="70"/>
      <c r="H25" s="158" t="e">
        <f t="shared" si="6"/>
        <v>#DIV/0!</v>
      </c>
      <c r="I25" s="73"/>
      <c r="J25" s="171"/>
      <c r="K25" s="164" t="e">
        <f t="shared" si="1"/>
        <v>#DIV/0!</v>
      </c>
      <c r="L25" s="176" t="e">
        <f t="shared" si="7"/>
        <v>#DIV/0!</v>
      </c>
      <c r="M25" s="62" t="e">
        <f t="shared" si="8"/>
        <v>#DIV/0!</v>
      </c>
      <c r="O25" s="37">
        <f t="shared" si="9"/>
        <v>1.055</v>
      </c>
    </row>
    <row r="26" spans="1:15" ht="12.75">
      <c r="A26" s="14" t="s">
        <v>40</v>
      </c>
      <c r="B26" s="35">
        <f t="shared" si="5"/>
        <v>0</v>
      </c>
      <c r="C26" s="36">
        <v>0</v>
      </c>
      <c r="D26" s="37"/>
      <c r="E26" s="156">
        <f t="shared" si="4"/>
        <v>0</v>
      </c>
      <c r="F26" s="36"/>
      <c r="G26" s="70"/>
      <c r="H26" s="158" t="e">
        <f t="shared" si="6"/>
        <v>#DIV/0!</v>
      </c>
      <c r="I26" s="73"/>
      <c r="J26" s="171"/>
      <c r="K26" s="164" t="e">
        <f t="shared" si="1"/>
        <v>#DIV/0!</v>
      </c>
      <c r="L26" s="176" t="e">
        <f t="shared" si="7"/>
        <v>#DIV/0!</v>
      </c>
      <c r="M26" s="62" t="e">
        <f t="shared" si="8"/>
        <v>#DIV/0!</v>
      </c>
      <c r="O26" s="37">
        <f t="shared" si="9"/>
        <v>1.055</v>
      </c>
    </row>
    <row r="27" spans="1:15" ht="12.75">
      <c r="A27" s="14" t="s">
        <v>0</v>
      </c>
      <c r="B27" s="35">
        <f t="shared" si="5"/>
        <v>29727718.259999998</v>
      </c>
      <c r="C27" s="36">
        <v>25500000</v>
      </c>
      <c r="D27" s="37"/>
      <c r="E27" s="156">
        <f t="shared" si="4"/>
        <v>25500000</v>
      </c>
      <c r="F27" s="36">
        <f>+'[1]Hoja1'!$O$35+'[1]Hoja1'!$O$36</f>
        <v>28177932</v>
      </c>
      <c r="G27" s="70">
        <f>+F27</f>
        <v>28177932</v>
      </c>
      <c r="H27" s="158">
        <f t="shared" si="6"/>
        <v>110.50169411764706</v>
      </c>
      <c r="I27" s="73"/>
      <c r="J27" s="171"/>
      <c r="K27" s="164" t="e">
        <f t="shared" si="1"/>
        <v>#DIV/0!</v>
      </c>
      <c r="L27" s="176" t="e">
        <f t="shared" si="7"/>
        <v>#DIV/0!</v>
      </c>
      <c r="M27" s="62">
        <f t="shared" si="8"/>
        <v>5.499999999999994</v>
      </c>
      <c r="O27" s="37">
        <f t="shared" si="9"/>
        <v>1.055</v>
      </c>
    </row>
    <row r="28" spans="1:15" ht="12.75">
      <c r="A28" s="14" t="s">
        <v>41</v>
      </c>
      <c r="B28" s="35">
        <f t="shared" si="5"/>
        <v>0</v>
      </c>
      <c r="C28" s="36">
        <v>0</v>
      </c>
      <c r="D28" s="37"/>
      <c r="E28" s="156">
        <f t="shared" si="4"/>
        <v>0</v>
      </c>
      <c r="F28" s="36">
        <v>0</v>
      </c>
      <c r="G28" s="70"/>
      <c r="H28" s="158" t="e">
        <f t="shared" si="6"/>
        <v>#DIV/0!</v>
      </c>
      <c r="I28" s="73"/>
      <c r="J28" s="171"/>
      <c r="K28" s="164" t="e">
        <f t="shared" si="1"/>
        <v>#DIV/0!</v>
      </c>
      <c r="L28" s="176" t="e">
        <f t="shared" si="7"/>
        <v>#DIV/0!</v>
      </c>
      <c r="M28" s="62" t="e">
        <f t="shared" si="8"/>
        <v>#DIV/0!</v>
      </c>
      <c r="O28" s="37">
        <f t="shared" si="9"/>
        <v>1.055</v>
      </c>
    </row>
    <row r="29" spans="1:15" ht="12.75">
      <c r="A29" s="15" t="s">
        <v>204</v>
      </c>
      <c r="B29" s="35">
        <f t="shared" si="5"/>
        <v>63744056.885</v>
      </c>
      <c r="C29" s="36">
        <f>80450000-500000</f>
        <v>79950000</v>
      </c>
      <c r="D29" s="37"/>
      <c r="E29" s="156">
        <f t="shared" si="4"/>
        <v>79950000</v>
      </c>
      <c r="F29" s="36">
        <v>60420907</v>
      </c>
      <c r="G29" s="70">
        <f>+F29</f>
        <v>60420907</v>
      </c>
      <c r="H29" s="158">
        <f t="shared" si="6"/>
        <v>75.57336710444028</v>
      </c>
      <c r="I29" s="73"/>
      <c r="J29" s="171"/>
      <c r="K29" s="164" t="e">
        <f t="shared" si="1"/>
        <v>#DIV/0!</v>
      </c>
      <c r="L29" s="176" t="e">
        <f t="shared" si="7"/>
        <v>#DIV/0!</v>
      </c>
      <c r="M29" s="62">
        <f t="shared" si="8"/>
        <v>5.499999999999994</v>
      </c>
      <c r="O29" s="37">
        <f t="shared" si="9"/>
        <v>1.055</v>
      </c>
    </row>
    <row r="30" spans="1:15" ht="12.75">
      <c r="A30" s="124" t="s">
        <v>42</v>
      </c>
      <c r="B30" s="137">
        <f aca="true" t="shared" si="10" ref="B30:G30">SUM(B31:B34)+B35+B59+B63</f>
        <v>2458423231.1732</v>
      </c>
      <c r="C30" s="138">
        <f t="shared" si="10"/>
        <v>1961660535.8</v>
      </c>
      <c r="D30" s="137">
        <f t="shared" si="10"/>
        <v>491852185.71</v>
      </c>
      <c r="E30" s="137">
        <f t="shared" si="10"/>
        <v>2453512721.5099998</v>
      </c>
      <c r="F30" s="139">
        <f t="shared" si="10"/>
        <v>2257303524.15</v>
      </c>
      <c r="G30" s="137">
        <f t="shared" si="10"/>
        <v>2257303524.15</v>
      </c>
      <c r="H30" s="140">
        <f>((G30*100)/E30)</f>
        <v>92.00292724631792</v>
      </c>
      <c r="I30" s="137">
        <f>SUM(I31:I34)+I35+I59+I63</f>
        <v>0</v>
      </c>
      <c r="J30" s="138">
        <f>SUM(J31:J34)+J35+J59+J63</f>
        <v>0</v>
      </c>
      <c r="K30" s="136" t="e">
        <f t="shared" si="1"/>
        <v>#DIV/0!</v>
      </c>
      <c r="L30" s="169" t="e">
        <f t="shared" si="7"/>
        <v>#DIV/0!</v>
      </c>
      <c r="M30" s="141">
        <f>((B30/G30)-1)*100</f>
        <v>8.90973255796128</v>
      </c>
      <c r="O30" s="191"/>
    </row>
    <row r="31" spans="1:15" ht="12.75">
      <c r="A31" s="14" t="s">
        <v>43</v>
      </c>
      <c r="B31" s="35">
        <f>+G31*O31</f>
        <v>224565.18999999997</v>
      </c>
      <c r="C31" s="36">
        <v>150000</v>
      </c>
      <c r="D31" s="38"/>
      <c r="E31" s="156">
        <f>+C31+D31</f>
        <v>150000</v>
      </c>
      <c r="F31" s="115">
        <v>212858</v>
      </c>
      <c r="G31" s="70">
        <f>+F31</f>
        <v>212858</v>
      </c>
      <c r="H31" s="158">
        <f t="shared" si="6"/>
        <v>141.90533333333335</v>
      </c>
      <c r="I31" s="73"/>
      <c r="J31" s="171"/>
      <c r="K31" s="164" t="e">
        <f t="shared" si="1"/>
        <v>#DIV/0!</v>
      </c>
      <c r="L31" s="176" t="e">
        <f>+((I31/J31)-1)*100</f>
        <v>#DIV/0!</v>
      </c>
      <c r="M31" s="62">
        <f>((C31/G31)-1)*100</f>
        <v>-29.530485112140493</v>
      </c>
      <c r="O31" s="37">
        <f t="shared" si="9"/>
        <v>1.055</v>
      </c>
    </row>
    <row r="32" spans="1:15" ht="12.75">
      <c r="A32" s="14" t="s">
        <v>44</v>
      </c>
      <c r="B32" s="35">
        <f>+G32*O32</f>
        <v>599767.5</v>
      </c>
      <c r="C32" s="36">
        <v>1000000</v>
      </c>
      <c r="D32" s="38"/>
      <c r="E32" s="156">
        <f>+C32+D32</f>
        <v>1000000</v>
      </c>
      <c r="F32" s="115">
        <v>568500</v>
      </c>
      <c r="G32" s="70">
        <f>+F32</f>
        <v>568500</v>
      </c>
      <c r="H32" s="158">
        <f t="shared" si="6"/>
        <v>56.85</v>
      </c>
      <c r="I32" s="73"/>
      <c r="J32" s="171"/>
      <c r="K32" s="164" t="e">
        <f t="shared" si="1"/>
        <v>#DIV/0!</v>
      </c>
      <c r="L32" s="176" t="e">
        <f>+((I32/J32)-1)*100</f>
        <v>#DIV/0!</v>
      </c>
      <c r="M32" s="62">
        <f>((C32/G32)-1)*100</f>
        <v>75.90149516270887</v>
      </c>
      <c r="O32" s="37">
        <f t="shared" si="9"/>
        <v>1.055</v>
      </c>
    </row>
    <row r="33" spans="1:15" ht="12.75">
      <c r="A33" s="14" t="s">
        <v>45</v>
      </c>
      <c r="B33" s="35">
        <f>+G33*O33</f>
        <v>9924581.229999999</v>
      </c>
      <c r="C33" s="36">
        <v>10000000</v>
      </c>
      <c r="D33" s="38"/>
      <c r="E33" s="156">
        <f>+C33+D33</f>
        <v>10000000</v>
      </c>
      <c r="F33" s="115">
        <v>9407186</v>
      </c>
      <c r="G33" s="70">
        <f>+F33</f>
        <v>9407186</v>
      </c>
      <c r="H33" s="158">
        <f t="shared" si="6"/>
        <v>94.07186</v>
      </c>
      <c r="I33" s="73"/>
      <c r="J33" s="171"/>
      <c r="K33" s="164" t="e">
        <f t="shared" si="1"/>
        <v>#DIV/0!</v>
      </c>
      <c r="L33" s="176" t="e">
        <f>+((I33/J33)-1)*100</f>
        <v>#DIV/0!</v>
      </c>
      <c r="M33" s="62">
        <f>((C33/G33)-1)*100</f>
        <v>6.301714455311069</v>
      </c>
      <c r="O33" s="37">
        <f t="shared" si="9"/>
        <v>1.055</v>
      </c>
    </row>
    <row r="34" spans="1:15" ht="12.75">
      <c r="A34" s="14" t="s">
        <v>46</v>
      </c>
      <c r="B34" s="35">
        <f>+G34*O34</f>
        <v>0</v>
      </c>
      <c r="C34" s="36">
        <v>0</v>
      </c>
      <c r="D34" s="38"/>
      <c r="E34" s="156">
        <f>+C34+D34</f>
        <v>0</v>
      </c>
      <c r="F34" s="115">
        <v>0</v>
      </c>
      <c r="G34" s="70"/>
      <c r="H34" s="158" t="e">
        <f t="shared" si="6"/>
        <v>#DIV/0!</v>
      </c>
      <c r="I34" s="38"/>
      <c r="J34" s="171"/>
      <c r="K34" s="164" t="e">
        <f t="shared" si="1"/>
        <v>#DIV/0!</v>
      </c>
      <c r="L34" s="176" t="e">
        <f aca="true" t="shared" si="11" ref="L34:L40">+((I34/J34)-1)*100</f>
        <v>#DIV/0!</v>
      </c>
      <c r="M34" s="62" t="e">
        <f aca="true" t="shared" si="12" ref="M34:M40">((B34/G34)-1)*100</f>
        <v>#DIV/0!</v>
      </c>
      <c r="O34" s="37">
        <f t="shared" si="9"/>
        <v>1.055</v>
      </c>
    </row>
    <row r="35" spans="1:15" ht="12.75">
      <c r="A35" s="126" t="s">
        <v>47</v>
      </c>
      <c r="B35" s="92">
        <f aca="true" t="shared" si="13" ref="B35:J35">+B36+B38+B51+B55</f>
        <v>2287604103.52435</v>
      </c>
      <c r="C35" s="142">
        <f t="shared" si="13"/>
        <v>1862410535.8</v>
      </c>
      <c r="D35" s="92">
        <f t="shared" si="13"/>
        <v>425377152.71</v>
      </c>
      <c r="E35" s="92">
        <f t="shared" si="13"/>
        <v>2287787688.5099998</v>
      </c>
      <c r="F35" s="143">
        <f t="shared" si="13"/>
        <v>2095389659.08</v>
      </c>
      <c r="G35" s="92">
        <f t="shared" si="13"/>
        <v>2095389659.08</v>
      </c>
      <c r="H35" s="33">
        <f t="shared" si="6"/>
        <v>91.59021484396109</v>
      </c>
      <c r="I35" s="92">
        <f t="shared" si="13"/>
        <v>0</v>
      </c>
      <c r="J35" s="172">
        <f t="shared" si="13"/>
        <v>0</v>
      </c>
      <c r="K35" s="108" t="e">
        <f t="shared" si="1"/>
        <v>#DIV/0!</v>
      </c>
      <c r="L35" s="179" t="e">
        <f t="shared" si="11"/>
        <v>#DIV/0!</v>
      </c>
      <c r="M35" s="108">
        <f t="shared" si="12"/>
        <v>9.173207647151592</v>
      </c>
      <c r="O35" s="192"/>
    </row>
    <row r="36" spans="1:15" ht="12.75">
      <c r="A36" s="126" t="s">
        <v>48</v>
      </c>
      <c r="B36" s="92">
        <f>SUM(B37)</f>
        <v>963637194.0852</v>
      </c>
      <c r="C36" s="142">
        <f aca="true" t="shared" si="14" ref="C36:J36">SUM(C37)</f>
        <v>828224348.8</v>
      </c>
      <c r="D36" s="92">
        <f t="shared" si="14"/>
        <v>116649413</v>
      </c>
      <c r="E36" s="92">
        <f t="shared" si="14"/>
        <v>944873761.8</v>
      </c>
      <c r="F36" s="143">
        <f t="shared" si="14"/>
        <v>861588244</v>
      </c>
      <c r="G36" s="92">
        <f t="shared" si="14"/>
        <v>861588244</v>
      </c>
      <c r="H36" s="33">
        <f t="shared" si="6"/>
        <v>91.18554021001285</v>
      </c>
      <c r="I36" s="92">
        <f t="shared" si="14"/>
        <v>0</v>
      </c>
      <c r="J36" s="172">
        <f t="shared" si="14"/>
        <v>0</v>
      </c>
      <c r="K36" s="108" t="e">
        <f>+((H36/I36)-1)*100</f>
        <v>#DIV/0!</v>
      </c>
      <c r="L36" s="179" t="e">
        <f t="shared" si="11"/>
        <v>#DIV/0!</v>
      </c>
      <c r="M36" s="108">
        <f t="shared" si="12"/>
        <v>11.844283019859759</v>
      </c>
      <c r="O36" s="191"/>
    </row>
    <row r="37" spans="1:15" ht="12.75">
      <c r="A37" s="15" t="s">
        <v>205</v>
      </c>
      <c r="B37" s="81">
        <f>SUM(B38)</f>
        <v>963637194.0852</v>
      </c>
      <c r="C37" s="40">
        <v>828224348.8</v>
      </c>
      <c r="D37" s="35">
        <v>116649413</v>
      </c>
      <c r="E37" s="145">
        <f>+C37+D37</f>
        <v>944873761.8</v>
      </c>
      <c r="F37" s="115">
        <v>861588244</v>
      </c>
      <c r="G37" s="70">
        <f>+F37</f>
        <v>861588244</v>
      </c>
      <c r="H37" s="158">
        <f t="shared" si="6"/>
        <v>91.18554021001285</v>
      </c>
      <c r="I37" s="73"/>
      <c r="J37" s="171"/>
      <c r="K37" s="164" t="e">
        <f>+((G37/I37)-1)*100</f>
        <v>#DIV/0!</v>
      </c>
      <c r="L37" s="176" t="e">
        <f t="shared" si="11"/>
        <v>#DIV/0!</v>
      </c>
      <c r="M37" s="164">
        <f t="shared" si="12"/>
        <v>11.844283019859759</v>
      </c>
      <c r="O37" s="37">
        <f>1+(0.055+0.025)</f>
        <v>1.08</v>
      </c>
    </row>
    <row r="38" spans="1:15" ht="12.75">
      <c r="A38" s="126" t="s">
        <v>49</v>
      </c>
      <c r="B38" s="92">
        <f>SUM(B39+B42+B48+B49+B50)</f>
        <v>963637194.0852</v>
      </c>
      <c r="C38" s="142">
        <f aca="true" t="shared" si="15" ref="C38:J38">SUM(C39+C42+C48+C49+C50)</f>
        <v>799548158</v>
      </c>
      <c r="D38" s="92">
        <f t="shared" si="15"/>
        <v>92708503.19</v>
      </c>
      <c r="E38" s="92">
        <f t="shared" si="15"/>
        <v>892256661.1899999</v>
      </c>
      <c r="F38" s="142">
        <f t="shared" si="15"/>
        <v>892256661.1899999</v>
      </c>
      <c r="G38" s="92">
        <f t="shared" si="15"/>
        <v>892256661.1899999</v>
      </c>
      <c r="H38" s="33">
        <f t="shared" si="6"/>
        <v>100</v>
      </c>
      <c r="I38" s="92">
        <f t="shared" si="15"/>
        <v>0</v>
      </c>
      <c r="J38" s="142">
        <f t="shared" si="15"/>
        <v>0</v>
      </c>
      <c r="K38" s="108" t="e">
        <f>+((G38/I38)-1)*100</f>
        <v>#DIV/0!</v>
      </c>
      <c r="L38" s="179" t="e">
        <f t="shared" si="11"/>
        <v>#DIV/0!</v>
      </c>
      <c r="M38" s="108">
        <f t="shared" si="12"/>
        <v>8.000000000000007</v>
      </c>
      <c r="O38" s="191"/>
    </row>
    <row r="39" spans="1:15" ht="12.75">
      <c r="A39" s="126" t="s">
        <v>50</v>
      </c>
      <c r="B39" s="92">
        <f aca="true" t="shared" si="16" ref="B39:G39">SUM(B40:B41)</f>
        <v>98073452.16000001</v>
      </c>
      <c r="C39" s="92">
        <f t="shared" si="16"/>
        <v>63644434</v>
      </c>
      <c r="D39" s="92">
        <f t="shared" si="16"/>
        <v>27164318</v>
      </c>
      <c r="E39" s="92">
        <f t="shared" si="16"/>
        <v>90808752</v>
      </c>
      <c r="F39" s="92">
        <f t="shared" si="16"/>
        <v>90808752</v>
      </c>
      <c r="G39" s="92">
        <f t="shared" si="16"/>
        <v>90808752</v>
      </c>
      <c r="H39" s="33">
        <f t="shared" si="6"/>
        <v>100</v>
      </c>
      <c r="I39" s="92">
        <f>SUM(I40:I41)</f>
        <v>0</v>
      </c>
      <c r="J39" s="142">
        <f>SUM(J40:J41)</f>
        <v>0</v>
      </c>
      <c r="K39" s="108" t="e">
        <f>+((G39/I39)-1)*100</f>
        <v>#DIV/0!</v>
      </c>
      <c r="L39" s="179" t="e">
        <f t="shared" si="11"/>
        <v>#DIV/0!</v>
      </c>
      <c r="M39" s="108">
        <f t="shared" si="12"/>
        <v>8.000000000000007</v>
      </c>
      <c r="O39" s="191"/>
    </row>
    <row r="40" spans="1:15" ht="12.75">
      <c r="A40" s="14" t="s">
        <v>206</v>
      </c>
      <c r="B40" s="35">
        <f>+G40*O40</f>
        <v>0</v>
      </c>
      <c r="C40" s="34">
        <v>0</v>
      </c>
      <c r="D40" s="35">
        <v>0</v>
      </c>
      <c r="E40" s="145">
        <f>+C40+D40</f>
        <v>0</v>
      </c>
      <c r="F40" s="115">
        <v>0</v>
      </c>
      <c r="G40" s="71"/>
      <c r="H40" s="158" t="e">
        <f t="shared" si="6"/>
        <v>#DIV/0!</v>
      </c>
      <c r="I40" s="73"/>
      <c r="J40" s="171"/>
      <c r="K40" s="164" t="e">
        <f>+((G40/I40)-1)*100</f>
        <v>#DIV/0!</v>
      </c>
      <c r="L40" s="176" t="e">
        <f t="shared" si="11"/>
        <v>#DIV/0!</v>
      </c>
      <c r="M40" s="164" t="e">
        <f t="shared" si="12"/>
        <v>#DIV/0!</v>
      </c>
      <c r="O40" s="37">
        <f>1+(0.055+0.025)</f>
        <v>1.08</v>
      </c>
    </row>
    <row r="41" spans="1:15" ht="12.75">
      <c r="A41" s="14" t="s">
        <v>207</v>
      </c>
      <c r="B41" s="35">
        <f>+G41*O41</f>
        <v>98073452.16000001</v>
      </c>
      <c r="C41" s="40">
        <v>63644434</v>
      </c>
      <c r="D41" s="35">
        <v>27164318</v>
      </c>
      <c r="E41" s="145">
        <f>+C41+D41</f>
        <v>90808752</v>
      </c>
      <c r="F41" s="116">
        <v>90808752</v>
      </c>
      <c r="G41" s="70">
        <f>+F41</f>
        <v>90808752</v>
      </c>
      <c r="H41" s="158">
        <f t="shared" si="6"/>
        <v>100</v>
      </c>
      <c r="I41" s="38"/>
      <c r="J41" s="173"/>
      <c r="K41" s="164" t="e">
        <f aca="true" t="shared" si="17" ref="K41:L66">+((G41/I41)-1)*100</f>
        <v>#DIV/0!</v>
      </c>
      <c r="L41" s="176" t="e">
        <f aca="true" t="shared" si="18" ref="L41:L63">+((H41/J41)-1)*100</f>
        <v>#DIV/0!</v>
      </c>
      <c r="M41" s="164" t="e">
        <f aca="true" t="shared" si="19" ref="M41:M63">+((I41/K41)-1)*100</f>
        <v>#DIV/0!</v>
      </c>
      <c r="O41" s="37">
        <f>1+(0.055+0.025)</f>
        <v>1.08</v>
      </c>
    </row>
    <row r="42" spans="1:15" ht="12.75">
      <c r="A42" s="126" t="s">
        <v>51</v>
      </c>
      <c r="B42" s="92">
        <f>SUM(B43:B47)</f>
        <v>831964324.1652</v>
      </c>
      <c r="C42" s="144">
        <f aca="true" t="shared" si="20" ref="C42:J42">SUM(C43:C47)</f>
        <v>708560491</v>
      </c>
      <c r="D42" s="145">
        <f t="shared" si="20"/>
        <v>61776846.19</v>
      </c>
      <c r="E42" s="145">
        <f t="shared" si="20"/>
        <v>770337337.1899999</v>
      </c>
      <c r="F42" s="146">
        <f t="shared" si="20"/>
        <v>770337337.1899999</v>
      </c>
      <c r="G42" s="145">
        <f>SUM(G43:G47)</f>
        <v>770337337.1899999</v>
      </c>
      <c r="H42" s="33">
        <f t="shared" si="6"/>
        <v>100.00000000000001</v>
      </c>
      <c r="I42" s="145">
        <f t="shared" si="20"/>
        <v>0</v>
      </c>
      <c r="J42" s="174">
        <f t="shared" si="20"/>
        <v>0</v>
      </c>
      <c r="K42" s="108" t="e">
        <f t="shared" si="17"/>
        <v>#DIV/0!</v>
      </c>
      <c r="L42" s="179" t="e">
        <f t="shared" si="18"/>
        <v>#DIV/0!</v>
      </c>
      <c r="M42" s="108" t="e">
        <f t="shared" si="19"/>
        <v>#DIV/0!</v>
      </c>
      <c r="O42" s="191"/>
    </row>
    <row r="43" spans="1:15" ht="12.75">
      <c r="A43" s="14" t="s">
        <v>208</v>
      </c>
      <c r="B43" s="35">
        <f aca="true" t="shared" si="21" ref="B43:B58">+G43*O43</f>
        <v>765128900.2212</v>
      </c>
      <c r="C43" s="40">
        <v>666238510</v>
      </c>
      <c r="D43" s="35">
        <f>+'[1]Hoja1'!$G$100-'[1]Hoja1'!$H$100</f>
        <v>42214175.39</v>
      </c>
      <c r="E43" s="145">
        <f aca="true" t="shared" si="22" ref="E43:E50">+C43+D43</f>
        <v>708452685.39</v>
      </c>
      <c r="F43" s="115">
        <v>708452685.39</v>
      </c>
      <c r="G43" s="70">
        <f>+F43</f>
        <v>708452685.39</v>
      </c>
      <c r="H43" s="158">
        <f t="shared" si="6"/>
        <v>100</v>
      </c>
      <c r="I43" s="38"/>
      <c r="J43" s="175"/>
      <c r="K43" s="164" t="e">
        <f t="shared" si="17"/>
        <v>#DIV/0!</v>
      </c>
      <c r="L43" s="176" t="e">
        <f t="shared" si="18"/>
        <v>#DIV/0!</v>
      </c>
      <c r="M43" s="164" t="e">
        <f t="shared" si="19"/>
        <v>#DIV/0!</v>
      </c>
      <c r="O43" s="37">
        <f aca="true" t="shared" si="23" ref="O43:O50">1+(0.055+0.025)</f>
        <v>1.08</v>
      </c>
    </row>
    <row r="44" spans="1:15" ht="12.75">
      <c r="A44" s="14" t="s">
        <v>209</v>
      </c>
      <c r="B44" s="35">
        <f t="shared" si="21"/>
        <v>0</v>
      </c>
      <c r="C44" s="40">
        <v>0</v>
      </c>
      <c r="D44" s="35"/>
      <c r="E44" s="145">
        <f t="shared" si="22"/>
        <v>0</v>
      </c>
      <c r="F44" s="115">
        <v>0</v>
      </c>
      <c r="G44" s="71"/>
      <c r="H44" s="158" t="e">
        <f t="shared" si="6"/>
        <v>#DIV/0!</v>
      </c>
      <c r="I44" s="38"/>
      <c r="J44" s="175"/>
      <c r="K44" s="164" t="e">
        <f t="shared" si="17"/>
        <v>#DIV/0!</v>
      </c>
      <c r="L44" s="176" t="e">
        <f t="shared" si="18"/>
        <v>#DIV/0!</v>
      </c>
      <c r="M44" s="164" t="e">
        <f t="shared" si="19"/>
        <v>#DIV/0!</v>
      </c>
      <c r="O44" s="37">
        <f t="shared" si="23"/>
        <v>1.08</v>
      </c>
    </row>
    <row r="45" spans="1:15" ht="12.75">
      <c r="A45" s="14" t="s">
        <v>210</v>
      </c>
      <c r="B45" s="35">
        <f t="shared" si="21"/>
        <v>66835423.944</v>
      </c>
      <c r="C45" s="40">
        <v>42321981</v>
      </c>
      <c r="D45" s="35">
        <f>+'[1]Hoja1'!$G$99-'[1]Hoja1'!$H$99</f>
        <v>19562670.8</v>
      </c>
      <c r="E45" s="145">
        <f t="shared" si="22"/>
        <v>61884651.8</v>
      </c>
      <c r="F45" s="115">
        <v>61884651.8</v>
      </c>
      <c r="G45" s="70">
        <f>+F45</f>
        <v>61884651.8</v>
      </c>
      <c r="H45" s="158">
        <f t="shared" si="6"/>
        <v>100</v>
      </c>
      <c r="I45" s="38"/>
      <c r="J45" s="175"/>
      <c r="K45" s="164" t="e">
        <f t="shared" si="17"/>
        <v>#DIV/0!</v>
      </c>
      <c r="L45" s="176" t="e">
        <f t="shared" si="18"/>
        <v>#DIV/0!</v>
      </c>
      <c r="M45" s="164" t="e">
        <f t="shared" si="19"/>
        <v>#DIV/0!</v>
      </c>
      <c r="O45" s="37">
        <f t="shared" si="23"/>
        <v>1.08</v>
      </c>
    </row>
    <row r="46" spans="1:15" ht="12.75">
      <c r="A46" s="14" t="s">
        <v>211</v>
      </c>
      <c r="B46" s="35">
        <f t="shared" si="21"/>
        <v>0</v>
      </c>
      <c r="C46" s="40">
        <v>0</v>
      </c>
      <c r="D46" s="35"/>
      <c r="E46" s="145">
        <f t="shared" si="22"/>
        <v>0</v>
      </c>
      <c r="F46" s="115"/>
      <c r="G46" s="71"/>
      <c r="H46" s="158" t="e">
        <f t="shared" si="6"/>
        <v>#DIV/0!</v>
      </c>
      <c r="I46" s="38"/>
      <c r="J46" s="175"/>
      <c r="K46" s="164" t="e">
        <f t="shared" si="17"/>
        <v>#DIV/0!</v>
      </c>
      <c r="L46" s="176" t="e">
        <f t="shared" si="18"/>
        <v>#DIV/0!</v>
      </c>
      <c r="M46" s="164" t="e">
        <f t="shared" si="19"/>
        <v>#DIV/0!</v>
      </c>
      <c r="O46" s="37">
        <f t="shared" si="23"/>
        <v>1.08</v>
      </c>
    </row>
    <row r="47" spans="1:15" ht="12.75">
      <c r="A47" s="14" t="s">
        <v>212</v>
      </c>
      <c r="B47" s="35">
        <f t="shared" si="21"/>
        <v>0</v>
      </c>
      <c r="C47" s="40">
        <v>0</v>
      </c>
      <c r="D47" s="35"/>
      <c r="E47" s="145">
        <f t="shared" si="22"/>
        <v>0</v>
      </c>
      <c r="F47" s="115"/>
      <c r="G47" s="71"/>
      <c r="H47" s="158" t="e">
        <f t="shared" si="6"/>
        <v>#DIV/0!</v>
      </c>
      <c r="I47" s="38"/>
      <c r="J47" s="175"/>
      <c r="K47" s="164" t="e">
        <f t="shared" si="17"/>
        <v>#DIV/0!</v>
      </c>
      <c r="L47" s="176" t="e">
        <f t="shared" si="18"/>
        <v>#DIV/0!</v>
      </c>
      <c r="M47" s="164" t="e">
        <f t="shared" si="19"/>
        <v>#DIV/0!</v>
      </c>
      <c r="O47" s="37">
        <f t="shared" si="23"/>
        <v>1.08</v>
      </c>
    </row>
    <row r="48" spans="1:15" ht="12.75">
      <c r="A48" s="15" t="s">
        <v>213</v>
      </c>
      <c r="B48" s="35">
        <f t="shared" si="21"/>
        <v>0</v>
      </c>
      <c r="C48" s="40"/>
      <c r="D48" s="35"/>
      <c r="E48" s="145">
        <f t="shared" si="22"/>
        <v>0</v>
      </c>
      <c r="F48" s="115"/>
      <c r="G48" s="71"/>
      <c r="H48" s="158" t="e">
        <f t="shared" si="6"/>
        <v>#DIV/0!</v>
      </c>
      <c r="I48" s="73"/>
      <c r="J48" s="171"/>
      <c r="K48" s="164" t="e">
        <f t="shared" si="17"/>
        <v>#DIV/0!</v>
      </c>
      <c r="L48" s="176" t="e">
        <f t="shared" si="18"/>
        <v>#DIV/0!</v>
      </c>
      <c r="M48" s="164" t="e">
        <f t="shared" si="19"/>
        <v>#DIV/0!</v>
      </c>
      <c r="O48" s="37">
        <f t="shared" si="23"/>
        <v>1.08</v>
      </c>
    </row>
    <row r="49" spans="1:15" ht="12.75">
      <c r="A49" s="15" t="s">
        <v>230</v>
      </c>
      <c r="B49" s="35">
        <f t="shared" si="21"/>
        <v>33599417.760000005</v>
      </c>
      <c r="C49" s="40">
        <v>27343233</v>
      </c>
      <c r="D49" s="35">
        <v>3767339</v>
      </c>
      <c r="E49" s="145">
        <f t="shared" si="22"/>
        <v>31110572</v>
      </c>
      <c r="F49" s="116">
        <v>31110572</v>
      </c>
      <c r="G49" s="70">
        <f>+F49</f>
        <v>31110572</v>
      </c>
      <c r="H49" s="158">
        <f t="shared" si="6"/>
        <v>100</v>
      </c>
      <c r="I49" s="73"/>
      <c r="J49" s="171"/>
      <c r="K49" s="164" t="e">
        <f t="shared" si="17"/>
        <v>#DIV/0!</v>
      </c>
      <c r="L49" s="176" t="e">
        <f t="shared" si="18"/>
        <v>#DIV/0!</v>
      </c>
      <c r="M49" s="164" t="e">
        <f t="shared" si="19"/>
        <v>#DIV/0!</v>
      </c>
      <c r="O49" s="37">
        <f t="shared" si="23"/>
        <v>1.08</v>
      </c>
    </row>
    <row r="50" spans="1:15" ht="12.75">
      <c r="A50" s="15" t="s">
        <v>231</v>
      </c>
      <c r="B50" s="35">
        <f t="shared" si="21"/>
        <v>0</v>
      </c>
      <c r="C50" s="40">
        <v>0</v>
      </c>
      <c r="D50" s="35"/>
      <c r="E50" s="145">
        <f t="shared" si="22"/>
        <v>0</v>
      </c>
      <c r="F50" s="115">
        <v>0</v>
      </c>
      <c r="G50" s="71"/>
      <c r="H50" s="158" t="e">
        <f t="shared" si="6"/>
        <v>#DIV/0!</v>
      </c>
      <c r="I50" s="38"/>
      <c r="J50" s="175"/>
      <c r="K50" s="164" t="e">
        <f t="shared" si="17"/>
        <v>#DIV/0!</v>
      </c>
      <c r="L50" s="176" t="e">
        <f t="shared" si="18"/>
        <v>#DIV/0!</v>
      </c>
      <c r="M50" s="164" t="e">
        <f t="shared" si="19"/>
        <v>#DIV/0!</v>
      </c>
      <c r="O50" s="37">
        <f t="shared" si="23"/>
        <v>1.08</v>
      </c>
    </row>
    <row r="51" spans="1:15" ht="12.75">
      <c r="A51" s="126" t="s">
        <v>214</v>
      </c>
      <c r="B51" s="92">
        <f aca="true" t="shared" si="24" ref="B51:J51">SUM(B52:B54)</f>
        <v>360329715.35395</v>
      </c>
      <c r="C51" s="142">
        <f t="shared" si="24"/>
        <v>234638029</v>
      </c>
      <c r="D51" s="92">
        <f t="shared" si="24"/>
        <v>216019236.51999998</v>
      </c>
      <c r="E51" s="92">
        <f t="shared" si="24"/>
        <v>450657265.52</v>
      </c>
      <c r="F51" s="143">
        <f t="shared" si="24"/>
        <v>341544753.89</v>
      </c>
      <c r="G51" s="92">
        <f>SUM(G52:G54)</f>
        <v>341544753.89</v>
      </c>
      <c r="H51" s="33">
        <f t="shared" si="6"/>
        <v>75.78813879676426</v>
      </c>
      <c r="I51" s="92">
        <f t="shared" si="24"/>
        <v>0</v>
      </c>
      <c r="J51" s="172">
        <f t="shared" si="24"/>
        <v>0</v>
      </c>
      <c r="K51" s="108" t="e">
        <f t="shared" si="17"/>
        <v>#DIV/0!</v>
      </c>
      <c r="L51" s="179" t="e">
        <f t="shared" si="18"/>
        <v>#DIV/0!</v>
      </c>
      <c r="M51" s="108" t="e">
        <f t="shared" si="19"/>
        <v>#DIV/0!</v>
      </c>
      <c r="O51" s="191"/>
    </row>
    <row r="52" spans="1:15" ht="12.75">
      <c r="A52" s="14" t="s">
        <v>52</v>
      </c>
      <c r="B52" s="35">
        <f t="shared" si="21"/>
        <v>42707629.48645</v>
      </c>
      <c r="C52" s="41">
        <v>10000000</v>
      </c>
      <c r="D52" s="37">
        <v>27623028</v>
      </c>
      <c r="E52" s="145">
        <f aca="true" t="shared" si="25" ref="E52:E58">+C52+D52</f>
        <v>37623028</v>
      </c>
      <c r="F52" s="115">
        <v>40481165.39</v>
      </c>
      <c r="G52" s="70">
        <f>+F52</f>
        <v>40481165.39</v>
      </c>
      <c r="H52" s="158">
        <f t="shared" si="6"/>
        <v>107.5967766071354</v>
      </c>
      <c r="I52" s="38"/>
      <c r="J52" s="175"/>
      <c r="K52" s="164" t="e">
        <f t="shared" si="17"/>
        <v>#DIV/0!</v>
      </c>
      <c r="L52" s="176" t="e">
        <f t="shared" si="18"/>
        <v>#DIV/0!</v>
      </c>
      <c r="M52" s="164" t="e">
        <f t="shared" si="19"/>
        <v>#DIV/0!</v>
      </c>
      <c r="O52" s="37">
        <f>1+(0.055)</f>
        <v>1.055</v>
      </c>
    </row>
    <row r="53" spans="1:15" ht="12.75">
      <c r="A53" s="14" t="s">
        <v>53</v>
      </c>
      <c r="B53" s="35">
        <f t="shared" si="21"/>
        <v>317622085.8675</v>
      </c>
      <c r="C53" s="42">
        <v>213000000</v>
      </c>
      <c r="D53" s="39">
        <v>186932235.2</v>
      </c>
      <c r="E53" s="145">
        <f t="shared" si="25"/>
        <v>399932235.2</v>
      </c>
      <c r="F53" s="116">
        <v>301063588.5</v>
      </c>
      <c r="G53" s="70">
        <f>+F53</f>
        <v>301063588.5</v>
      </c>
      <c r="H53" s="158">
        <f t="shared" si="6"/>
        <v>75.27865023169305</v>
      </c>
      <c r="I53" s="38"/>
      <c r="J53" s="173"/>
      <c r="K53" s="164" t="e">
        <f t="shared" si="17"/>
        <v>#DIV/0!</v>
      </c>
      <c r="L53" s="176" t="e">
        <f t="shared" si="18"/>
        <v>#DIV/0!</v>
      </c>
      <c r="M53" s="164" t="e">
        <f t="shared" si="19"/>
        <v>#DIV/0!</v>
      </c>
      <c r="O53" s="37">
        <f>1+(0.055)</f>
        <v>1.055</v>
      </c>
    </row>
    <row r="54" spans="1:15" ht="12.75">
      <c r="A54" s="14" t="s">
        <v>54</v>
      </c>
      <c r="B54" s="35">
        <f t="shared" si="21"/>
        <v>0</v>
      </c>
      <c r="C54" s="41">
        <v>11638029</v>
      </c>
      <c r="D54" s="37">
        <v>1463973.32</v>
      </c>
      <c r="E54" s="145">
        <f t="shared" si="25"/>
        <v>13102002.32</v>
      </c>
      <c r="F54" s="115">
        <v>0</v>
      </c>
      <c r="G54" s="71"/>
      <c r="H54" s="158">
        <f t="shared" si="6"/>
        <v>0</v>
      </c>
      <c r="I54" s="38"/>
      <c r="J54" s="175"/>
      <c r="K54" s="164" t="e">
        <f t="shared" si="17"/>
        <v>#DIV/0!</v>
      </c>
      <c r="L54" s="176" t="e">
        <f t="shared" si="18"/>
        <v>#DIV/0!</v>
      </c>
      <c r="M54" s="164" t="e">
        <f t="shared" si="19"/>
        <v>#DIV/0!</v>
      </c>
      <c r="O54" s="37">
        <f>1+(0.055)</f>
        <v>1.055</v>
      </c>
    </row>
    <row r="55" spans="1:15" ht="12.75">
      <c r="A55" s="126" t="s">
        <v>55</v>
      </c>
      <c r="B55" s="92">
        <f>SUM(B56:B58)</f>
        <v>0</v>
      </c>
      <c r="C55" s="142">
        <f>SUM(C56:C58)</f>
        <v>0</v>
      </c>
      <c r="D55" s="92">
        <f aca="true" t="shared" si="26" ref="D55:J55">SUM(D56:D58)</f>
        <v>0</v>
      </c>
      <c r="E55" s="92">
        <f t="shared" si="25"/>
        <v>0</v>
      </c>
      <c r="F55" s="143">
        <f t="shared" si="26"/>
        <v>0</v>
      </c>
      <c r="G55" s="92">
        <f t="shared" si="26"/>
        <v>0</v>
      </c>
      <c r="H55" s="33" t="e">
        <f t="shared" si="6"/>
        <v>#DIV/0!</v>
      </c>
      <c r="I55" s="92">
        <f t="shared" si="26"/>
        <v>0</v>
      </c>
      <c r="J55" s="142">
        <f t="shared" si="26"/>
        <v>0</v>
      </c>
      <c r="K55" s="108" t="e">
        <f t="shared" si="17"/>
        <v>#DIV/0!</v>
      </c>
      <c r="L55" s="179" t="e">
        <f t="shared" si="18"/>
        <v>#DIV/0!</v>
      </c>
      <c r="M55" s="108" t="e">
        <f t="shared" si="19"/>
        <v>#DIV/0!</v>
      </c>
      <c r="O55" s="191"/>
    </row>
    <row r="56" spans="1:15" ht="12.75">
      <c r="A56" s="14" t="s">
        <v>1</v>
      </c>
      <c r="B56" s="35">
        <f t="shared" si="21"/>
        <v>0</v>
      </c>
      <c r="C56" s="40"/>
      <c r="D56" s="35"/>
      <c r="E56" s="145">
        <f t="shared" si="25"/>
        <v>0</v>
      </c>
      <c r="F56" s="115"/>
      <c r="G56" s="71"/>
      <c r="H56" s="158" t="e">
        <f t="shared" si="6"/>
        <v>#DIV/0!</v>
      </c>
      <c r="I56" s="38"/>
      <c r="J56" s="36"/>
      <c r="K56" s="164" t="e">
        <f t="shared" si="17"/>
        <v>#DIV/0!</v>
      </c>
      <c r="L56" s="176" t="e">
        <f t="shared" si="18"/>
        <v>#DIV/0!</v>
      </c>
      <c r="M56" s="164" t="e">
        <f t="shared" si="19"/>
        <v>#DIV/0!</v>
      </c>
      <c r="O56" s="37">
        <f>1+(0.055)</f>
        <v>1.055</v>
      </c>
    </row>
    <row r="57" spans="1:15" ht="12.75">
      <c r="A57" s="14" t="s">
        <v>306</v>
      </c>
      <c r="B57" s="35">
        <f t="shared" si="21"/>
        <v>0</v>
      </c>
      <c r="C57" s="34"/>
      <c r="D57" s="35"/>
      <c r="E57" s="145">
        <f t="shared" si="25"/>
        <v>0</v>
      </c>
      <c r="F57" s="116"/>
      <c r="G57" s="71"/>
      <c r="H57" s="158" t="e">
        <f t="shared" si="6"/>
        <v>#DIV/0!</v>
      </c>
      <c r="I57" s="38"/>
      <c r="J57" s="36"/>
      <c r="K57" s="164" t="e">
        <f t="shared" si="17"/>
        <v>#DIV/0!</v>
      </c>
      <c r="L57" s="176" t="e">
        <f t="shared" si="18"/>
        <v>#DIV/0!</v>
      </c>
      <c r="M57" s="164" t="e">
        <f t="shared" si="19"/>
        <v>#DIV/0!</v>
      </c>
      <c r="O57" s="37">
        <f>1+(0.055)</f>
        <v>1.055</v>
      </c>
    </row>
    <row r="58" spans="1:15" ht="12.75">
      <c r="A58" s="14" t="s">
        <v>56</v>
      </c>
      <c r="B58" s="35">
        <f t="shared" si="21"/>
        <v>0</v>
      </c>
      <c r="C58" s="40">
        <v>0</v>
      </c>
      <c r="D58" s="35">
        <v>0</v>
      </c>
      <c r="E58" s="145">
        <f t="shared" si="25"/>
        <v>0</v>
      </c>
      <c r="F58" s="115"/>
      <c r="G58" s="71"/>
      <c r="H58" s="158" t="e">
        <f t="shared" si="6"/>
        <v>#DIV/0!</v>
      </c>
      <c r="I58" s="38"/>
      <c r="J58" s="36"/>
      <c r="K58" s="164" t="e">
        <f t="shared" si="17"/>
        <v>#DIV/0!</v>
      </c>
      <c r="L58" s="176" t="e">
        <f t="shared" si="18"/>
        <v>#DIV/0!</v>
      </c>
      <c r="M58" s="164" t="e">
        <f t="shared" si="19"/>
        <v>#DIV/0!</v>
      </c>
      <c r="O58" s="37">
        <f>1+(0.055)</f>
        <v>1.055</v>
      </c>
    </row>
    <row r="59" spans="1:15" ht="12.75">
      <c r="A59" s="126" t="s">
        <v>215</v>
      </c>
      <c r="B59" s="92">
        <f aca="true" t="shared" si="27" ref="B59:G59">SUM(B60:B62)</f>
        <v>138729364.61384997</v>
      </c>
      <c r="C59" s="142">
        <f t="shared" si="27"/>
        <v>64200000</v>
      </c>
      <c r="D59" s="92">
        <f t="shared" si="27"/>
        <v>66475033</v>
      </c>
      <c r="E59" s="92">
        <f t="shared" si="27"/>
        <v>130675033</v>
      </c>
      <c r="F59" s="143">
        <f t="shared" si="27"/>
        <v>131497028.07</v>
      </c>
      <c r="G59" s="92">
        <f t="shared" si="27"/>
        <v>131497028.07</v>
      </c>
      <c r="H59" s="33">
        <f t="shared" si="6"/>
        <v>100.62903758363696</v>
      </c>
      <c r="I59" s="92">
        <f>SUM(I60:I62)</f>
        <v>0</v>
      </c>
      <c r="J59" s="142">
        <f>SUM(J60:J62)</f>
        <v>0</v>
      </c>
      <c r="K59" s="108" t="e">
        <f t="shared" si="17"/>
        <v>#DIV/0!</v>
      </c>
      <c r="L59" s="179" t="e">
        <f t="shared" si="18"/>
        <v>#DIV/0!</v>
      </c>
      <c r="M59" s="108" t="e">
        <f t="shared" si="19"/>
        <v>#DIV/0!</v>
      </c>
      <c r="O59" s="191"/>
    </row>
    <row r="60" spans="1:15" ht="12.75">
      <c r="A60" s="14" t="s">
        <v>216</v>
      </c>
      <c r="B60" s="35">
        <f>+G60*O60</f>
        <v>0</v>
      </c>
      <c r="C60" s="40"/>
      <c r="D60" s="35"/>
      <c r="E60" s="145">
        <f>+C60+D60</f>
        <v>0</v>
      </c>
      <c r="F60" s="115"/>
      <c r="G60" s="71"/>
      <c r="H60" s="158" t="e">
        <f t="shared" si="6"/>
        <v>#DIV/0!</v>
      </c>
      <c r="I60" s="38"/>
      <c r="J60" s="36"/>
      <c r="K60" s="164" t="e">
        <f t="shared" si="17"/>
        <v>#DIV/0!</v>
      </c>
      <c r="L60" s="176" t="e">
        <f t="shared" si="18"/>
        <v>#DIV/0!</v>
      </c>
      <c r="M60" s="164" t="e">
        <f t="shared" si="19"/>
        <v>#DIV/0!</v>
      </c>
      <c r="O60" s="37">
        <f aca="true" t="shared" si="28" ref="O60:O67">1+(0.055)</f>
        <v>1.055</v>
      </c>
    </row>
    <row r="61" spans="1:15" ht="12.75">
      <c r="A61" s="14" t="s">
        <v>217</v>
      </c>
      <c r="B61" s="35">
        <f>+G61*O61</f>
        <v>3478510.13</v>
      </c>
      <c r="C61" s="40">
        <v>500000</v>
      </c>
      <c r="D61" s="35">
        <v>2289166</v>
      </c>
      <c r="E61" s="145">
        <f>+C61+D61</f>
        <v>2789166</v>
      </c>
      <c r="F61" s="117">
        <v>3297166</v>
      </c>
      <c r="G61" s="70">
        <f>+F61</f>
        <v>3297166</v>
      </c>
      <c r="H61" s="158">
        <f t="shared" si="6"/>
        <v>118.2133297193498</v>
      </c>
      <c r="I61" s="38"/>
      <c r="J61" s="36"/>
      <c r="K61" s="164" t="e">
        <f t="shared" si="17"/>
        <v>#DIV/0!</v>
      </c>
      <c r="L61" s="176" t="e">
        <f t="shared" si="18"/>
        <v>#DIV/0!</v>
      </c>
      <c r="M61" s="164" t="e">
        <f t="shared" si="19"/>
        <v>#DIV/0!</v>
      </c>
      <c r="O61" s="37">
        <f t="shared" si="28"/>
        <v>1.055</v>
      </c>
    </row>
    <row r="62" spans="1:15" ht="12.75">
      <c r="A62" s="14" t="s">
        <v>218</v>
      </c>
      <c r="B62" s="35">
        <f aca="true" t="shared" si="29" ref="B62:B67">+G62*O62</f>
        <v>135250854.48384997</v>
      </c>
      <c r="C62" s="40">
        <f>20000000+1100000+'[1]Hoja1'!$F$113</f>
        <v>63700000</v>
      </c>
      <c r="D62" s="35">
        <f>12788496+4501081+'[1]Hoja1'!$G$113</f>
        <v>64185867</v>
      </c>
      <c r="E62" s="145">
        <f>+C62+D62</f>
        <v>127885867</v>
      </c>
      <c r="F62" s="271">
        <f>+'[1]Hoja1'!$O$91+'[1]Hoja1'!$O$108+'[1]Hoja1'!$O$113</f>
        <v>128199862.07</v>
      </c>
      <c r="G62" s="70">
        <f>+F62</f>
        <v>128199862.07</v>
      </c>
      <c r="H62" s="158">
        <f t="shared" si="6"/>
        <v>100.24552757655387</v>
      </c>
      <c r="I62" s="73"/>
      <c r="J62" s="36"/>
      <c r="K62" s="164" t="e">
        <f t="shared" si="17"/>
        <v>#DIV/0!</v>
      </c>
      <c r="L62" s="176" t="e">
        <f t="shared" si="18"/>
        <v>#DIV/0!</v>
      </c>
      <c r="M62" s="164" t="e">
        <f t="shared" si="19"/>
        <v>#DIV/0!</v>
      </c>
      <c r="O62" s="37">
        <f t="shared" si="28"/>
        <v>1.055</v>
      </c>
    </row>
    <row r="63" spans="1:15" ht="13.5" thickBot="1">
      <c r="A63" s="15" t="s">
        <v>57</v>
      </c>
      <c r="B63" s="35">
        <f t="shared" si="29"/>
        <v>21340849.115</v>
      </c>
      <c r="C63" s="40">
        <v>23900000</v>
      </c>
      <c r="D63" s="43"/>
      <c r="E63" s="145">
        <f>+C63+D63</f>
        <v>23900000</v>
      </c>
      <c r="F63" s="118">
        <v>20228293</v>
      </c>
      <c r="G63" s="70">
        <f>+F63</f>
        <v>20228293</v>
      </c>
      <c r="H63" s="158">
        <f t="shared" si="6"/>
        <v>84.63720920502092</v>
      </c>
      <c r="I63" s="73"/>
      <c r="J63" s="36"/>
      <c r="K63" s="165" t="e">
        <f t="shared" si="17"/>
        <v>#DIV/0!</v>
      </c>
      <c r="L63" s="176" t="e">
        <f t="shared" si="18"/>
        <v>#DIV/0!</v>
      </c>
      <c r="M63" s="165" t="e">
        <f t="shared" si="19"/>
        <v>#DIV/0!</v>
      </c>
      <c r="O63" s="37">
        <f t="shared" si="28"/>
        <v>1.055</v>
      </c>
    </row>
    <row r="64" spans="1:15" ht="13.5" thickBot="1">
      <c r="A64" s="21" t="s">
        <v>58</v>
      </c>
      <c r="B64" s="53">
        <f aca="true" t="shared" si="30" ref="B64:G64">+B65+B66+B67+B68+B73+B81+B82+B83+B86+B87+B88</f>
        <v>356063622.26</v>
      </c>
      <c r="C64" s="65">
        <f t="shared" si="30"/>
        <v>78600000</v>
      </c>
      <c r="D64" s="53">
        <f t="shared" si="30"/>
        <v>486247871.26</v>
      </c>
      <c r="E64" s="53">
        <f t="shared" si="30"/>
        <v>564847871.26</v>
      </c>
      <c r="F64" s="65">
        <f t="shared" si="30"/>
        <v>341338630</v>
      </c>
      <c r="G64" s="53">
        <f t="shared" si="30"/>
        <v>341338630</v>
      </c>
      <c r="H64" s="30">
        <f>((G64*100)/E64)</f>
        <v>60.430187908574325</v>
      </c>
      <c r="I64" s="53">
        <f>+I65+I66+I67+I68+I73+I81+I82+I83+I86+I87+I88</f>
        <v>0</v>
      </c>
      <c r="J64" s="53">
        <f>+J65+J66+J67+J68+J73+J81+J82+J83+J86+J87+J88</f>
        <v>0</v>
      </c>
      <c r="K64" s="55" t="e">
        <f>+((G64/I64)-1)*100</f>
        <v>#DIV/0!</v>
      </c>
      <c r="L64" s="55" t="e">
        <f>+((I64/J64)-1)*100</f>
        <v>#DIV/0!</v>
      </c>
      <c r="M64" s="66">
        <f aca="true" t="shared" si="31" ref="M64:M73">((B64/G64)-1)*100</f>
        <v>4.313895634959342</v>
      </c>
      <c r="O64" s="191"/>
    </row>
    <row r="65" spans="1:15" ht="12.75">
      <c r="A65" s="15" t="s">
        <v>59</v>
      </c>
      <c r="B65" s="35">
        <f t="shared" si="29"/>
        <v>0</v>
      </c>
      <c r="C65" s="35"/>
      <c r="D65" s="35"/>
      <c r="E65" s="145">
        <f>+C65+D65</f>
        <v>0</v>
      </c>
      <c r="F65" s="119"/>
      <c r="G65" s="71"/>
      <c r="H65" s="159" t="e">
        <f t="shared" si="6"/>
        <v>#DIV/0!</v>
      </c>
      <c r="I65" s="75"/>
      <c r="J65" s="76"/>
      <c r="K65" s="164" t="e">
        <f t="shared" si="17"/>
        <v>#DIV/0!</v>
      </c>
      <c r="L65" s="163" t="e">
        <f t="shared" si="17"/>
        <v>#DIV/0!</v>
      </c>
      <c r="M65" s="164" t="e">
        <f>((B65/G65)-1)*100</f>
        <v>#DIV/0!</v>
      </c>
      <c r="O65" s="37">
        <f t="shared" si="28"/>
        <v>1.055</v>
      </c>
    </row>
    <row r="66" spans="1:15" ht="12.75">
      <c r="A66" s="15" t="s">
        <v>235</v>
      </c>
      <c r="B66" s="35">
        <f t="shared" si="29"/>
        <v>62265045</v>
      </c>
      <c r="C66" s="35">
        <v>0</v>
      </c>
      <c r="D66" s="35">
        <v>65848400</v>
      </c>
      <c r="E66" s="145">
        <f>+C66+D66</f>
        <v>65848400</v>
      </c>
      <c r="F66" s="119">
        <v>59019000</v>
      </c>
      <c r="G66" s="70">
        <f>+F66</f>
        <v>59019000</v>
      </c>
      <c r="H66" s="160">
        <f t="shared" si="6"/>
        <v>89.62860145424946</v>
      </c>
      <c r="I66" s="75"/>
      <c r="J66" s="37"/>
      <c r="K66" s="164" t="e">
        <f t="shared" si="17"/>
        <v>#DIV/0!</v>
      </c>
      <c r="L66" s="163" t="e">
        <f t="shared" si="17"/>
        <v>#DIV/0!</v>
      </c>
      <c r="M66" s="164">
        <f>((B66/G66)-1)*100</f>
        <v>5.499999999999994</v>
      </c>
      <c r="O66" s="37">
        <f t="shared" si="28"/>
        <v>1.055</v>
      </c>
    </row>
    <row r="67" spans="1:15" ht="12.75">
      <c r="A67" s="15" t="s">
        <v>234</v>
      </c>
      <c r="B67" s="35">
        <f t="shared" si="29"/>
        <v>13093398.219999999</v>
      </c>
      <c r="C67" s="35">
        <v>5000000</v>
      </c>
      <c r="D67" s="35">
        <v>7464225</v>
      </c>
      <c r="E67" s="145">
        <f>+C67+D67</f>
        <v>12464225</v>
      </c>
      <c r="F67" s="119">
        <v>12410804</v>
      </c>
      <c r="G67" s="70">
        <f>+F67</f>
        <v>12410804</v>
      </c>
      <c r="H67" s="160">
        <f t="shared" si="6"/>
        <v>99.57140536214646</v>
      </c>
      <c r="I67" s="74"/>
      <c r="J67" s="37"/>
      <c r="K67" s="164" t="e">
        <f>+((G67/I67)-1)*100</f>
        <v>#DIV/0!</v>
      </c>
      <c r="L67" s="164" t="e">
        <f>+((I67/J67)-1)*100</f>
        <v>#DIV/0!</v>
      </c>
      <c r="M67" s="164">
        <f>((B67/G67)-1)*100</f>
        <v>5.499999999999994</v>
      </c>
      <c r="O67" s="37">
        <f t="shared" si="28"/>
        <v>1.055</v>
      </c>
    </row>
    <row r="68" spans="1:15" ht="12.75">
      <c r="A68" s="124" t="s">
        <v>61</v>
      </c>
      <c r="B68" s="147">
        <f aca="true" t="shared" si="32" ref="B68:J68">+B69+B72</f>
        <v>0</v>
      </c>
      <c r="C68" s="147">
        <f t="shared" si="32"/>
        <v>0</v>
      </c>
      <c r="D68" s="147">
        <f t="shared" si="32"/>
        <v>0</v>
      </c>
      <c r="E68" s="147">
        <f t="shared" si="32"/>
        <v>0</v>
      </c>
      <c r="F68" s="148">
        <f t="shared" si="32"/>
        <v>0</v>
      </c>
      <c r="G68" s="147">
        <f t="shared" si="32"/>
        <v>0</v>
      </c>
      <c r="H68" s="149" t="e">
        <f>((G68*100)/E68)</f>
        <v>#DIV/0!</v>
      </c>
      <c r="I68" s="147">
        <f t="shared" si="32"/>
        <v>0</v>
      </c>
      <c r="J68" s="147">
        <f t="shared" si="32"/>
        <v>0</v>
      </c>
      <c r="K68" s="136" t="e">
        <f>+((G68/I68)-1)*100</f>
        <v>#DIV/0!</v>
      </c>
      <c r="L68" s="136" t="e">
        <f>+((I68/J68)-1)*100</f>
        <v>#DIV/0!</v>
      </c>
      <c r="M68" s="150" t="e">
        <f t="shared" si="31"/>
        <v>#DIV/0!</v>
      </c>
      <c r="O68" s="191"/>
    </row>
    <row r="69" spans="1:15" ht="12.75">
      <c r="A69" s="15" t="s">
        <v>62</v>
      </c>
      <c r="B69" s="92">
        <f aca="true" t="shared" si="33" ref="B69:J69">SUM(B70:B71)</f>
        <v>0</v>
      </c>
      <c r="C69" s="92">
        <f t="shared" si="33"/>
        <v>0</v>
      </c>
      <c r="D69" s="92">
        <f t="shared" si="33"/>
        <v>0</v>
      </c>
      <c r="E69" s="92">
        <f t="shared" si="33"/>
        <v>0</v>
      </c>
      <c r="F69" s="143">
        <f t="shared" si="33"/>
        <v>0</v>
      </c>
      <c r="G69" s="92">
        <f t="shared" si="33"/>
        <v>0</v>
      </c>
      <c r="H69" s="161" t="e">
        <f t="shared" si="6"/>
        <v>#DIV/0!</v>
      </c>
      <c r="I69" s="92">
        <f t="shared" si="33"/>
        <v>0</v>
      </c>
      <c r="J69" s="92">
        <f t="shared" si="33"/>
        <v>0</v>
      </c>
      <c r="K69" s="164" t="e">
        <f>+((G69/I69)-1)*100</f>
        <v>#DIV/0!</v>
      </c>
      <c r="L69" s="163" t="e">
        <f>+((H69/J69)-1)*100</f>
        <v>#DIV/0!</v>
      </c>
      <c r="M69" s="166" t="e">
        <f t="shared" si="31"/>
        <v>#DIV/0!</v>
      </c>
      <c r="O69" s="37"/>
    </row>
    <row r="70" spans="1:15" ht="12.75">
      <c r="A70" s="15" t="s">
        <v>63</v>
      </c>
      <c r="B70" s="35">
        <f>+G70*O70</f>
        <v>0</v>
      </c>
      <c r="C70" s="35"/>
      <c r="D70" s="35"/>
      <c r="E70" s="145">
        <f>+C70+D70</f>
        <v>0</v>
      </c>
      <c r="F70" s="115"/>
      <c r="G70" s="71"/>
      <c r="H70" s="160" t="e">
        <f t="shared" si="6"/>
        <v>#DIV/0!</v>
      </c>
      <c r="I70" s="75"/>
      <c r="J70" s="37"/>
      <c r="K70" s="164" t="e">
        <f aca="true" t="shared" si="34" ref="K70:L74">+((G70/I70)-1)*100</f>
        <v>#DIV/0!</v>
      </c>
      <c r="L70" s="163" t="e">
        <f t="shared" si="34"/>
        <v>#DIV/0!</v>
      </c>
      <c r="M70" s="62" t="e">
        <f t="shared" si="31"/>
        <v>#DIV/0!</v>
      </c>
      <c r="O70" s="37"/>
    </row>
    <row r="71" spans="1:15" ht="12.75">
      <c r="A71" s="15" t="s">
        <v>219</v>
      </c>
      <c r="B71" s="35">
        <f>+G71*O71</f>
        <v>0</v>
      </c>
      <c r="C71" s="35"/>
      <c r="D71" s="35"/>
      <c r="E71" s="145">
        <f>+C71+D71</f>
        <v>0</v>
      </c>
      <c r="F71" s="115"/>
      <c r="G71" s="71"/>
      <c r="H71" s="160" t="e">
        <f t="shared" si="6"/>
        <v>#DIV/0!</v>
      </c>
      <c r="I71" s="75"/>
      <c r="J71" s="37"/>
      <c r="K71" s="164" t="e">
        <f t="shared" si="34"/>
        <v>#DIV/0!</v>
      </c>
      <c r="L71" s="163" t="e">
        <f t="shared" si="34"/>
        <v>#DIV/0!</v>
      </c>
      <c r="M71" s="62" t="e">
        <f t="shared" si="31"/>
        <v>#DIV/0!</v>
      </c>
      <c r="O71" s="37"/>
    </row>
    <row r="72" spans="1:15" ht="12.75">
      <c r="A72" s="15" t="s">
        <v>220</v>
      </c>
      <c r="B72" s="35">
        <f>+G72*O72</f>
        <v>0</v>
      </c>
      <c r="C72" s="35"/>
      <c r="D72" s="35"/>
      <c r="E72" s="145">
        <f>+C72+D72</f>
        <v>0</v>
      </c>
      <c r="F72" s="116"/>
      <c r="G72" s="72"/>
      <c r="H72" s="160" t="e">
        <f t="shared" si="6"/>
        <v>#DIV/0!</v>
      </c>
      <c r="I72" s="75"/>
      <c r="J72" s="39"/>
      <c r="K72" s="164" t="e">
        <f t="shared" si="34"/>
        <v>#DIV/0!</v>
      </c>
      <c r="L72" s="163" t="e">
        <f t="shared" si="34"/>
        <v>#DIV/0!</v>
      </c>
      <c r="M72" s="62" t="e">
        <f t="shared" si="31"/>
        <v>#DIV/0!</v>
      </c>
      <c r="O72" s="37"/>
    </row>
    <row r="73" spans="1:15" ht="12.75">
      <c r="A73" s="125" t="s">
        <v>64</v>
      </c>
      <c r="B73" s="147">
        <f>SUM(B74:B80)</f>
        <v>258675960.40000004</v>
      </c>
      <c r="C73" s="147">
        <f aca="true" t="shared" si="35" ref="C73:J73">SUM(C74:C80)</f>
        <v>57800000</v>
      </c>
      <c r="D73" s="147">
        <f>SUM(D74:D80)</f>
        <v>183180765</v>
      </c>
      <c r="E73" s="147">
        <f t="shared" si="35"/>
        <v>240980765</v>
      </c>
      <c r="F73" s="148">
        <f t="shared" si="35"/>
        <v>248726885</v>
      </c>
      <c r="G73" s="147">
        <f t="shared" si="35"/>
        <v>248726885</v>
      </c>
      <c r="H73" s="149">
        <f>((G73*100)/E73)</f>
        <v>103.21441422928507</v>
      </c>
      <c r="I73" s="139">
        <f t="shared" si="35"/>
        <v>0</v>
      </c>
      <c r="J73" s="137">
        <f t="shared" si="35"/>
        <v>0</v>
      </c>
      <c r="K73" s="136" t="e">
        <f>+((G73/I73)-1)*100</f>
        <v>#DIV/0!</v>
      </c>
      <c r="L73" s="136" t="e">
        <f>+((I73/J73)-1)*100</f>
        <v>#DIV/0!</v>
      </c>
      <c r="M73" s="141">
        <f t="shared" si="31"/>
        <v>4.0000000000000036</v>
      </c>
      <c r="O73" s="191"/>
    </row>
    <row r="74" spans="1:15" ht="12.75">
      <c r="A74" s="15" t="s">
        <v>65</v>
      </c>
      <c r="B74" s="35">
        <f aca="true" t="shared" si="36" ref="B74:B82">+G74*O74</f>
        <v>115434489.04</v>
      </c>
      <c r="C74" s="35"/>
      <c r="D74" s="35">
        <f>81151189+'[1]Hoja1'!$G$74+'[1]Hoja1'!$G$76</f>
        <v>110994701</v>
      </c>
      <c r="E74" s="145">
        <f>+C74+D74</f>
        <v>110994701</v>
      </c>
      <c r="F74" s="119">
        <f>+'[1]Hoja1'!$L$56+'[1]Hoja1'!$L$74+'[1]Hoja1'!$L$76</f>
        <v>110994701</v>
      </c>
      <c r="G74" s="70">
        <f>+F74</f>
        <v>110994701</v>
      </c>
      <c r="H74" s="160">
        <f t="shared" si="6"/>
        <v>100</v>
      </c>
      <c r="I74" s="75"/>
      <c r="J74" s="37"/>
      <c r="K74" s="164" t="e">
        <f t="shared" si="34"/>
        <v>#DIV/0!</v>
      </c>
      <c r="L74" s="163" t="e">
        <f>+((H74/J74)-1)*100</f>
        <v>#DIV/0!</v>
      </c>
      <c r="M74" s="164" t="e">
        <f>+((I74/K74)-1)*100</f>
        <v>#DIV/0!</v>
      </c>
      <c r="O74" s="37">
        <f>1+(0.04)</f>
        <v>1.04</v>
      </c>
    </row>
    <row r="75" spans="1:15" ht="12.75">
      <c r="A75" s="15" t="s">
        <v>66</v>
      </c>
      <c r="B75" s="35">
        <f t="shared" si="36"/>
        <v>64735150.480000004</v>
      </c>
      <c r="C75" s="35">
        <v>57800000</v>
      </c>
      <c r="D75" s="35"/>
      <c r="E75" s="145">
        <f aca="true" t="shared" si="37" ref="E75:E82">+C75+D75</f>
        <v>57800000</v>
      </c>
      <c r="F75" s="119">
        <f>+'[1]Hoja1'!$L$64+'[1]Hoja1'!$L$65+'[1]Hoja1'!$L$66</f>
        <v>62245337</v>
      </c>
      <c r="G75" s="70">
        <f>+F75</f>
        <v>62245337</v>
      </c>
      <c r="H75" s="160">
        <f t="shared" si="6"/>
        <v>107.69089446366782</v>
      </c>
      <c r="I75" s="74"/>
      <c r="J75" s="77"/>
      <c r="K75" s="164" t="e">
        <f aca="true" t="shared" si="38" ref="K75:K88">+((G75/I75)-1)*100</f>
        <v>#DIV/0!</v>
      </c>
      <c r="L75" s="164" t="e">
        <f>+((I75/J75)-1)*100</f>
        <v>#DIV/0!</v>
      </c>
      <c r="M75" s="62">
        <f>((B75/G75)-1)*100</f>
        <v>4.0000000000000036</v>
      </c>
      <c r="O75" s="37">
        <f aca="true" t="shared" si="39" ref="O75:O82">1+(0.04)</f>
        <v>1.04</v>
      </c>
    </row>
    <row r="76" spans="1:15" ht="12.75">
      <c r="A76" s="15" t="s">
        <v>221</v>
      </c>
      <c r="B76" s="35">
        <f t="shared" si="36"/>
        <v>6896828.640000001</v>
      </c>
      <c r="C76" s="35">
        <v>0</v>
      </c>
      <c r="D76" s="35">
        <v>3330783</v>
      </c>
      <c r="E76" s="145">
        <f t="shared" si="37"/>
        <v>3330783</v>
      </c>
      <c r="F76" s="119">
        <v>6631566</v>
      </c>
      <c r="G76" s="70">
        <f>+F76</f>
        <v>6631566</v>
      </c>
      <c r="H76" s="160">
        <f t="shared" si="6"/>
        <v>199.09931088275638</v>
      </c>
      <c r="I76" s="74"/>
      <c r="J76" s="78"/>
      <c r="K76" s="164" t="e">
        <f t="shared" si="38"/>
        <v>#DIV/0!</v>
      </c>
      <c r="L76" s="164" t="e">
        <f>+((I76/J76)-1)*100</f>
        <v>#DIV/0!</v>
      </c>
      <c r="M76" s="164">
        <f>((B76/G76)-1)*100</f>
        <v>4.0000000000000036</v>
      </c>
      <c r="O76" s="37">
        <f t="shared" si="39"/>
        <v>1.04</v>
      </c>
    </row>
    <row r="77" spans="1:15" ht="12.75">
      <c r="A77" s="15" t="s">
        <v>67</v>
      </c>
      <c r="B77" s="35">
        <f t="shared" si="36"/>
        <v>0</v>
      </c>
      <c r="C77" s="35">
        <v>0</v>
      </c>
      <c r="D77" s="35"/>
      <c r="E77" s="145">
        <f t="shared" si="37"/>
        <v>0</v>
      </c>
      <c r="F77" s="119"/>
      <c r="G77" s="70">
        <f>+F77</f>
        <v>0</v>
      </c>
      <c r="H77" s="160" t="e">
        <f t="shared" si="6"/>
        <v>#DIV/0!</v>
      </c>
      <c r="I77" s="75"/>
      <c r="J77" s="37"/>
      <c r="K77" s="164" t="e">
        <f t="shared" si="38"/>
        <v>#DIV/0!</v>
      </c>
      <c r="L77" s="163" t="e">
        <f aca="true" t="shared" si="40" ref="L77:L82">+((H77/J77)-1)*100</f>
        <v>#DIV/0!</v>
      </c>
      <c r="M77" s="164" t="e">
        <f aca="true" t="shared" si="41" ref="M77:M82">+((I77/K77)-1)*100</f>
        <v>#DIV/0!</v>
      </c>
      <c r="O77" s="37">
        <f t="shared" si="39"/>
        <v>1.04</v>
      </c>
    </row>
    <row r="78" spans="1:15" ht="12.75">
      <c r="A78" s="15" t="s">
        <v>68</v>
      </c>
      <c r="B78" s="35">
        <f t="shared" si="36"/>
        <v>4681124.24</v>
      </c>
      <c r="C78" s="35">
        <v>0</v>
      </c>
      <c r="D78" s="35">
        <v>4501081</v>
      </c>
      <c r="E78" s="145">
        <f t="shared" si="37"/>
        <v>4501081</v>
      </c>
      <c r="F78" s="119">
        <v>4501081</v>
      </c>
      <c r="G78" s="70">
        <f>+F78</f>
        <v>4501081</v>
      </c>
      <c r="H78" s="160">
        <f t="shared" si="6"/>
        <v>100</v>
      </c>
      <c r="I78" s="75"/>
      <c r="J78" s="37"/>
      <c r="K78" s="164" t="e">
        <f t="shared" si="38"/>
        <v>#DIV/0!</v>
      </c>
      <c r="L78" s="163" t="e">
        <f t="shared" si="40"/>
        <v>#DIV/0!</v>
      </c>
      <c r="M78" s="164" t="e">
        <f t="shared" si="41"/>
        <v>#DIV/0!</v>
      </c>
      <c r="O78" s="37">
        <f t="shared" si="39"/>
        <v>1.04</v>
      </c>
    </row>
    <row r="79" spans="1:15" ht="12.75">
      <c r="A79" s="15" t="s">
        <v>69</v>
      </c>
      <c r="B79" s="35">
        <f t="shared" si="36"/>
        <v>0</v>
      </c>
      <c r="C79" s="35"/>
      <c r="D79" s="35"/>
      <c r="E79" s="145">
        <f t="shared" si="37"/>
        <v>0</v>
      </c>
      <c r="F79" s="119"/>
      <c r="G79" s="71"/>
      <c r="H79" s="160" t="e">
        <f t="shared" si="6"/>
        <v>#DIV/0!</v>
      </c>
      <c r="I79" s="75"/>
      <c r="J79" s="37"/>
      <c r="K79" s="164" t="e">
        <f t="shared" si="38"/>
        <v>#DIV/0!</v>
      </c>
      <c r="L79" s="163" t="e">
        <f t="shared" si="40"/>
        <v>#DIV/0!</v>
      </c>
      <c r="M79" s="164" t="e">
        <f t="shared" si="41"/>
        <v>#DIV/0!</v>
      </c>
      <c r="O79" s="37">
        <f t="shared" si="39"/>
        <v>1.04</v>
      </c>
    </row>
    <row r="80" spans="1:15" ht="12.75">
      <c r="A80" s="15" t="s">
        <v>70</v>
      </c>
      <c r="B80" s="35">
        <f t="shared" si="36"/>
        <v>66928368</v>
      </c>
      <c r="C80" s="34"/>
      <c r="D80" s="35">
        <v>64354200</v>
      </c>
      <c r="E80" s="145">
        <f t="shared" si="37"/>
        <v>64354200</v>
      </c>
      <c r="F80" s="119">
        <v>64354200</v>
      </c>
      <c r="G80" s="70">
        <f>+F80</f>
        <v>64354200</v>
      </c>
      <c r="H80" s="160">
        <f t="shared" si="6"/>
        <v>100</v>
      </c>
      <c r="I80" s="75"/>
      <c r="J80" s="37"/>
      <c r="K80" s="164" t="e">
        <f t="shared" si="38"/>
        <v>#DIV/0!</v>
      </c>
      <c r="L80" s="163" t="e">
        <f t="shared" si="40"/>
        <v>#DIV/0!</v>
      </c>
      <c r="M80" s="164" t="e">
        <f t="shared" si="41"/>
        <v>#DIV/0!</v>
      </c>
      <c r="O80" s="37">
        <f t="shared" si="39"/>
        <v>1.04</v>
      </c>
    </row>
    <row r="81" spans="1:15" ht="12.75">
      <c r="A81" s="15" t="s">
        <v>71</v>
      </c>
      <c r="B81" s="35">
        <f t="shared" si="36"/>
        <v>21559701.28</v>
      </c>
      <c r="C81" s="35">
        <v>15000000</v>
      </c>
      <c r="D81" s="35"/>
      <c r="E81" s="145">
        <f t="shared" si="37"/>
        <v>15000000</v>
      </c>
      <c r="F81" s="119">
        <v>20730482</v>
      </c>
      <c r="G81" s="70">
        <f>+F81</f>
        <v>20730482</v>
      </c>
      <c r="H81" s="160">
        <f>((G81*100)/E81)</f>
        <v>138.20321333333334</v>
      </c>
      <c r="I81" s="74"/>
      <c r="J81" s="37"/>
      <c r="K81" s="164" t="e">
        <f t="shared" si="38"/>
        <v>#DIV/0!</v>
      </c>
      <c r="L81" s="163" t="e">
        <f t="shared" si="40"/>
        <v>#DIV/0!</v>
      </c>
      <c r="M81" s="164" t="e">
        <f t="shared" si="41"/>
        <v>#DIV/0!</v>
      </c>
      <c r="O81" s="37">
        <f t="shared" si="39"/>
        <v>1.04</v>
      </c>
    </row>
    <row r="82" spans="1:15" ht="13.5" thickBot="1">
      <c r="A82" s="15" t="s">
        <v>72</v>
      </c>
      <c r="B82" s="35">
        <f t="shared" si="36"/>
        <v>0</v>
      </c>
      <c r="C82" s="35"/>
      <c r="D82" s="35">
        <v>0</v>
      </c>
      <c r="E82" s="145">
        <f t="shared" si="37"/>
        <v>0</v>
      </c>
      <c r="F82" s="119"/>
      <c r="G82" s="70">
        <f>+F82</f>
        <v>0</v>
      </c>
      <c r="H82" s="160" t="e">
        <f>((G82*100)/E82)</f>
        <v>#DIV/0!</v>
      </c>
      <c r="I82" s="75"/>
      <c r="J82" s="37"/>
      <c r="K82" s="164" t="e">
        <f t="shared" si="38"/>
        <v>#DIV/0!</v>
      </c>
      <c r="L82" s="163" t="e">
        <f t="shared" si="40"/>
        <v>#DIV/0!</v>
      </c>
      <c r="M82" s="164" t="e">
        <f t="shared" si="41"/>
        <v>#DIV/0!</v>
      </c>
      <c r="O82" s="37">
        <f t="shared" si="39"/>
        <v>1.04</v>
      </c>
    </row>
    <row r="83" spans="1:15" ht="13.5" thickBot="1">
      <c r="A83" s="151" t="s">
        <v>73</v>
      </c>
      <c r="B83" s="152">
        <f>SUM(B84:B85)</f>
        <v>0</v>
      </c>
      <c r="C83" s="152">
        <f aca="true" t="shared" si="42" ref="C83:J83">SUM(C84:C85)</f>
        <v>0</v>
      </c>
      <c r="D83" s="152">
        <f t="shared" si="42"/>
        <v>0</v>
      </c>
      <c r="E83" s="152">
        <f t="shared" si="42"/>
        <v>0</v>
      </c>
      <c r="F83" s="153">
        <f t="shared" si="42"/>
        <v>0</v>
      </c>
      <c r="G83" s="152">
        <f t="shared" si="42"/>
        <v>0</v>
      </c>
      <c r="H83" s="154" t="e">
        <f>+((D83/F83)-1)*100</f>
        <v>#DIV/0!</v>
      </c>
      <c r="I83" s="152">
        <f t="shared" si="42"/>
        <v>0</v>
      </c>
      <c r="J83" s="152">
        <f t="shared" si="42"/>
        <v>0</v>
      </c>
      <c r="K83" s="155" t="e">
        <f t="shared" si="38"/>
        <v>#DIV/0!</v>
      </c>
      <c r="L83" s="155" t="e">
        <f>+((I83/J83)-1)*100</f>
        <v>#DIV/0!</v>
      </c>
      <c r="M83" s="155" t="e">
        <f>((B83/G83)-1)*100</f>
        <v>#DIV/0!</v>
      </c>
      <c r="O83" s="191"/>
    </row>
    <row r="84" spans="1:15" ht="12.75">
      <c r="A84" s="14" t="s">
        <v>74</v>
      </c>
      <c r="B84" s="35">
        <f>+G84*O84</f>
        <v>0</v>
      </c>
      <c r="C84" s="35"/>
      <c r="D84" s="35">
        <v>0</v>
      </c>
      <c r="E84" s="145">
        <f>+C84+D84</f>
        <v>0</v>
      </c>
      <c r="F84" s="115"/>
      <c r="G84" s="70">
        <f>+F84</f>
        <v>0</v>
      </c>
      <c r="H84" s="160" t="e">
        <f>((G84*100)/E84)</f>
        <v>#DIV/0!</v>
      </c>
      <c r="I84" s="75"/>
      <c r="J84" s="37"/>
      <c r="K84" s="164" t="e">
        <f t="shared" si="38"/>
        <v>#DIV/0!</v>
      </c>
      <c r="L84" s="163" t="e">
        <f aca="true" t="shared" si="43" ref="L84:M88">+((H84/J84)-1)*100</f>
        <v>#DIV/0!</v>
      </c>
      <c r="M84" s="164" t="e">
        <f t="shared" si="43"/>
        <v>#DIV/0!</v>
      </c>
      <c r="O84" s="37">
        <f>1+(0.04)</f>
        <v>1.04</v>
      </c>
    </row>
    <row r="85" spans="1:15" ht="12.75">
      <c r="A85" s="14" t="s">
        <v>75</v>
      </c>
      <c r="B85" s="35">
        <f>+G85*O85</f>
        <v>0</v>
      </c>
      <c r="C85" s="35"/>
      <c r="D85" s="35">
        <v>0</v>
      </c>
      <c r="E85" s="145">
        <f>+C85+D85</f>
        <v>0</v>
      </c>
      <c r="F85" s="120"/>
      <c r="G85" s="70">
        <f>+F85</f>
        <v>0</v>
      </c>
      <c r="H85" s="160" t="e">
        <f>((G85*100)/E85)</f>
        <v>#DIV/0!</v>
      </c>
      <c r="I85" s="75"/>
      <c r="J85" s="37"/>
      <c r="K85" s="164" t="e">
        <f t="shared" si="38"/>
        <v>#DIV/0!</v>
      </c>
      <c r="L85" s="163" t="e">
        <f t="shared" si="43"/>
        <v>#DIV/0!</v>
      </c>
      <c r="M85" s="164" t="e">
        <f t="shared" si="43"/>
        <v>#DIV/0!</v>
      </c>
      <c r="O85" s="37">
        <f>1+(0.04)</f>
        <v>1.04</v>
      </c>
    </row>
    <row r="86" spans="1:15" ht="12.75">
      <c r="A86" s="22" t="s">
        <v>222</v>
      </c>
      <c r="B86" s="35">
        <f>+G86*O86</f>
        <v>75052.64</v>
      </c>
      <c r="C86" s="35">
        <v>800000</v>
      </c>
      <c r="D86" s="35"/>
      <c r="E86" s="145">
        <f>+C86+D86</f>
        <v>800000</v>
      </c>
      <c r="F86" s="115">
        <v>72166</v>
      </c>
      <c r="G86" s="70">
        <f>+F86</f>
        <v>72166</v>
      </c>
      <c r="H86" s="160">
        <f>((G86*100)/E86)</f>
        <v>9.02075</v>
      </c>
      <c r="I86" s="75"/>
      <c r="J86" s="37"/>
      <c r="K86" s="164" t="e">
        <f t="shared" si="38"/>
        <v>#DIV/0!</v>
      </c>
      <c r="L86" s="163" t="e">
        <f t="shared" si="43"/>
        <v>#DIV/0!</v>
      </c>
      <c r="M86" s="164" t="e">
        <f t="shared" si="43"/>
        <v>#DIV/0!</v>
      </c>
      <c r="O86" s="37">
        <f>1+(0.04)</f>
        <v>1.04</v>
      </c>
    </row>
    <row r="87" spans="1:15" ht="12.75">
      <c r="A87" s="15" t="s">
        <v>223</v>
      </c>
      <c r="B87" s="35">
        <f>+G87*O87</f>
        <v>0</v>
      </c>
      <c r="C87" s="35">
        <v>0</v>
      </c>
      <c r="D87" s="35">
        <v>229375188</v>
      </c>
      <c r="E87" s="145">
        <f>+C87+D87</f>
        <v>229375188</v>
      </c>
      <c r="F87" s="115">
        <v>0</v>
      </c>
      <c r="G87" s="70">
        <f>+F87</f>
        <v>0</v>
      </c>
      <c r="H87" s="160">
        <f>((G87*100)/E87)</f>
        <v>0</v>
      </c>
      <c r="I87" s="75"/>
      <c r="J87" s="37"/>
      <c r="K87" s="164" t="e">
        <f t="shared" si="38"/>
        <v>#DIV/0!</v>
      </c>
      <c r="L87" s="163" t="e">
        <f t="shared" si="43"/>
        <v>#DIV/0!</v>
      </c>
      <c r="M87" s="164" t="e">
        <f t="shared" si="43"/>
        <v>#DIV/0!</v>
      </c>
      <c r="O87" s="37">
        <f>1+(0.04)</f>
        <v>1.04</v>
      </c>
    </row>
    <row r="88" spans="1:15" ht="13.5" thickBot="1">
      <c r="A88" s="23" t="s">
        <v>76</v>
      </c>
      <c r="B88" s="44">
        <f>+G88*O88</f>
        <v>394464.72000000003</v>
      </c>
      <c r="C88" s="44">
        <v>0</v>
      </c>
      <c r="D88" s="44">
        <f>+'[1]Hoja1'!$G$107</f>
        <v>379293.26</v>
      </c>
      <c r="E88" s="157">
        <f>+C88+D88</f>
        <v>379293.26</v>
      </c>
      <c r="F88" s="118">
        <v>379293</v>
      </c>
      <c r="G88" s="70">
        <f>+F88</f>
        <v>379293</v>
      </c>
      <c r="H88" s="162">
        <f>((G88*100)/E88)</f>
        <v>99.9999314514579</v>
      </c>
      <c r="I88" s="79"/>
      <c r="J88" s="43"/>
      <c r="K88" s="165" t="e">
        <f t="shared" si="38"/>
        <v>#DIV/0!</v>
      </c>
      <c r="L88" s="167" t="e">
        <f t="shared" si="43"/>
        <v>#DIV/0!</v>
      </c>
      <c r="M88" s="165" t="e">
        <f t="shared" si="43"/>
        <v>#DIV/0!</v>
      </c>
      <c r="N88" s="67"/>
      <c r="O88" s="43">
        <f>1+(0.04)</f>
        <v>1.04</v>
      </c>
    </row>
    <row r="89" ht="12.75">
      <c r="H89" s="68"/>
    </row>
    <row r="90" ht="12.75">
      <c r="H90" s="68"/>
    </row>
    <row r="91" ht="12.75">
      <c r="H91" s="68"/>
    </row>
    <row r="92" ht="12.75">
      <c r="H92" s="68"/>
    </row>
    <row r="93" ht="12.75">
      <c r="H93" s="68"/>
    </row>
    <row r="94" ht="12.75">
      <c r="H94" s="68"/>
    </row>
    <row r="95" ht="12.75">
      <c r="H95" s="68"/>
    </row>
    <row r="96" ht="12.75">
      <c r="H96" s="68"/>
    </row>
    <row r="97" ht="12.75">
      <c r="H97" s="68"/>
    </row>
    <row r="98" ht="12.75">
      <c r="H98" s="68"/>
    </row>
    <row r="99" ht="12.75">
      <c r="H99" s="68"/>
    </row>
    <row r="100" ht="12.75">
      <c r="H100" s="68"/>
    </row>
    <row r="101" ht="12.75">
      <c r="H101" s="68"/>
    </row>
    <row r="102" ht="12.75">
      <c r="H102" s="68"/>
    </row>
    <row r="103" ht="12.75">
      <c r="H103" s="68"/>
    </row>
    <row r="104" ht="12.75">
      <c r="H104" s="68"/>
    </row>
    <row r="105" ht="12.75">
      <c r="H105" s="68"/>
    </row>
    <row r="106" ht="12.75">
      <c r="H106" s="68"/>
    </row>
    <row r="107" ht="12.75">
      <c r="H107" s="68"/>
    </row>
    <row r="108" ht="12.75">
      <c r="H108" s="68"/>
    </row>
    <row r="109" ht="12.75">
      <c r="H109" s="68"/>
    </row>
    <row r="110" ht="12.75">
      <c r="H110" s="68"/>
    </row>
    <row r="111" ht="12.75">
      <c r="H111" s="68"/>
    </row>
    <row r="112" ht="12.75">
      <c r="H112" s="68"/>
    </row>
    <row r="113" ht="12.75">
      <c r="H113" s="68"/>
    </row>
    <row r="114" ht="12.75">
      <c r="H114" s="68"/>
    </row>
    <row r="115" ht="12.75">
      <c r="H115" s="68"/>
    </row>
    <row r="116" ht="12.75">
      <c r="H116" s="68"/>
    </row>
    <row r="117" ht="12.75">
      <c r="H117" s="68"/>
    </row>
    <row r="118" ht="12.75">
      <c r="H118" s="68"/>
    </row>
    <row r="119" ht="12.75">
      <c r="H119" s="68"/>
    </row>
    <row r="120" ht="12.75">
      <c r="H120" s="68"/>
    </row>
    <row r="121" ht="12.75">
      <c r="H121" s="68"/>
    </row>
    <row r="122" ht="12.75">
      <c r="H122" s="68"/>
    </row>
    <row r="123" ht="12.75">
      <c r="H123" s="68"/>
    </row>
    <row r="124" ht="12.75">
      <c r="H124" s="68"/>
    </row>
    <row r="125" ht="12.75">
      <c r="H125" s="68"/>
    </row>
    <row r="126" ht="12.75">
      <c r="H126" s="68"/>
    </row>
    <row r="127" ht="12.75">
      <c r="H127" s="68"/>
    </row>
    <row r="128" ht="12.75">
      <c r="H128" s="68"/>
    </row>
    <row r="129" ht="12.75">
      <c r="H129" s="68"/>
    </row>
    <row r="130" ht="12.75">
      <c r="H130" s="68"/>
    </row>
    <row r="131" ht="12.75">
      <c r="H131" s="68"/>
    </row>
    <row r="132" ht="12.75">
      <c r="H132" s="68"/>
    </row>
    <row r="133" ht="12.75">
      <c r="H133" s="68"/>
    </row>
    <row r="134" ht="12.75">
      <c r="H134" s="68"/>
    </row>
    <row r="135" ht="12.75">
      <c r="H135" s="68"/>
    </row>
    <row r="136" ht="12.75">
      <c r="H136" s="68"/>
    </row>
    <row r="137" ht="12.75">
      <c r="H137" s="68"/>
    </row>
    <row r="138" ht="12.75">
      <c r="H138" s="68"/>
    </row>
    <row r="139" ht="12.75">
      <c r="H139" s="68"/>
    </row>
    <row r="140" ht="12.75">
      <c r="H140" s="68"/>
    </row>
    <row r="141" ht="12.75">
      <c r="H141" s="68"/>
    </row>
    <row r="142" ht="12.75">
      <c r="H142" s="68"/>
    </row>
    <row r="143" ht="12.75">
      <c r="H143" s="68"/>
    </row>
  </sheetData>
  <sheetProtection password="CEC8" sheet="1" objects="1" scenarios="1"/>
  <mergeCells count="6">
    <mergeCell ref="A1:M1"/>
    <mergeCell ref="A9:M9"/>
    <mergeCell ref="A8:M8"/>
    <mergeCell ref="A7:M7"/>
    <mergeCell ref="A5:M5"/>
    <mergeCell ref="A3:M3"/>
  </mergeCells>
  <printOptions/>
  <pageMargins left="0.75" right="0.75" top="1" bottom="1" header="0" footer="0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0"/>
  <sheetViews>
    <sheetView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8" sqref="A8:M8"/>
    </sheetView>
  </sheetViews>
  <sheetFormatPr defaultColWidth="11.421875" defaultRowHeight="12.75"/>
  <cols>
    <col min="1" max="1" width="47.57421875" style="45" customWidth="1"/>
    <col min="2" max="2" width="14.8515625" style="45" customWidth="1"/>
    <col min="3" max="3" width="15.00390625" style="45" customWidth="1"/>
    <col min="4" max="4" width="16.57421875" style="45" customWidth="1"/>
    <col min="5" max="5" width="14.8515625" style="45" bestFit="1" customWidth="1"/>
    <col min="6" max="6" width="16.140625" style="45" customWidth="1"/>
    <col min="7" max="7" width="16.00390625" style="45" customWidth="1"/>
    <col min="8" max="8" width="11.7109375" style="45" customWidth="1"/>
    <col min="9" max="9" width="14.57421875" style="45" customWidth="1"/>
    <col min="10" max="10" width="15.421875" style="45" customWidth="1"/>
    <col min="11" max="11" width="10.57421875" style="45" customWidth="1"/>
    <col min="12" max="12" width="10.8515625" style="45" customWidth="1"/>
    <col min="13" max="13" width="14.8515625" style="45" customWidth="1"/>
    <col min="14" max="14" width="7.140625" style="45" customWidth="1"/>
    <col min="15" max="16384" width="11.421875" style="45" customWidth="1"/>
  </cols>
  <sheetData>
    <row r="1" spans="1:13" ht="20.25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3" spans="1:13" ht="18">
      <c r="A3" s="391" t="s">
        <v>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</row>
    <row r="5" spans="1:13" ht="18">
      <c r="A5" s="390" t="s">
        <v>357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</row>
    <row r="7" spans="1:13" ht="18">
      <c r="A7" s="388" t="s">
        <v>24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</row>
    <row r="8" spans="1:13" ht="18">
      <c r="A8" s="388" t="s">
        <v>226</v>
      </c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</row>
    <row r="9" spans="1:13" ht="14.25" customHeight="1">
      <c r="A9" s="388" t="s">
        <v>233</v>
      </c>
      <c r="B9" s="388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</row>
    <row r="10" spans="1:4" ht="13.5" thickBot="1">
      <c r="A10" s="69"/>
      <c r="C10" s="46"/>
      <c r="D10" s="46"/>
    </row>
    <row r="11" spans="1:15" ht="63.75" customHeight="1" thickBot="1">
      <c r="A11" s="24" t="s">
        <v>5</v>
      </c>
      <c r="B11" s="17" t="s">
        <v>228</v>
      </c>
      <c r="C11" s="17" t="s">
        <v>227</v>
      </c>
      <c r="D11" s="197" t="s">
        <v>358</v>
      </c>
      <c r="E11" s="17" t="s">
        <v>2</v>
      </c>
      <c r="F11" s="198" t="s">
        <v>360</v>
      </c>
      <c r="G11" s="88" t="s">
        <v>243</v>
      </c>
      <c r="H11" s="89" t="s">
        <v>239</v>
      </c>
      <c r="I11" s="17" t="s">
        <v>241</v>
      </c>
      <c r="J11" s="17" t="s">
        <v>242</v>
      </c>
      <c r="K11" s="17" t="s">
        <v>236</v>
      </c>
      <c r="L11" s="17" t="s">
        <v>237</v>
      </c>
      <c r="M11" s="16" t="s">
        <v>240</v>
      </c>
      <c r="O11" s="16" t="s">
        <v>244</v>
      </c>
    </row>
    <row r="12" spans="1:15" ht="13.5" thickBot="1">
      <c r="A12" s="10" t="s">
        <v>77</v>
      </c>
      <c r="B12" s="90">
        <f>B13+B56+B184</f>
        <v>550358996.8440499</v>
      </c>
      <c r="C12" s="90">
        <f>C13+C56+C184+C196</f>
        <v>2359554450.2799997</v>
      </c>
      <c r="D12" s="90">
        <f>D13+D56+D184+D196</f>
        <v>971527383.97</v>
      </c>
      <c r="E12" s="90">
        <f>E13+E56+E184+E196</f>
        <v>3331081834.25</v>
      </c>
      <c r="F12" s="90">
        <f>F13+F56+F184</f>
        <v>72952432</v>
      </c>
      <c r="G12" s="90">
        <f>G13+G56+G184+G196</f>
        <v>2808419603.9</v>
      </c>
      <c r="H12" s="83">
        <f>((G12*100)/E12)</f>
        <v>84.30953496920984</v>
      </c>
      <c r="I12" s="90">
        <f>I13+I56+I184+I196</f>
        <v>0</v>
      </c>
      <c r="J12" s="90">
        <f>J13+J56+J184+J196</f>
        <v>0</v>
      </c>
      <c r="K12" s="104" t="e">
        <f>+((G12/I12)-1)*100</f>
        <v>#DIV/0!</v>
      </c>
      <c r="L12" s="104" t="e">
        <f>+((I12/J12)-1)*100</f>
        <v>#DIV/0!</v>
      </c>
      <c r="M12" s="52">
        <f>((B12/G12)-1)*100</f>
        <v>-80.4032489988399</v>
      </c>
      <c r="O12" s="260"/>
    </row>
    <row r="13" spans="1:15" ht="13.5" thickBot="1">
      <c r="A13" s="12" t="s">
        <v>78</v>
      </c>
      <c r="B13" s="65">
        <f aca="true" t="shared" si="0" ref="B13:J13">B14+B29+B33+B53</f>
        <v>473758943.24404997</v>
      </c>
      <c r="C13" s="65">
        <f t="shared" si="0"/>
        <v>459400671.23</v>
      </c>
      <c r="D13" s="65">
        <f t="shared" si="0"/>
        <v>258499190.74</v>
      </c>
      <c r="E13" s="65">
        <f t="shared" si="0"/>
        <v>717899861.97</v>
      </c>
      <c r="F13" s="53"/>
      <c r="G13" s="65">
        <f t="shared" si="0"/>
        <v>449060609.71000004</v>
      </c>
      <c r="H13" s="84">
        <f>((G13*100)/E13)</f>
        <v>62.55198440597633</v>
      </c>
      <c r="I13" s="65">
        <f t="shared" si="0"/>
        <v>0</v>
      </c>
      <c r="J13" s="65">
        <f t="shared" si="0"/>
        <v>0</v>
      </c>
      <c r="K13" s="66" t="e">
        <f>+((G13/I13)-1)*100</f>
        <v>#DIV/0!</v>
      </c>
      <c r="L13" s="66" t="e">
        <f>+((I13/J13)-1)*100</f>
        <v>#DIV/0!</v>
      </c>
      <c r="M13" s="55">
        <f>((B13/G13)-1)*100</f>
        <v>5.499999999999994</v>
      </c>
      <c r="O13" s="261"/>
    </row>
    <row r="14" spans="1:15" ht="12.75">
      <c r="A14" s="127" t="s">
        <v>79</v>
      </c>
      <c r="B14" s="133">
        <f aca="true" t="shared" si="1" ref="B14:G14">+B15+B16+B22</f>
        <v>327834080.96905</v>
      </c>
      <c r="C14" s="133">
        <f t="shared" si="1"/>
        <v>322194163.14</v>
      </c>
      <c r="D14" s="133">
        <f t="shared" si="1"/>
        <v>-1170920.2599999998</v>
      </c>
      <c r="E14" s="133">
        <f t="shared" si="1"/>
        <v>321023242.88</v>
      </c>
      <c r="F14" s="133">
        <f t="shared" si="1"/>
        <v>310743204.71000004</v>
      </c>
      <c r="G14" s="133">
        <f t="shared" si="1"/>
        <v>310743204.71000004</v>
      </c>
      <c r="H14" s="180">
        <f>((G14*100)/E14)</f>
        <v>96.79772776644629</v>
      </c>
      <c r="I14" s="133">
        <f>+I15+I16+I22</f>
        <v>0</v>
      </c>
      <c r="J14" s="133">
        <f>+J15+J16+J22</f>
        <v>0</v>
      </c>
      <c r="K14" s="181" t="e">
        <f>+((G14/I14)-1)*100</f>
        <v>#DIV/0!</v>
      </c>
      <c r="L14" s="181" t="e">
        <f>+((I14/J14)-1)*100</f>
        <v>#DIV/0!</v>
      </c>
      <c r="M14" s="177">
        <f>((B14/G14)-1)*100</f>
        <v>5.499999999999994</v>
      </c>
      <c r="O14" s="76"/>
    </row>
    <row r="15" spans="1:15" ht="12.75">
      <c r="A15" s="5" t="s">
        <v>80</v>
      </c>
      <c r="B15" s="38">
        <f>+G15*O16</f>
        <v>238275796.4525</v>
      </c>
      <c r="C15" s="38">
        <f>+'[2]DICIEMBRE'!$C$75+'[2]DICIEMBRE'!$C$76+'[2]DICIEMBRE'!$C$77+'[2]DICIEMBRE'!$C$78+'[2]DICIEMBRE'!$C$81+'[2]DICIEMBRE'!$C$82+'[2]DICIEMBRE'!$C$83+'[2]DICIEMBRE'!$C$84+'[2]DICIEMBRE'!$C$86+'[2]DICIEMBRE'!$C$98+'[2]DICIEMBRE'!$C$99</f>
        <v>233162329.32999998</v>
      </c>
      <c r="D15" s="38">
        <f>+'[2]DICIEMBRE'!$D$80+'[2]DICIEMBRE'!$D$81+'[2]DICIEMBRE'!$D$85-'[2]DICIEMBRE'!$E$75-'[2]DICIEMBRE'!$E$82+'[2]DICIEMBRE'!$D$98+'[2]DICIEMBRE'!$D$99</f>
        <v>-2898806.26</v>
      </c>
      <c r="E15" s="59">
        <f>+C15+D15</f>
        <v>230263523.07</v>
      </c>
      <c r="F15" s="38">
        <f>+'[2]DICIEMBRE'!$I$75+'[2]DICIEMBRE'!$I$76+'[2]DICIEMBRE'!$I$77+'[2]DICIEMBRE'!$I$78+'[2]DICIEMBRE'!$I$81+'[2]DICIEMBRE'!$I$83+'[2]DICIEMBRE'!$I$84+'[2]DICIEMBRE'!$I$85+'[2]DICIEMBRE'!$I$86+'[2]DICIEMBRE'!$I$98+'[2]DICIEMBRE'!$I$99+'[2]DICIEMBRE'!$H$80</f>
        <v>225853835.5</v>
      </c>
      <c r="G15" s="70">
        <f>+F15</f>
        <v>225853835.5</v>
      </c>
      <c r="H15" s="85">
        <f aca="true" t="shared" si="2" ref="H15:H80">((G15*100)/E15)</f>
        <v>98.08493872098906</v>
      </c>
      <c r="I15" s="38"/>
      <c r="J15" s="38"/>
      <c r="K15" s="95" t="e">
        <f>+((G15/I15)-1)*100</f>
        <v>#DIV/0!</v>
      </c>
      <c r="L15" s="95" t="e">
        <f>+((I15/J15)-1)*100</f>
        <v>#DIV/0!</v>
      </c>
      <c r="M15" s="112">
        <f>((B15/G15)-1)*100</f>
        <v>5.499999999999994</v>
      </c>
      <c r="O15" s="191"/>
    </row>
    <row r="16" spans="1:15" ht="12.75">
      <c r="A16" s="128" t="s">
        <v>81</v>
      </c>
      <c r="B16" s="92">
        <f>SUM(B17:B21)</f>
        <v>11984251.4</v>
      </c>
      <c r="C16" s="92">
        <f aca="true" t="shared" si="3" ref="C16:J16">SUM(C17:C21)</f>
        <v>12000000</v>
      </c>
      <c r="D16" s="92">
        <f t="shared" si="3"/>
        <v>0</v>
      </c>
      <c r="E16" s="92">
        <f t="shared" si="3"/>
        <v>12000000</v>
      </c>
      <c r="F16" s="92">
        <f t="shared" si="3"/>
        <v>11359480</v>
      </c>
      <c r="G16" s="92">
        <f>SUM(G17:G21)</f>
        <v>11359480</v>
      </c>
      <c r="H16" s="86">
        <f t="shared" si="2"/>
        <v>94.66233333333334</v>
      </c>
      <c r="I16" s="92">
        <f t="shared" si="3"/>
        <v>0</v>
      </c>
      <c r="J16" s="92">
        <f t="shared" si="3"/>
        <v>0</v>
      </c>
      <c r="K16" s="101" t="e">
        <f aca="true" t="shared" si="4" ref="K16:K80">+((G16/I16)-1)*100</f>
        <v>#DIV/0!</v>
      </c>
      <c r="L16" s="101" t="e">
        <f aca="true" t="shared" si="5" ref="L16:L80">+((I16/J16)-1)*100</f>
        <v>#DIV/0!</v>
      </c>
      <c r="M16" s="178">
        <f aca="true" t="shared" si="6" ref="M16:M80">((B16/G16)-1)*100</f>
        <v>5.499999999999994</v>
      </c>
      <c r="O16" s="37">
        <f>1+(0.055)</f>
        <v>1.055</v>
      </c>
    </row>
    <row r="17" spans="1:15" ht="12.75">
      <c r="A17" s="6" t="s">
        <v>82</v>
      </c>
      <c r="B17" s="38">
        <f>+G17*O18</f>
        <v>0</v>
      </c>
      <c r="C17" s="38">
        <v>0</v>
      </c>
      <c r="D17" s="38"/>
      <c r="E17" s="59">
        <f>+C17+D17</f>
        <v>0</v>
      </c>
      <c r="F17" s="38"/>
      <c r="G17" s="70"/>
      <c r="H17" s="85" t="e">
        <f t="shared" si="2"/>
        <v>#DIV/0!</v>
      </c>
      <c r="I17" s="38"/>
      <c r="J17" s="38"/>
      <c r="K17" s="95" t="e">
        <f t="shared" si="4"/>
        <v>#DIV/0!</v>
      </c>
      <c r="L17" s="95" t="e">
        <f t="shared" si="5"/>
        <v>#DIV/0!</v>
      </c>
      <c r="M17" s="112" t="e">
        <f t="shared" si="6"/>
        <v>#DIV/0!</v>
      </c>
      <c r="O17" s="191"/>
    </row>
    <row r="18" spans="1:15" ht="12.75">
      <c r="A18" s="6" t="s">
        <v>83</v>
      </c>
      <c r="B18" s="38">
        <f>+G18*O19</f>
        <v>0</v>
      </c>
      <c r="C18" s="38">
        <v>0</v>
      </c>
      <c r="D18" s="38"/>
      <c r="E18" s="59">
        <f>+C18+D18</f>
        <v>0</v>
      </c>
      <c r="F18" s="38"/>
      <c r="G18" s="70"/>
      <c r="H18" s="85" t="e">
        <f t="shared" si="2"/>
        <v>#DIV/0!</v>
      </c>
      <c r="I18" s="38"/>
      <c r="J18" s="38"/>
      <c r="K18" s="95" t="e">
        <f t="shared" si="4"/>
        <v>#DIV/0!</v>
      </c>
      <c r="L18" s="95" t="e">
        <f t="shared" si="5"/>
        <v>#DIV/0!</v>
      </c>
      <c r="M18" s="112" t="e">
        <f t="shared" si="6"/>
        <v>#DIV/0!</v>
      </c>
      <c r="O18" s="37">
        <f>1+(0.055)</f>
        <v>1.055</v>
      </c>
    </row>
    <row r="19" spans="1:15" ht="12.75">
      <c r="A19" s="6" t="s">
        <v>84</v>
      </c>
      <c r="B19" s="38">
        <f>+G19*O20</f>
        <v>0</v>
      </c>
      <c r="C19" s="38">
        <v>0</v>
      </c>
      <c r="D19" s="38"/>
      <c r="E19" s="59">
        <f>+C19+D19</f>
        <v>0</v>
      </c>
      <c r="F19" s="38"/>
      <c r="G19" s="70"/>
      <c r="H19" s="85" t="e">
        <f t="shared" si="2"/>
        <v>#DIV/0!</v>
      </c>
      <c r="I19" s="38"/>
      <c r="J19" s="38"/>
      <c r="K19" s="95" t="e">
        <f t="shared" si="4"/>
        <v>#DIV/0!</v>
      </c>
      <c r="L19" s="95" t="e">
        <f t="shared" si="5"/>
        <v>#DIV/0!</v>
      </c>
      <c r="M19" s="112" t="e">
        <f t="shared" si="6"/>
        <v>#DIV/0!</v>
      </c>
      <c r="O19" s="37">
        <f>1+(0.055)</f>
        <v>1.055</v>
      </c>
    </row>
    <row r="20" spans="1:15" ht="12.75">
      <c r="A20" s="6" t="s">
        <v>85</v>
      </c>
      <c r="B20" s="38">
        <f>+G20*O21</f>
        <v>8440000</v>
      </c>
      <c r="C20" s="38">
        <v>8000000</v>
      </c>
      <c r="D20" s="38"/>
      <c r="E20" s="59">
        <f>+C20+D20</f>
        <v>8000000</v>
      </c>
      <c r="F20" s="38">
        <v>8000000</v>
      </c>
      <c r="G20" s="70">
        <v>8000000</v>
      </c>
      <c r="H20" s="85">
        <f t="shared" si="2"/>
        <v>100</v>
      </c>
      <c r="I20" s="38"/>
      <c r="J20" s="38"/>
      <c r="K20" s="95" t="e">
        <f t="shared" si="4"/>
        <v>#DIV/0!</v>
      </c>
      <c r="L20" s="95" t="e">
        <f t="shared" si="5"/>
        <v>#DIV/0!</v>
      </c>
      <c r="M20" s="112">
        <f t="shared" si="6"/>
        <v>5.499999999999994</v>
      </c>
      <c r="O20" s="37">
        <f>1+(0.055)</f>
        <v>1.055</v>
      </c>
    </row>
    <row r="21" spans="1:15" ht="12.75">
      <c r="A21" s="6" t="s">
        <v>86</v>
      </c>
      <c r="B21" s="38">
        <f>+G21*O22</f>
        <v>3544251.4</v>
      </c>
      <c r="C21" s="97">
        <v>4000000</v>
      </c>
      <c r="D21" s="38">
        <v>0</v>
      </c>
      <c r="E21" s="59">
        <f>+C21+D21</f>
        <v>4000000</v>
      </c>
      <c r="F21" s="38">
        <v>3359480</v>
      </c>
      <c r="G21" s="70">
        <f>+F21</f>
        <v>3359480</v>
      </c>
      <c r="H21" s="85">
        <f t="shared" si="2"/>
        <v>83.987</v>
      </c>
      <c r="I21" s="38"/>
      <c r="J21" s="38"/>
      <c r="K21" s="95" t="e">
        <f t="shared" si="4"/>
        <v>#DIV/0!</v>
      </c>
      <c r="L21" s="95" t="e">
        <f t="shared" si="5"/>
        <v>#DIV/0!</v>
      </c>
      <c r="M21" s="112">
        <f t="shared" si="6"/>
        <v>5.499999999999994</v>
      </c>
      <c r="O21" s="37">
        <f>1+(0.055)</f>
        <v>1.055</v>
      </c>
    </row>
    <row r="22" spans="1:15" ht="12.75">
      <c r="A22" s="128" t="s">
        <v>87</v>
      </c>
      <c r="B22" s="92">
        <f aca="true" t="shared" si="7" ref="B22:G22">+B23+B26</f>
        <v>77574033.11655</v>
      </c>
      <c r="C22" s="92">
        <f t="shared" si="7"/>
        <v>77031833.81</v>
      </c>
      <c r="D22" s="92">
        <f t="shared" si="7"/>
        <v>1727886</v>
      </c>
      <c r="E22" s="92">
        <f t="shared" si="7"/>
        <v>78759719.81</v>
      </c>
      <c r="F22" s="92">
        <f t="shared" si="7"/>
        <v>73529889.21000001</v>
      </c>
      <c r="G22" s="92">
        <f t="shared" si="7"/>
        <v>73529889.21000001</v>
      </c>
      <c r="H22" s="86">
        <f t="shared" si="2"/>
        <v>93.35976484855908</v>
      </c>
      <c r="I22" s="92">
        <f>+I23+I26</f>
        <v>0</v>
      </c>
      <c r="J22" s="92">
        <f>+J23+J26</f>
        <v>0</v>
      </c>
      <c r="K22" s="101" t="e">
        <f t="shared" si="4"/>
        <v>#DIV/0!</v>
      </c>
      <c r="L22" s="101" t="e">
        <f t="shared" si="5"/>
        <v>#DIV/0!</v>
      </c>
      <c r="M22" s="178">
        <f t="shared" si="6"/>
        <v>5.499999999999994</v>
      </c>
      <c r="O22" s="37">
        <f>1+(0.055)</f>
        <v>1.055</v>
      </c>
    </row>
    <row r="23" spans="1:15" ht="12.75">
      <c r="A23" s="128" t="s">
        <v>88</v>
      </c>
      <c r="B23" s="92">
        <f>SUM(B24:B25)</f>
        <v>20779226.195</v>
      </c>
      <c r="C23" s="92">
        <f>SUM(C24:C25)</f>
        <v>22197607.27</v>
      </c>
      <c r="D23" s="92">
        <f aca="true" t="shared" si="8" ref="D23:J23">SUM(D24:D25)</f>
        <v>0</v>
      </c>
      <c r="E23" s="92">
        <f t="shared" si="8"/>
        <v>22197607.27</v>
      </c>
      <c r="F23" s="92">
        <f t="shared" si="8"/>
        <v>19695949</v>
      </c>
      <c r="G23" s="92">
        <f>SUM(G24:G25)</f>
        <v>19695949</v>
      </c>
      <c r="H23" s="86">
        <f t="shared" si="2"/>
        <v>88.73005437220712</v>
      </c>
      <c r="I23" s="92">
        <f t="shared" si="8"/>
        <v>0</v>
      </c>
      <c r="J23" s="92">
        <f t="shared" si="8"/>
        <v>0</v>
      </c>
      <c r="K23" s="101" t="e">
        <f t="shared" si="4"/>
        <v>#DIV/0!</v>
      </c>
      <c r="L23" s="101" t="e">
        <f t="shared" si="5"/>
        <v>#DIV/0!</v>
      </c>
      <c r="M23" s="178">
        <f t="shared" si="6"/>
        <v>5.499999999999994</v>
      </c>
      <c r="O23" s="191"/>
    </row>
    <row r="24" spans="1:15" ht="12.75">
      <c r="A24" s="6" t="s">
        <v>89</v>
      </c>
      <c r="B24" s="38">
        <f>+G24*O25</f>
        <v>4420359.27</v>
      </c>
      <c r="C24" s="38">
        <v>4728346.57</v>
      </c>
      <c r="D24" s="38"/>
      <c r="E24" s="59">
        <f>+C24+D24</f>
        <v>4728346.57</v>
      </c>
      <c r="F24" s="38">
        <v>4189914</v>
      </c>
      <c r="G24" s="70">
        <f>+F24</f>
        <v>4189914</v>
      </c>
      <c r="H24" s="85">
        <f t="shared" si="2"/>
        <v>88.61266698561818</v>
      </c>
      <c r="I24" s="38"/>
      <c r="J24" s="38"/>
      <c r="K24" s="95" t="e">
        <f t="shared" si="4"/>
        <v>#DIV/0!</v>
      </c>
      <c r="L24" s="95" t="e">
        <f t="shared" si="5"/>
        <v>#DIV/0!</v>
      </c>
      <c r="M24" s="112">
        <f t="shared" si="6"/>
        <v>5.499999999999994</v>
      </c>
      <c r="O24" s="191"/>
    </row>
    <row r="25" spans="1:15" ht="12.75">
      <c r="A25" s="6" t="s">
        <v>90</v>
      </c>
      <c r="B25" s="38">
        <f>+G25*O26</f>
        <v>16358866.924999999</v>
      </c>
      <c r="C25" s="38">
        <v>17469260.7</v>
      </c>
      <c r="D25" s="38"/>
      <c r="E25" s="59">
        <f>+C25+D25</f>
        <v>17469260.7</v>
      </c>
      <c r="F25" s="38">
        <f>5159991+6897362+862171+862171+1724340</f>
        <v>15506035</v>
      </c>
      <c r="G25" s="70">
        <f>+F25</f>
        <v>15506035</v>
      </c>
      <c r="H25" s="85">
        <f t="shared" si="2"/>
        <v>88.76182722489224</v>
      </c>
      <c r="I25" s="38"/>
      <c r="J25" s="38"/>
      <c r="K25" s="95" t="e">
        <f t="shared" si="4"/>
        <v>#DIV/0!</v>
      </c>
      <c r="L25" s="95" t="e">
        <f t="shared" si="5"/>
        <v>#DIV/0!</v>
      </c>
      <c r="M25" s="112">
        <f t="shared" si="6"/>
        <v>5.499999999999994</v>
      </c>
      <c r="O25" s="37">
        <f>1+(0.055)</f>
        <v>1.055</v>
      </c>
    </row>
    <row r="26" spans="1:15" ht="12.75">
      <c r="A26" s="128" t="s">
        <v>91</v>
      </c>
      <c r="B26" s="92">
        <f>SUM(B27:B28)</f>
        <v>56794806.92155</v>
      </c>
      <c r="C26" s="92">
        <f>SUM(C27:C28)</f>
        <v>54834226.54000001</v>
      </c>
      <c r="D26" s="92">
        <f aca="true" t="shared" si="9" ref="D26:J26">SUM(D27:D28)</f>
        <v>1727886</v>
      </c>
      <c r="E26" s="92">
        <f t="shared" si="9"/>
        <v>56562112.54000001</v>
      </c>
      <c r="F26" s="92">
        <f t="shared" si="9"/>
        <v>53833940.21</v>
      </c>
      <c r="G26" s="92">
        <f>SUM(G27:G28)</f>
        <v>53833940.21</v>
      </c>
      <c r="H26" s="86">
        <f t="shared" si="2"/>
        <v>95.17667886242637</v>
      </c>
      <c r="I26" s="92">
        <f t="shared" si="9"/>
        <v>0</v>
      </c>
      <c r="J26" s="92">
        <f t="shared" si="9"/>
        <v>0</v>
      </c>
      <c r="K26" s="101" t="e">
        <f t="shared" si="4"/>
        <v>#DIV/0!</v>
      </c>
      <c r="L26" s="101" t="e">
        <f t="shared" si="5"/>
        <v>#DIV/0!</v>
      </c>
      <c r="M26" s="178">
        <f t="shared" si="6"/>
        <v>5.499999999999994</v>
      </c>
      <c r="O26" s="37">
        <f>1+(0.055)</f>
        <v>1.055</v>
      </c>
    </row>
    <row r="27" spans="1:15" ht="12.75">
      <c r="A27" s="6" t="s">
        <v>89</v>
      </c>
      <c r="B27" s="38">
        <f>+G27*O28</f>
        <v>56794806.92155</v>
      </c>
      <c r="C27" s="38">
        <f>+'[2]DICIEMBRE'!$C$87+'[2]DICIEMBRE'!$C$89+'[2]DICIEMBRE'!$C$92</f>
        <v>54834226.54000001</v>
      </c>
      <c r="D27" s="38">
        <f>+'[2]DICIEMBRE'!$D$87+'[2]DICIEMBRE'!$D$88</f>
        <v>1727886</v>
      </c>
      <c r="E27" s="59">
        <f>+C27+D27</f>
        <v>56562112.54000001</v>
      </c>
      <c r="F27" s="38">
        <f>+'[2]DICIEMBRE'!$I$87+'[2]DICIEMBRE'!$I$88+'[2]DICIEMBRE'!$I$89+'[2]DICIEMBRE'!$I$92</f>
        <v>53833940.21</v>
      </c>
      <c r="G27" s="70">
        <f>+F27</f>
        <v>53833940.21</v>
      </c>
      <c r="H27" s="85">
        <f t="shared" si="2"/>
        <v>95.17667886242637</v>
      </c>
      <c r="I27" s="81"/>
      <c r="J27" s="81"/>
      <c r="K27" s="95" t="e">
        <f t="shared" si="4"/>
        <v>#DIV/0!</v>
      </c>
      <c r="L27" s="95" t="e">
        <f t="shared" si="5"/>
        <v>#DIV/0!</v>
      </c>
      <c r="M27" s="112">
        <f t="shared" si="6"/>
        <v>5.499999999999994</v>
      </c>
      <c r="O27" s="191"/>
    </row>
    <row r="28" spans="1:15" ht="12.75">
      <c r="A28" s="6" t="s">
        <v>90</v>
      </c>
      <c r="B28" s="38">
        <f>+G28*O29</f>
        <v>0</v>
      </c>
      <c r="C28" s="38">
        <v>0</v>
      </c>
      <c r="D28" s="38">
        <v>0</v>
      </c>
      <c r="E28" s="59">
        <f>+C28+D28</f>
        <v>0</v>
      </c>
      <c r="F28" s="38">
        <v>0</v>
      </c>
      <c r="G28" s="70">
        <v>0</v>
      </c>
      <c r="H28" s="85" t="e">
        <f t="shared" si="2"/>
        <v>#DIV/0!</v>
      </c>
      <c r="I28" s="38"/>
      <c r="J28" s="38"/>
      <c r="K28" s="95" t="e">
        <f t="shared" si="4"/>
        <v>#DIV/0!</v>
      </c>
      <c r="L28" s="95" t="e">
        <f t="shared" si="5"/>
        <v>#DIV/0!</v>
      </c>
      <c r="M28" s="112" t="e">
        <f t="shared" si="6"/>
        <v>#DIV/0!</v>
      </c>
      <c r="O28" s="37">
        <f aca="true" t="shared" si="10" ref="O28:O33">1+(0.055)</f>
        <v>1.055</v>
      </c>
    </row>
    <row r="29" spans="1:15" ht="12.75">
      <c r="A29" s="127" t="s">
        <v>92</v>
      </c>
      <c r="B29" s="137">
        <f>SUM(B30:B32)</f>
        <v>69722397.955</v>
      </c>
      <c r="C29" s="137">
        <f aca="true" t="shared" si="11" ref="C29:J29">SUM(C30:C32)</f>
        <v>51148443</v>
      </c>
      <c r="D29" s="137">
        <f t="shared" si="11"/>
        <v>18000000</v>
      </c>
      <c r="E29" s="137">
        <f t="shared" si="11"/>
        <v>69148443</v>
      </c>
      <c r="F29" s="137">
        <f t="shared" si="11"/>
        <v>66087581</v>
      </c>
      <c r="G29" s="137">
        <f>SUM(G30:G32)</f>
        <v>66087581</v>
      </c>
      <c r="H29" s="185">
        <f t="shared" si="2"/>
        <v>95.5734910762922</v>
      </c>
      <c r="I29" s="137">
        <f t="shared" si="11"/>
        <v>0</v>
      </c>
      <c r="J29" s="137">
        <f t="shared" si="11"/>
        <v>0</v>
      </c>
      <c r="K29" s="141" t="e">
        <f t="shared" si="4"/>
        <v>#DIV/0!</v>
      </c>
      <c r="L29" s="141" t="e">
        <f t="shared" si="5"/>
        <v>#DIV/0!</v>
      </c>
      <c r="M29" s="177">
        <f t="shared" si="6"/>
        <v>5.499999999999994</v>
      </c>
      <c r="O29" s="37">
        <f t="shared" si="10"/>
        <v>1.055</v>
      </c>
    </row>
    <row r="30" spans="1:15" ht="12.75">
      <c r="A30" s="6" t="s">
        <v>93</v>
      </c>
      <c r="B30" s="38">
        <f>+G30*O31</f>
        <v>12359087.625</v>
      </c>
      <c r="C30" s="38">
        <v>14200000</v>
      </c>
      <c r="D30" s="38"/>
      <c r="E30" s="59">
        <f>+C30+D30</f>
        <v>14200000</v>
      </c>
      <c r="F30" s="38">
        <v>11714775</v>
      </c>
      <c r="G30" s="70">
        <f>+F30</f>
        <v>11714775</v>
      </c>
      <c r="H30" s="85">
        <f t="shared" si="2"/>
        <v>82.49841549295775</v>
      </c>
      <c r="I30" s="38"/>
      <c r="J30" s="38"/>
      <c r="K30" s="95" t="e">
        <f t="shared" si="4"/>
        <v>#DIV/0!</v>
      </c>
      <c r="L30" s="95" t="e">
        <f t="shared" si="5"/>
        <v>#DIV/0!</v>
      </c>
      <c r="M30" s="112">
        <f t="shared" si="6"/>
        <v>5.499999999999994</v>
      </c>
      <c r="O30" s="195"/>
    </row>
    <row r="31" spans="1:15" ht="12.75">
      <c r="A31" s="6" t="s">
        <v>94</v>
      </c>
      <c r="B31" s="38">
        <f>+G31*O32</f>
        <v>54670000.83</v>
      </c>
      <c r="C31" s="38">
        <v>33948443</v>
      </c>
      <c r="D31" s="38">
        <f>19500000-1500000</f>
        <v>18000000</v>
      </c>
      <c r="E31" s="59">
        <f>+C31+D31</f>
        <v>51948443</v>
      </c>
      <c r="F31" s="38">
        <f>51229906+590000</f>
        <v>51819906</v>
      </c>
      <c r="G31" s="70">
        <f>+F31</f>
        <v>51819906</v>
      </c>
      <c r="H31" s="85">
        <f t="shared" si="2"/>
        <v>99.75256813760521</v>
      </c>
      <c r="I31" s="38"/>
      <c r="J31" s="38"/>
      <c r="K31" s="95" t="e">
        <f t="shared" si="4"/>
        <v>#DIV/0!</v>
      </c>
      <c r="L31" s="95" t="e">
        <f t="shared" si="5"/>
        <v>#DIV/0!</v>
      </c>
      <c r="M31" s="112">
        <f t="shared" si="6"/>
        <v>5.499999999999994</v>
      </c>
      <c r="O31" s="37">
        <f t="shared" si="10"/>
        <v>1.055</v>
      </c>
    </row>
    <row r="32" spans="1:15" ht="12.75">
      <c r="A32" s="6" t="s">
        <v>95</v>
      </c>
      <c r="B32" s="38">
        <f>+G32*O33</f>
        <v>2693309.5</v>
      </c>
      <c r="C32" s="38">
        <v>3000000</v>
      </c>
      <c r="D32" s="38"/>
      <c r="E32" s="59">
        <f>+C32+D32</f>
        <v>3000000</v>
      </c>
      <c r="F32" s="38">
        <v>2552900</v>
      </c>
      <c r="G32" s="70">
        <f>+F32</f>
        <v>2552900</v>
      </c>
      <c r="H32" s="85">
        <f t="shared" si="2"/>
        <v>85.09666666666666</v>
      </c>
      <c r="I32" s="38"/>
      <c r="J32" s="38"/>
      <c r="K32" s="95" t="e">
        <f t="shared" si="4"/>
        <v>#DIV/0!</v>
      </c>
      <c r="L32" s="95" t="e">
        <f t="shared" si="5"/>
        <v>#DIV/0!</v>
      </c>
      <c r="M32" s="112">
        <f t="shared" si="6"/>
        <v>5.499999999999994</v>
      </c>
      <c r="O32" s="37">
        <f t="shared" si="10"/>
        <v>1.055</v>
      </c>
    </row>
    <row r="33" spans="1:15" ht="12.75">
      <c r="A33" s="127" t="s">
        <v>96</v>
      </c>
      <c r="B33" s="137">
        <f>B34+B44+B50+B51+B52</f>
        <v>76202464.32</v>
      </c>
      <c r="C33" s="137">
        <f aca="true" t="shared" si="12" ref="C33:J33">C34+C44+C50+C51+C52</f>
        <v>86058065.09</v>
      </c>
      <c r="D33" s="137">
        <f t="shared" si="12"/>
        <v>241670111</v>
      </c>
      <c r="E33" s="137">
        <f t="shared" si="12"/>
        <v>327728176.09000003</v>
      </c>
      <c r="F33" s="137">
        <f t="shared" si="12"/>
        <v>72229824</v>
      </c>
      <c r="G33" s="137">
        <f>G34+G44+G50+G51+G52</f>
        <v>72229824</v>
      </c>
      <c r="H33" s="185">
        <f t="shared" si="2"/>
        <v>22.039552674947423</v>
      </c>
      <c r="I33" s="137">
        <f t="shared" si="12"/>
        <v>0</v>
      </c>
      <c r="J33" s="137">
        <f t="shared" si="12"/>
        <v>0</v>
      </c>
      <c r="K33" s="141" t="e">
        <f t="shared" si="4"/>
        <v>#DIV/0!</v>
      </c>
      <c r="L33" s="141" t="e">
        <f t="shared" si="5"/>
        <v>#DIV/0!</v>
      </c>
      <c r="M33" s="177">
        <f t="shared" si="6"/>
        <v>5.499999999999994</v>
      </c>
      <c r="O33" s="37">
        <f t="shared" si="10"/>
        <v>1.055</v>
      </c>
    </row>
    <row r="34" spans="1:15" ht="12.75">
      <c r="A34" s="128" t="s">
        <v>97</v>
      </c>
      <c r="B34" s="92">
        <f aca="true" t="shared" si="13" ref="B34:G34">+B35+B39</f>
        <v>39235065.98</v>
      </c>
      <c r="C34" s="92">
        <f t="shared" si="13"/>
        <v>38708065.09</v>
      </c>
      <c r="D34" s="92">
        <f t="shared" si="13"/>
        <v>3684264</v>
      </c>
      <c r="E34" s="92">
        <f t="shared" si="13"/>
        <v>42392329.09</v>
      </c>
      <c r="F34" s="92">
        <f t="shared" si="13"/>
        <v>37189636</v>
      </c>
      <c r="G34" s="92">
        <f t="shared" si="13"/>
        <v>37189636</v>
      </c>
      <c r="H34" s="86">
        <f t="shared" si="2"/>
        <v>87.72727707658017</v>
      </c>
      <c r="I34" s="92">
        <f>+I35+I39</f>
        <v>0</v>
      </c>
      <c r="J34" s="92">
        <f>+J35+J39</f>
        <v>0</v>
      </c>
      <c r="K34" s="101" t="e">
        <f t="shared" si="4"/>
        <v>#DIV/0!</v>
      </c>
      <c r="L34" s="101" t="e">
        <f t="shared" si="5"/>
        <v>#DIV/0!</v>
      </c>
      <c r="M34" s="178">
        <f t="shared" si="6"/>
        <v>5.499999999999994</v>
      </c>
      <c r="O34" s="191"/>
    </row>
    <row r="35" spans="1:15" ht="12.75">
      <c r="A35" s="128" t="s">
        <v>98</v>
      </c>
      <c r="B35" s="92">
        <f>SUM(B36:B38)</f>
        <v>29543308.479999997</v>
      </c>
      <c r="C35" s="92">
        <f aca="true" t="shared" si="14" ref="C35:J35">SUM(C36:C38)</f>
        <v>26897260.27</v>
      </c>
      <c r="D35" s="92">
        <f t="shared" si="14"/>
        <v>1110543</v>
      </c>
      <c r="E35" s="92">
        <f t="shared" si="14"/>
        <v>28007803.27</v>
      </c>
      <c r="F35" s="92">
        <f t="shared" si="14"/>
        <v>28003136</v>
      </c>
      <c r="G35" s="92">
        <f>SUM(G36:G38)</f>
        <v>28003136</v>
      </c>
      <c r="H35" s="86">
        <f t="shared" si="2"/>
        <v>99.98333582268125</v>
      </c>
      <c r="I35" s="92">
        <f t="shared" si="14"/>
        <v>0</v>
      </c>
      <c r="J35" s="92">
        <f t="shared" si="14"/>
        <v>0</v>
      </c>
      <c r="K35" s="101" t="e">
        <f t="shared" si="4"/>
        <v>#DIV/0!</v>
      </c>
      <c r="L35" s="101" t="e">
        <f t="shared" si="5"/>
        <v>#DIV/0!</v>
      </c>
      <c r="M35" s="178">
        <f t="shared" si="6"/>
        <v>5.499999999999994</v>
      </c>
      <c r="O35" s="191"/>
    </row>
    <row r="36" spans="1:15" ht="12.75">
      <c r="A36" s="27" t="s">
        <v>99</v>
      </c>
      <c r="B36" s="38">
        <f>+G36*O37</f>
        <v>0</v>
      </c>
      <c r="C36" s="38">
        <v>0</v>
      </c>
      <c r="D36" s="38">
        <v>0</v>
      </c>
      <c r="E36" s="59">
        <f>+C36+D36</f>
        <v>0</v>
      </c>
      <c r="F36" s="38">
        <v>0</v>
      </c>
      <c r="G36" s="70">
        <v>0</v>
      </c>
      <c r="H36" s="85" t="e">
        <f t="shared" si="2"/>
        <v>#DIV/0!</v>
      </c>
      <c r="I36" s="38"/>
      <c r="J36" s="38"/>
      <c r="K36" s="95" t="e">
        <f t="shared" si="4"/>
        <v>#DIV/0!</v>
      </c>
      <c r="L36" s="95" t="e">
        <f t="shared" si="5"/>
        <v>#DIV/0!</v>
      </c>
      <c r="M36" s="112" t="e">
        <f t="shared" si="6"/>
        <v>#DIV/0!</v>
      </c>
      <c r="O36" s="191"/>
    </row>
    <row r="37" spans="1:15" ht="12.75">
      <c r="A37" s="27" t="s">
        <v>100</v>
      </c>
      <c r="B37" s="38">
        <f>+G37*O38</f>
        <v>21108232.165</v>
      </c>
      <c r="C37" s="38">
        <f>+'[2]DICIEMBRE'!$C$125+'[2]DICIEMBRE'!$C$126</f>
        <v>18897260.27</v>
      </c>
      <c r="D37" s="38">
        <f>+'[2]DICIEMBRE'!$D$126</f>
        <v>1110543</v>
      </c>
      <c r="E37" s="59">
        <f>+C37+D37</f>
        <v>20007803.27</v>
      </c>
      <c r="F37" s="38">
        <f>+'[2]DICIEMBRE'!$I$125+'[2]DICIEMBRE'!$I$126</f>
        <v>20007803</v>
      </c>
      <c r="G37" s="70">
        <f>+F37</f>
        <v>20007803</v>
      </c>
      <c r="H37" s="85">
        <f t="shared" si="2"/>
        <v>99.99999865052652</v>
      </c>
      <c r="I37" s="38"/>
      <c r="J37" s="38"/>
      <c r="K37" s="95" t="e">
        <f t="shared" si="4"/>
        <v>#DIV/0!</v>
      </c>
      <c r="L37" s="95" t="e">
        <f t="shared" si="5"/>
        <v>#DIV/0!</v>
      </c>
      <c r="M37" s="112">
        <f t="shared" si="6"/>
        <v>5.499999999999994</v>
      </c>
      <c r="O37" s="37">
        <f>1+(0.055)</f>
        <v>1.055</v>
      </c>
    </row>
    <row r="38" spans="1:15" ht="12.75">
      <c r="A38" s="27" t="s">
        <v>101</v>
      </c>
      <c r="B38" s="38">
        <f>+G38*O39</f>
        <v>8435076.315</v>
      </c>
      <c r="C38" s="38">
        <f>+'[2]DICIEMBRE'!$C$127</f>
        <v>8000000</v>
      </c>
      <c r="D38" s="38"/>
      <c r="E38" s="59">
        <f>+C38+D38</f>
        <v>8000000</v>
      </c>
      <c r="F38" s="38">
        <f>+'[2]DICIEMBRE'!$I$127</f>
        <v>7995333</v>
      </c>
      <c r="G38" s="70">
        <f>+F38</f>
        <v>7995333</v>
      </c>
      <c r="H38" s="85">
        <f t="shared" si="2"/>
        <v>99.9416625</v>
      </c>
      <c r="I38" s="38"/>
      <c r="J38" s="38"/>
      <c r="K38" s="95" t="e">
        <f t="shared" si="4"/>
        <v>#DIV/0!</v>
      </c>
      <c r="L38" s="95" t="e">
        <f t="shared" si="5"/>
        <v>#DIV/0!</v>
      </c>
      <c r="M38" s="112">
        <f t="shared" si="6"/>
        <v>5.499999999999994</v>
      </c>
      <c r="O38" s="37">
        <f>1+(0.055)</f>
        <v>1.055</v>
      </c>
    </row>
    <row r="39" spans="1:15" ht="12.75">
      <c r="A39" s="128" t="s">
        <v>102</v>
      </c>
      <c r="B39" s="92">
        <f>SUM(B40:B43)</f>
        <v>9691757.5</v>
      </c>
      <c r="C39" s="92">
        <f aca="true" t="shared" si="15" ref="C39:J39">SUM(C40:C43)</f>
        <v>11810804.82</v>
      </c>
      <c r="D39" s="92">
        <f t="shared" si="15"/>
        <v>2573721</v>
      </c>
      <c r="E39" s="92">
        <f t="shared" si="15"/>
        <v>14384525.82</v>
      </c>
      <c r="F39" s="92">
        <f t="shared" si="15"/>
        <v>9186500</v>
      </c>
      <c r="G39" s="92">
        <f>SUM(G40:G43)</f>
        <v>9186500</v>
      </c>
      <c r="H39" s="86">
        <f t="shared" si="2"/>
        <v>63.863766626406594</v>
      </c>
      <c r="I39" s="92">
        <f t="shared" si="15"/>
        <v>0</v>
      </c>
      <c r="J39" s="92">
        <f t="shared" si="15"/>
        <v>0</v>
      </c>
      <c r="K39" s="101" t="e">
        <f t="shared" si="4"/>
        <v>#DIV/0!</v>
      </c>
      <c r="L39" s="101" t="e">
        <f t="shared" si="5"/>
        <v>#DIV/0!</v>
      </c>
      <c r="M39" s="178">
        <f t="shared" si="6"/>
        <v>5.499999999999994</v>
      </c>
      <c r="O39" s="37">
        <f>1+(0.055)</f>
        <v>1.055</v>
      </c>
    </row>
    <row r="40" spans="1:15" ht="12.75">
      <c r="A40" s="27" t="s">
        <v>103</v>
      </c>
      <c r="B40" s="38">
        <f>+G40*O41</f>
        <v>0</v>
      </c>
      <c r="C40" s="38">
        <f>+'[2]DICIEMBRE'!$C$137</f>
        <v>1650000</v>
      </c>
      <c r="D40" s="38">
        <f>+'[2]DICIEMBRE'!$D$137</f>
        <v>3548025</v>
      </c>
      <c r="E40" s="59">
        <f>+C40+D40</f>
        <v>5198025</v>
      </c>
      <c r="F40" s="38">
        <v>0</v>
      </c>
      <c r="G40" s="70"/>
      <c r="H40" s="85">
        <f t="shared" si="2"/>
        <v>0</v>
      </c>
      <c r="I40" s="38"/>
      <c r="J40" s="38"/>
      <c r="K40" s="95" t="e">
        <f t="shared" si="4"/>
        <v>#DIV/0!</v>
      </c>
      <c r="L40" s="95" t="e">
        <f t="shared" si="5"/>
        <v>#DIV/0!</v>
      </c>
      <c r="M40" s="112" t="e">
        <f t="shared" si="6"/>
        <v>#DIV/0!</v>
      </c>
      <c r="O40" s="191"/>
    </row>
    <row r="41" spans="1:15" ht="12.75">
      <c r="A41" s="27" t="s">
        <v>104</v>
      </c>
      <c r="B41" s="38">
        <f>+G41*O42</f>
        <v>0</v>
      </c>
      <c r="C41" s="38"/>
      <c r="D41" s="38"/>
      <c r="E41" s="59">
        <f>+C41+D41</f>
        <v>0</v>
      </c>
      <c r="F41" s="38"/>
      <c r="G41" s="70"/>
      <c r="H41" s="85" t="e">
        <f t="shared" si="2"/>
        <v>#DIV/0!</v>
      </c>
      <c r="I41" s="38"/>
      <c r="J41" s="38"/>
      <c r="K41" s="95" t="e">
        <f t="shared" si="4"/>
        <v>#DIV/0!</v>
      </c>
      <c r="L41" s="95" t="e">
        <f t="shared" si="5"/>
        <v>#DIV/0!</v>
      </c>
      <c r="M41" s="112" t="e">
        <f t="shared" si="6"/>
        <v>#DIV/0!</v>
      </c>
      <c r="O41" s="37">
        <f>1+(0.055)</f>
        <v>1.055</v>
      </c>
    </row>
    <row r="42" spans="1:15" ht="12.75">
      <c r="A42" s="27" t="s">
        <v>105</v>
      </c>
      <c r="B42" s="38">
        <f>+G42*O43</f>
        <v>0</v>
      </c>
      <c r="C42" s="38"/>
      <c r="D42" s="38"/>
      <c r="E42" s="59">
        <f>+C42+D42</f>
        <v>0</v>
      </c>
      <c r="F42" s="38"/>
      <c r="G42" s="70"/>
      <c r="H42" s="85" t="e">
        <f t="shared" si="2"/>
        <v>#DIV/0!</v>
      </c>
      <c r="I42" s="38"/>
      <c r="J42" s="38"/>
      <c r="K42" s="95" t="e">
        <f t="shared" si="4"/>
        <v>#DIV/0!</v>
      </c>
      <c r="L42" s="95" t="e">
        <f t="shared" si="5"/>
        <v>#DIV/0!</v>
      </c>
      <c r="M42" s="112" t="e">
        <f t="shared" si="6"/>
        <v>#DIV/0!</v>
      </c>
      <c r="O42" s="37">
        <f>1+(0.055)</f>
        <v>1.055</v>
      </c>
    </row>
    <row r="43" spans="1:15" ht="12.75">
      <c r="A43" s="27" t="s">
        <v>106</v>
      </c>
      <c r="B43" s="38">
        <f>+G43*O44</f>
        <v>9691757.5</v>
      </c>
      <c r="C43" s="38">
        <f>+'[2]DICIEMBRE'!$C$128+'[2]DICIEMBRE'!$C$133+'[2]DICIEMBRE'!$C$134</f>
        <v>10160804.82</v>
      </c>
      <c r="D43" s="38">
        <f>-'[2]DICIEMBRE'!$E$128-'[2]DICIEMBRE'!$E$133-'[2]DICIEMBRE'!$E$134</f>
        <v>-974304</v>
      </c>
      <c r="E43" s="59">
        <f>+C43+D43</f>
        <v>9186500.82</v>
      </c>
      <c r="F43" s="38">
        <f>+'[2]DICIEMBRE'!$I$128+'[2]DICIEMBRE'!$I$133+'[2]DICIEMBRE'!$I$134</f>
        <v>9186500</v>
      </c>
      <c r="G43" s="70">
        <f>+F43</f>
        <v>9186500</v>
      </c>
      <c r="H43" s="85">
        <f t="shared" si="2"/>
        <v>99.99999107385918</v>
      </c>
      <c r="I43" s="38"/>
      <c r="J43" s="38"/>
      <c r="K43" s="95" t="e">
        <f t="shared" si="4"/>
        <v>#DIV/0!</v>
      </c>
      <c r="L43" s="95" t="e">
        <f t="shared" si="5"/>
        <v>#DIV/0!</v>
      </c>
      <c r="M43" s="112">
        <f t="shared" si="6"/>
        <v>5.499999999999994</v>
      </c>
      <c r="O43" s="37">
        <f>1+(0.055)</f>
        <v>1.055</v>
      </c>
    </row>
    <row r="44" spans="1:15" ht="12.75">
      <c r="A44" s="128" t="s">
        <v>107</v>
      </c>
      <c r="B44" s="92">
        <f>+B45+B49</f>
        <v>0</v>
      </c>
      <c r="C44" s="92">
        <f aca="true" t="shared" si="16" ref="C44:J44">+C45+C49</f>
        <v>0</v>
      </c>
      <c r="D44" s="92">
        <f t="shared" si="16"/>
        <v>0</v>
      </c>
      <c r="E44" s="92">
        <f t="shared" si="16"/>
        <v>0</v>
      </c>
      <c r="F44" s="92">
        <f t="shared" si="16"/>
        <v>0</v>
      </c>
      <c r="G44" s="92">
        <f>+G45+G49</f>
        <v>0</v>
      </c>
      <c r="H44" s="86" t="e">
        <f t="shared" si="2"/>
        <v>#DIV/0!</v>
      </c>
      <c r="I44" s="92">
        <f t="shared" si="16"/>
        <v>0</v>
      </c>
      <c r="J44" s="92">
        <f t="shared" si="16"/>
        <v>0</v>
      </c>
      <c r="K44" s="101" t="e">
        <f t="shared" si="4"/>
        <v>#DIV/0!</v>
      </c>
      <c r="L44" s="101" t="e">
        <f t="shared" si="5"/>
        <v>#DIV/0!</v>
      </c>
      <c r="M44" s="178" t="e">
        <f t="shared" si="6"/>
        <v>#DIV/0!</v>
      </c>
      <c r="O44" s="37">
        <f>1+(0.055)</f>
        <v>1.055</v>
      </c>
    </row>
    <row r="45" spans="1:15" ht="12.75">
      <c r="A45" s="128" t="s">
        <v>98</v>
      </c>
      <c r="B45" s="92">
        <f>SUM(B46:B48)</f>
        <v>0</v>
      </c>
      <c r="C45" s="92">
        <f aca="true" t="shared" si="17" ref="C45:J45">SUM(C46:C48)</f>
        <v>0</v>
      </c>
      <c r="D45" s="92">
        <f t="shared" si="17"/>
        <v>0</v>
      </c>
      <c r="E45" s="92">
        <f t="shared" si="17"/>
        <v>0</v>
      </c>
      <c r="F45" s="92">
        <f t="shared" si="17"/>
        <v>0</v>
      </c>
      <c r="G45" s="92">
        <f>SUM(G46:G48)</f>
        <v>0</v>
      </c>
      <c r="H45" s="86" t="e">
        <f t="shared" si="2"/>
        <v>#DIV/0!</v>
      </c>
      <c r="I45" s="92">
        <f t="shared" si="17"/>
        <v>0</v>
      </c>
      <c r="J45" s="92">
        <f t="shared" si="17"/>
        <v>0</v>
      </c>
      <c r="K45" s="101" t="e">
        <f t="shared" si="4"/>
        <v>#DIV/0!</v>
      </c>
      <c r="L45" s="101" t="e">
        <f t="shared" si="5"/>
        <v>#DIV/0!</v>
      </c>
      <c r="M45" s="178" t="e">
        <f t="shared" si="6"/>
        <v>#DIV/0!</v>
      </c>
      <c r="O45" s="191"/>
    </row>
    <row r="46" spans="1:15" ht="12.75">
      <c r="A46" s="27" t="s">
        <v>99</v>
      </c>
      <c r="B46" s="38">
        <f aca="true" t="shared" si="18" ref="B46:B52">+G46*O47</f>
        <v>0</v>
      </c>
      <c r="C46" s="38"/>
      <c r="D46" s="38"/>
      <c r="E46" s="59">
        <f aca="true" t="shared" si="19" ref="E46:E52">+C46+D46</f>
        <v>0</v>
      </c>
      <c r="F46" s="38"/>
      <c r="G46" s="70"/>
      <c r="H46" s="85" t="e">
        <f t="shared" si="2"/>
        <v>#DIV/0!</v>
      </c>
      <c r="I46" s="38"/>
      <c r="J46" s="38"/>
      <c r="K46" s="95" t="e">
        <f t="shared" si="4"/>
        <v>#DIV/0!</v>
      </c>
      <c r="L46" s="95" t="e">
        <f t="shared" si="5"/>
        <v>#DIV/0!</v>
      </c>
      <c r="M46" s="112" t="e">
        <f t="shared" si="6"/>
        <v>#DIV/0!</v>
      </c>
      <c r="O46" s="191"/>
    </row>
    <row r="47" spans="1:15" ht="12.75">
      <c r="A47" s="27" t="s">
        <v>100</v>
      </c>
      <c r="B47" s="38">
        <f t="shared" si="18"/>
        <v>0</v>
      </c>
      <c r="C47" s="38"/>
      <c r="D47" s="38"/>
      <c r="E47" s="59">
        <f t="shared" si="19"/>
        <v>0</v>
      </c>
      <c r="F47" s="38"/>
      <c r="G47" s="70"/>
      <c r="H47" s="85" t="e">
        <f t="shared" si="2"/>
        <v>#DIV/0!</v>
      </c>
      <c r="I47" s="38"/>
      <c r="J47" s="38"/>
      <c r="K47" s="95" t="e">
        <f t="shared" si="4"/>
        <v>#DIV/0!</v>
      </c>
      <c r="L47" s="95" t="e">
        <f t="shared" si="5"/>
        <v>#DIV/0!</v>
      </c>
      <c r="M47" s="112" t="e">
        <f t="shared" si="6"/>
        <v>#DIV/0!</v>
      </c>
      <c r="O47" s="37">
        <f aca="true" t="shared" si="20" ref="O47:O53">1+(0.055)</f>
        <v>1.055</v>
      </c>
    </row>
    <row r="48" spans="1:15" ht="12.75">
      <c r="A48" s="27" t="s">
        <v>101</v>
      </c>
      <c r="B48" s="38">
        <f t="shared" si="18"/>
        <v>0</v>
      </c>
      <c r="C48" s="38"/>
      <c r="D48" s="38"/>
      <c r="E48" s="59">
        <f t="shared" si="19"/>
        <v>0</v>
      </c>
      <c r="F48" s="38"/>
      <c r="G48" s="70"/>
      <c r="H48" s="85" t="e">
        <f t="shared" si="2"/>
        <v>#DIV/0!</v>
      </c>
      <c r="I48" s="38"/>
      <c r="J48" s="38"/>
      <c r="K48" s="95" t="e">
        <f t="shared" si="4"/>
        <v>#DIV/0!</v>
      </c>
      <c r="L48" s="95" t="e">
        <f t="shared" si="5"/>
        <v>#DIV/0!</v>
      </c>
      <c r="M48" s="112" t="e">
        <f t="shared" si="6"/>
        <v>#DIV/0!</v>
      </c>
      <c r="O48" s="37">
        <f t="shared" si="20"/>
        <v>1.055</v>
      </c>
    </row>
    <row r="49" spans="1:15" ht="12.75">
      <c r="A49" s="28" t="s">
        <v>6</v>
      </c>
      <c r="B49" s="38">
        <f t="shared" si="18"/>
        <v>0</v>
      </c>
      <c r="C49" s="38"/>
      <c r="D49" s="38"/>
      <c r="E49" s="59">
        <f t="shared" si="19"/>
        <v>0</v>
      </c>
      <c r="F49" s="38"/>
      <c r="G49" s="70"/>
      <c r="H49" s="85" t="e">
        <f t="shared" si="2"/>
        <v>#DIV/0!</v>
      </c>
      <c r="I49" s="38"/>
      <c r="J49" s="38"/>
      <c r="K49" s="95" t="e">
        <f t="shared" si="4"/>
        <v>#DIV/0!</v>
      </c>
      <c r="L49" s="95" t="e">
        <f t="shared" si="5"/>
        <v>#DIV/0!</v>
      </c>
      <c r="M49" s="112" t="e">
        <f t="shared" si="6"/>
        <v>#DIV/0!</v>
      </c>
      <c r="O49" s="37">
        <f t="shared" si="20"/>
        <v>1.055</v>
      </c>
    </row>
    <row r="50" spans="1:15" ht="12.75">
      <c r="A50" s="28" t="s">
        <v>108</v>
      </c>
      <c r="B50" s="38">
        <f t="shared" si="18"/>
        <v>0</v>
      </c>
      <c r="C50" s="38"/>
      <c r="D50" s="38"/>
      <c r="E50" s="59">
        <f t="shared" si="19"/>
        <v>0</v>
      </c>
      <c r="F50" s="38"/>
      <c r="G50" s="70"/>
      <c r="H50" s="85" t="e">
        <f t="shared" si="2"/>
        <v>#DIV/0!</v>
      </c>
      <c r="I50" s="38"/>
      <c r="J50" s="38"/>
      <c r="K50" s="95" t="e">
        <f t="shared" si="4"/>
        <v>#DIV/0!</v>
      </c>
      <c r="L50" s="95" t="e">
        <f t="shared" si="5"/>
        <v>#DIV/0!</v>
      </c>
      <c r="M50" s="112" t="e">
        <f t="shared" si="6"/>
        <v>#DIV/0!</v>
      </c>
      <c r="O50" s="37">
        <f t="shared" si="20"/>
        <v>1.055</v>
      </c>
    </row>
    <row r="51" spans="1:15" ht="12.75">
      <c r="A51" s="28" t="s">
        <v>109</v>
      </c>
      <c r="B51" s="38">
        <f t="shared" si="18"/>
        <v>911267.855</v>
      </c>
      <c r="C51" s="38">
        <f>+'[2]DICIEMBRE'!$C$136</f>
        <v>1000000</v>
      </c>
      <c r="D51" s="38">
        <f>-'[2]DICIEMBRE'!$E$136</f>
        <v>-136239</v>
      </c>
      <c r="E51" s="59">
        <f t="shared" si="19"/>
        <v>863761</v>
      </c>
      <c r="F51" s="38">
        <f>+'[2]DICIEMBRE'!$I$136</f>
        <v>863761</v>
      </c>
      <c r="G51" s="70">
        <f>+F51</f>
        <v>863761</v>
      </c>
      <c r="H51" s="85">
        <f t="shared" si="2"/>
        <v>100</v>
      </c>
      <c r="I51" s="38"/>
      <c r="J51" s="38"/>
      <c r="K51" s="95" t="e">
        <f t="shared" si="4"/>
        <v>#DIV/0!</v>
      </c>
      <c r="L51" s="95" t="e">
        <f t="shared" si="5"/>
        <v>#DIV/0!</v>
      </c>
      <c r="M51" s="112">
        <f t="shared" si="6"/>
        <v>5.499999999999994</v>
      </c>
      <c r="O51" s="37">
        <f>1</f>
        <v>1</v>
      </c>
    </row>
    <row r="52" spans="1:15" ht="12.75">
      <c r="A52" s="3" t="s">
        <v>110</v>
      </c>
      <c r="B52" s="38">
        <f t="shared" si="18"/>
        <v>36056130.485</v>
      </c>
      <c r="C52" s="38">
        <f>+'[2]DICIEMBRE'!$F$124+'[2]DICIEMBRE'!$F$123+'[2]DICIEMBRE'!$C$130+'[2]DICIEMBRE'!$C$131+'[2]DICIEMBRE'!$C$132</f>
        <v>46350000</v>
      </c>
      <c r="D52" s="38">
        <f>+'[2]DICIEMBRE'!$D$129+'[2]DICIEMBRE'!$D$130+'[2]DICIEMBRE'!$D$135-'[2]DICIEMBRE'!$E$131</f>
        <v>238122086</v>
      </c>
      <c r="E52" s="59">
        <f t="shared" si="19"/>
        <v>284472086</v>
      </c>
      <c r="F52" s="38">
        <f>+'[2]DICIEMBRE'!$I$123+'[2]DICIEMBRE'!$I$124</f>
        <v>34176427</v>
      </c>
      <c r="G52" s="70">
        <f>+F52</f>
        <v>34176427</v>
      </c>
      <c r="H52" s="85">
        <f t="shared" si="2"/>
        <v>12.013982630267632</v>
      </c>
      <c r="I52" s="38"/>
      <c r="J52" s="38"/>
      <c r="K52" s="95" t="e">
        <f t="shared" si="4"/>
        <v>#DIV/0!</v>
      </c>
      <c r="L52" s="95" t="e">
        <f t="shared" si="5"/>
        <v>#DIV/0!</v>
      </c>
      <c r="M52" s="112">
        <f t="shared" si="6"/>
        <v>5.499999999999994</v>
      </c>
      <c r="O52" s="37">
        <f t="shared" si="20"/>
        <v>1.055</v>
      </c>
    </row>
    <row r="53" spans="1:15" ht="12.75">
      <c r="A53" s="127" t="s">
        <v>111</v>
      </c>
      <c r="B53" s="137">
        <f>SUM(B54:B55)</f>
        <v>0</v>
      </c>
      <c r="C53" s="137">
        <f aca="true" t="shared" si="21" ref="C53:J53">SUM(C54:C55)</f>
        <v>0</v>
      </c>
      <c r="D53" s="137">
        <f t="shared" si="21"/>
        <v>0</v>
      </c>
      <c r="E53" s="137">
        <f t="shared" si="21"/>
        <v>0</v>
      </c>
      <c r="F53" s="137">
        <f t="shared" si="21"/>
        <v>0</v>
      </c>
      <c r="G53" s="137">
        <f>SUM(G54:G55)</f>
        <v>0</v>
      </c>
      <c r="H53" s="185" t="e">
        <f t="shared" si="2"/>
        <v>#DIV/0!</v>
      </c>
      <c r="I53" s="137">
        <f t="shared" si="21"/>
        <v>0</v>
      </c>
      <c r="J53" s="137">
        <f t="shared" si="21"/>
        <v>0</v>
      </c>
      <c r="K53" s="141" t="e">
        <f t="shared" si="4"/>
        <v>#DIV/0!</v>
      </c>
      <c r="L53" s="141" t="e">
        <f t="shared" si="5"/>
        <v>#DIV/0!</v>
      </c>
      <c r="M53" s="177" t="e">
        <f t="shared" si="6"/>
        <v>#DIV/0!</v>
      </c>
      <c r="O53" s="37">
        <f t="shared" si="20"/>
        <v>1.055</v>
      </c>
    </row>
    <row r="54" spans="1:15" ht="12.75">
      <c r="A54" s="2" t="s">
        <v>112</v>
      </c>
      <c r="B54" s="38">
        <f>+G54*O55</f>
        <v>0</v>
      </c>
      <c r="C54" s="38">
        <v>0</v>
      </c>
      <c r="D54" s="38">
        <v>0</v>
      </c>
      <c r="E54" s="59">
        <f>+C54+D54</f>
        <v>0</v>
      </c>
      <c r="F54" s="38">
        <v>0</v>
      </c>
      <c r="G54" s="70"/>
      <c r="H54" s="85" t="e">
        <f t="shared" si="2"/>
        <v>#DIV/0!</v>
      </c>
      <c r="I54" s="38"/>
      <c r="J54" s="38"/>
      <c r="K54" s="95" t="e">
        <f t="shared" si="4"/>
        <v>#DIV/0!</v>
      </c>
      <c r="L54" s="95" t="e">
        <f t="shared" si="5"/>
        <v>#DIV/0!</v>
      </c>
      <c r="M54" s="112" t="e">
        <f t="shared" si="6"/>
        <v>#DIV/0!</v>
      </c>
      <c r="O54" s="191"/>
    </row>
    <row r="55" spans="1:15" ht="13.5" thickBot="1">
      <c r="A55" s="2" t="s">
        <v>113</v>
      </c>
      <c r="B55" s="38">
        <f>+G55*O56</f>
        <v>0</v>
      </c>
      <c r="C55" s="38">
        <v>0</v>
      </c>
      <c r="D55" s="98">
        <v>0</v>
      </c>
      <c r="E55" s="59">
        <f>+C55+D55</f>
        <v>0</v>
      </c>
      <c r="F55" s="98">
        <v>0</v>
      </c>
      <c r="G55" s="103"/>
      <c r="H55" s="85" t="e">
        <f t="shared" si="2"/>
        <v>#DIV/0!</v>
      </c>
      <c r="I55" s="38"/>
      <c r="J55" s="38"/>
      <c r="K55" s="95" t="e">
        <f t="shared" si="4"/>
        <v>#DIV/0!</v>
      </c>
      <c r="L55" s="95" t="e">
        <f t="shared" si="5"/>
        <v>#DIV/0!</v>
      </c>
      <c r="M55" s="112" t="e">
        <f t="shared" si="6"/>
        <v>#DIV/0!</v>
      </c>
      <c r="O55" s="191"/>
    </row>
    <row r="56" spans="1:15" ht="13.5" thickBot="1">
      <c r="A56" s="12" t="s">
        <v>114</v>
      </c>
      <c r="B56" s="53">
        <f>+B110+B147+B183</f>
        <v>76600053.60000001</v>
      </c>
      <c r="C56" s="53">
        <f>+C57+C110+C147+C183</f>
        <v>1792963227.56</v>
      </c>
      <c r="D56" s="53">
        <f>+D57+D110+D147+D183</f>
        <v>712280709.97</v>
      </c>
      <c r="E56" s="53">
        <f>+E57+E110+E147+E183</f>
        <v>2505243937.5299997</v>
      </c>
      <c r="F56" s="53">
        <f>+F110+F147+F183</f>
        <v>72952432</v>
      </c>
      <c r="G56" s="53">
        <f>+G57+G110+G147+G183</f>
        <v>2270122795.9</v>
      </c>
      <c r="H56" s="84">
        <f t="shared" si="2"/>
        <v>90.61484041103745</v>
      </c>
      <c r="I56" s="53">
        <f>+I110+I147+I183</f>
        <v>0</v>
      </c>
      <c r="J56" s="53">
        <f>+J110+J147+J183</f>
        <v>0</v>
      </c>
      <c r="K56" s="66" t="e">
        <f t="shared" si="4"/>
        <v>#DIV/0!</v>
      </c>
      <c r="L56" s="66" t="e">
        <f t="shared" si="5"/>
        <v>#DIV/0!</v>
      </c>
      <c r="M56" s="113">
        <f t="shared" si="6"/>
        <v>-96.62573083102178</v>
      </c>
      <c r="O56" s="191"/>
    </row>
    <row r="57" spans="1:15" ht="12.75">
      <c r="A57" s="127" t="s">
        <v>115</v>
      </c>
      <c r="B57" s="137">
        <f>B58+B66+B73</f>
        <v>2372943993.012</v>
      </c>
      <c r="C57" s="137">
        <f aca="true" t="shared" si="22" ref="C57:J57">C58+C66+C73</f>
        <v>1730544313.56</v>
      </c>
      <c r="D57" s="137">
        <f t="shared" si="22"/>
        <v>647805676.97</v>
      </c>
      <c r="E57" s="137">
        <f t="shared" si="22"/>
        <v>2378349990.5299997</v>
      </c>
      <c r="F57" s="137">
        <f t="shared" si="22"/>
        <v>2197170363.9</v>
      </c>
      <c r="G57" s="137">
        <f>G58+G66+G73</f>
        <v>2197170363.9</v>
      </c>
      <c r="H57" s="185">
        <f t="shared" si="2"/>
        <v>92.38212931858591</v>
      </c>
      <c r="I57" s="137">
        <f t="shared" si="22"/>
        <v>0</v>
      </c>
      <c r="J57" s="137">
        <f t="shared" si="22"/>
        <v>0</v>
      </c>
      <c r="K57" s="141" t="e">
        <f t="shared" si="4"/>
        <v>#DIV/0!</v>
      </c>
      <c r="L57" s="141" t="e">
        <f t="shared" si="5"/>
        <v>#DIV/0!</v>
      </c>
      <c r="M57" s="186">
        <f t="shared" si="6"/>
        <v>8.000000000000007</v>
      </c>
      <c r="O57" s="191"/>
    </row>
    <row r="58" spans="1:15" ht="12.75">
      <c r="A58" s="128" t="s">
        <v>116</v>
      </c>
      <c r="B58" s="92">
        <f>SUM(B59:B65)</f>
        <v>163571468.04</v>
      </c>
      <c r="C58" s="92">
        <f aca="true" t="shared" si="23" ref="C58:J58">SUM(C59:C65)</f>
        <v>91987667</v>
      </c>
      <c r="D58" s="92">
        <f t="shared" si="23"/>
        <v>80018366</v>
      </c>
      <c r="E58" s="92">
        <f t="shared" si="23"/>
        <v>172006033</v>
      </c>
      <c r="F58" s="92">
        <f t="shared" si="23"/>
        <v>151455063</v>
      </c>
      <c r="G58" s="92">
        <f>SUM(G59:G65)</f>
        <v>151455063</v>
      </c>
      <c r="H58" s="86">
        <f t="shared" si="2"/>
        <v>88.05218070461517</v>
      </c>
      <c r="I58" s="92">
        <f t="shared" si="23"/>
        <v>0</v>
      </c>
      <c r="J58" s="92">
        <f t="shared" si="23"/>
        <v>0</v>
      </c>
      <c r="K58" s="101" t="e">
        <f t="shared" si="4"/>
        <v>#DIV/0!</v>
      </c>
      <c r="L58" s="101" t="e">
        <f t="shared" si="5"/>
        <v>#DIV/0!</v>
      </c>
      <c r="M58" s="108">
        <f t="shared" si="6"/>
        <v>7.999999999999985</v>
      </c>
      <c r="O58" s="191"/>
    </row>
    <row r="59" spans="1:15" ht="12.75">
      <c r="A59" s="27" t="s">
        <v>117</v>
      </c>
      <c r="B59" s="38">
        <f aca="true" t="shared" si="24" ref="B59:B65">+G59*O60</f>
        <v>38039351.760000005</v>
      </c>
      <c r="C59" s="38">
        <f>+'[2]DICIEMBRE'!$C$149+'[2]DICIEMBRE'!$C$157</f>
        <v>12644434</v>
      </c>
      <c r="D59" s="38">
        <f>+'[2]DICIEMBRE'!$D$147+'[2]DICIEMBRE'!$D$148+'[2]DICIEMBRE'!$D$149-'[2]DICIEMBRE'!$E$148-'[2]DICIEMBRE'!$E$149+'[2]DICIEMBRE'!$D$156-'[2]DICIEMBRE'!$E$156-'[2]DICIEMBRE'!$E$157</f>
        <v>22577208</v>
      </c>
      <c r="E59" s="59">
        <f aca="true" t="shared" si="25" ref="E59:E65">+C59+D59</f>
        <v>35221642</v>
      </c>
      <c r="F59" s="38">
        <f>+'[2]DICIEMBRE'!$I$147+'[2]DICIEMBRE'!$I$148+'[2]DICIEMBRE'!$I$149</f>
        <v>35221622</v>
      </c>
      <c r="G59" s="70">
        <f>+F59</f>
        <v>35221622</v>
      </c>
      <c r="H59" s="85">
        <f t="shared" si="2"/>
        <v>99.99994321673022</v>
      </c>
      <c r="I59" s="38"/>
      <c r="J59" s="38"/>
      <c r="K59" s="95" t="e">
        <f t="shared" si="4"/>
        <v>#DIV/0!</v>
      </c>
      <c r="L59" s="95" t="e">
        <f t="shared" si="5"/>
        <v>#DIV/0!</v>
      </c>
      <c r="M59" s="58">
        <f t="shared" si="6"/>
        <v>8.000000000000007</v>
      </c>
      <c r="O59" s="191"/>
    </row>
    <row r="60" spans="1:15" ht="12.75">
      <c r="A60" s="27" t="s">
        <v>118</v>
      </c>
      <c r="B60" s="38">
        <f t="shared" si="24"/>
        <v>0</v>
      </c>
      <c r="C60" s="38">
        <v>0</v>
      </c>
      <c r="D60" s="38">
        <v>0</v>
      </c>
      <c r="E60" s="59">
        <f t="shared" si="25"/>
        <v>0</v>
      </c>
      <c r="F60" s="38">
        <v>0</v>
      </c>
      <c r="G60" s="70">
        <v>0</v>
      </c>
      <c r="H60" s="85" t="e">
        <f t="shared" si="2"/>
        <v>#DIV/0!</v>
      </c>
      <c r="I60" s="38"/>
      <c r="J60" s="38"/>
      <c r="K60" s="95" t="e">
        <f t="shared" si="4"/>
        <v>#DIV/0!</v>
      </c>
      <c r="L60" s="95" t="e">
        <f t="shared" si="5"/>
        <v>#DIV/0!</v>
      </c>
      <c r="M60" s="58" t="e">
        <f t="shared" si="6"/>
        <v>#DIV/0!</v>
      </c>
      <c r="O60" s="37">
        <f aca="true" t="shared" si="26" ref="O60:O66">1+(0.055+0.025)</f>
        <v>1.08</v>
      </c>
    </row>
    <row r="61" spans="1:15" ht="12.75">
      <c r="A61" s="27" t="s">
        <v>300</v>
      </c>
      <c r="B61" s="38">
        <f t="shared" si="24"/>
        <v>19265168.52</v>
      </c>
      <c r="C61" s="38">
        <f>+'[2]DICIEMBRE'!$C$146</f>
        <v>19000000</v>
      </c>
      <c r="D61" s="38">
        <v>0</v>
      </c>
      <c r="E61" s="59">
        <f t="shared" si="25"/>
        <v>19000000</v>
      </c>
      <c r="F61" s="38">
        <f>+'[2]DICIEMBRE'!$I$146</f>
        <v>17838119</v>
      </c>
      <c r="G61" s="70">
        <f>+F61</f>
        <v>17838119</v>
      </c>
      <c r="H61" s="85">
        <f t="shared" si="2"/>
        <v>93.88483684210526</v>
      </c>
      <c r="I61" s="38"/>
      <c r="J61" s="38"/>
      <c r="K61" s="95" t="e">
        <f t="shared" si="4"/>
        <v>#DIV/0!</v>
      </c>
      <c r="L61" s="95" t="e">
        <f t="shared" si="5"/>
        <v>#DIV/0!</v>
      </c>
      <c r="M61" s="58">
        <f t="shared" si="6"/>
        <v>8.000000000000007</v>
      </c>
      <c r="O61" s="37">
        <f t="shared" si="26"/>
        <v>1.08</v>
      </c>
    </row>
    <row r="62" spans="1:15" ht="12.75">
      <c r="A62" s="27" t="s">
        <v>301</v>
      </c>
      <c r="B62" s="38">
        <f t="shared" si="24"/>
        <v>54339552</v>
      </c>
      <c r="C62" s="38">
        <f>+'[2]DICIEMBRE'!$C$144+'[2]DICIEMBRE'!$C$145</f>
        <v>20000000</v>
      </c>
      <c r="D62" s="38">
        <f>+'[2]DICIEMBRE'!$D$144+'[2]DICIEMBRE'!$D$145-'[2]DICIEMBRE'!$E$144</f>
        <v>30340000</v>
      </c>
      <c r="E62" s="59">
        <f t="shared" si="25"/>
        <v>50340000</v>
      </c>
      <c r="F62" s="38">
        <f>+'[2]DICIEMBRE'!$I$144+'[2]DICIEMBRE'!$I$145</f>
        <v>50314400</v>
      </c>
      <c r="G62" s="70">
        <f>+F62</f>
        <v>50314400</v>
      </c>
      <c r="H62" s="85">
        <f t="shared" si="2"/>
        <v>99.94914580850218</v>
      </c>
      <c r="I62" s="38"/>
      <c r="J62" s="38"/>
      <c r="K62" s="95" t="e">
        <f t="shared" si="4"/>
        <v>#DIV/0!</v>
      </c>
      <c r="L62" s="95" t="e">
        <f t="shared" si="5"/>
        <v>#DIV/0!</v>
      </c>
      <c r="M62" s="58">
        <f t="shared" si="6"/>
        <v>8.000000000000007</v>
      </c>
      <c r="O62" s="37">
        <f t="shared" si="26"/>
        <v>1.08</v>
      </c>
    </row>
    <row r="63" spans="1:15" ht="12.75">
      <c r="A63" s="27" t="s">
        <v>302</v>
      </c>
      <c r="B63" s="38">
        <f>+G63*O64</f>
        <v>2700000</v>
      </c>
      <c r="C63" s="38">
        <f>+'[2]DICIEMBRE'!$C$155+'[2]DICIEMBRE'!$C$158</f>
        <v>2000000</v>
      </c>
      <c r="D63" s="38">
        <f>+'[2]DICIEMBRE'!$D$158</f>
        <v>2525400</v>
      </c>
      <c r="E63" s="59">
        <f t="shared" si="25"/>
        <v>4525400</v>
      </c>
      <c r="F63" s="38">
        <f>+'[2]DICIEMBRE'!$I$155+'[2]DICIEMBRE'!$I$158</f>
        <v>2500000</v>
      </c>
      <c r="G63" s="70">
        <f>+F63</f>
        <v>2500000</v>
      </c>
      <c r="H63" s="85">
        <f t="shared" si="2"/>
        <v>55.24373536041013</v>
      </c>
      <c r="I63" s="38"/>
      <c r="J63" s="38"/>
      <c r="K63" s="95" t="e">
        <f t="shared" si="4"/>
        <v>#DIV/0!</v>
      </c>
      <c r="L63" s="95" t="e">
        <f t="shared" si="5"/>
        <v>#DIV/0!</v>
      </c>
      <c r="M63" s="58">
        <f t="shared" si="6"/>
        <v>8.000000000000007</v>
      </c>
      <c r="O63" s="37">
        <f t="shared" si="26"/>
        <v>1.08</v>
      </c>
    </row>
    <row r="64" spans="1:15" ht="12.75">
      <c r="A64" s="27" t="s">
        <v>303</v>
      </c>
      <c r="B64" s="38">
        <f t="shared" si="24"/>
        <v>30750805.44</v>
      </c>
      <c r="C64" s="38">
        <f>+'[2]DICIEMBRE'!$C$300</f>
        <v>28343233</v>
      </c>
      <c r="D64" s="38">
        <f>+'[2]DICIEMBRE'!$D$300-'[2]DICIEMBRE'!$E$300</f>
        <v>15367528</v>
      </c>
      <c r="E64" s="59">
        <f t="shared" si="25"/>
        <v>43710761</v>
      </c>
      <c r="F64" s="38">
        <f>+'[2]DICIEMBRE'!$I$300</f>
        <v>28472968</v>
      </c>
      <c r="G64" s="70">
        <f>+F64</f>
        <v>28472968</v>
      </c>
      <c r="H64" s="85">
        <f t="shared" si="2"/>
        <v>65.13949276700994</v>
      </c>
      <c r="I64" s="38"/>
      <c r="J64" s="38"/>
      <c r="K64" s="95" t="e">
        <f>+((G64/I64)-1)*100</f>
        <v>#DIV/0!</v>
      </c>
      <c r="L64" s="95" t="e">
        <f>+((I64/J64)-1)*100</f>
        <v>#DIV/0!</v>
      </c>
      <c r="M64" s="58">
        <f>((B64/G64)-1)*100</f>
        <v>8.000000000000007</v>
      </c>
      <c r="O64" s="37">
        <f t="shared" si="26"/>
        <v>1.08</v>
      </c>
    </row>
    <row r="65" spans="1:15" ht="12.75">
      <c r="A65" s="27" t="s">
        <v>122</v>
      </c>
      <c r="B65" s="38">
        <f t="shared" si="24"/>
        <v>18476590.32</v>
      </c>
      <c r="C65" s="38">
        <f>+'[2]DICIEMBRE'!$C$154</f>
        <v>10000000</v>
      </c>
      <c r="D65" s="38">
        <f>+'[2]DICIEMBRE'!$D$150+'[2]DICIEMBRE'!$D$151+'[2]DICIEMBRE'!$D$152+'[2]DICIEMBRE'!$D$153+'[2]DICIEMBRE'!$D$154+'[2]DICIEMBRE'!$D$159-'[2]DICIEMBRE'!$E$153-'[2]DICIEMBRE'!$E$159</f>
        <v>9208230</v>
      </c>
      <c r="E65" s="59">
        <f t="shared" si="25"/>
        <v>19208230</v>
      </c>
      <c r="F65" s="38">
        <f>+'[2]DICIEMBRE'!$I$150+'[2]DICIEMBRE'!$I$151+'[2]DICIEMBRE'!$I$152+'[2]DICIEMBRE'!$I$153+'[2]DICIEMBRE'!$I$154</f>
        <v>17107954</v>
      </c>
      <c r="G65" s="70">
        <f>+F65</f>
        <v>17107954</v>
      </c>
      <c r="H65" s="85">
        <f t="shared" si="2"/>
        <v>89.06574942095133</v>
      </c>
      <c r="I65" s="38"/>
      <c r="J65" s="38"/>
      <c r="K65" s="95" t="e">
        <f t="shared" si="4"/>
        <v>#DIV/0!</v>
      </c>
      <c r="L65" s="95" t="e">
        <f t="shared" si="5"/>
        <v>#DIV/0!</v>
      </c>
      <c r="M65" s="58">
        <f t="shared" si="6"/>
        <v>8.000000000000007</v>
      </c>
      <c r="O65" s="37">
        <f t="shared" si="26"/>
        <v>1.08</v>
      </c>
    </row>
    <row r="66" spans="1:15" ht="12.75">
      <c r="A66" s="128" t="s">
        <v>123</v>
      </c>
      <c r="B66" s="92">
        <f>SUM(B67:B72)</f>
        <v>1238233939.8192</v>
      </c>
      <c r="C66" s="92">
        <f aca="true" t="shared" si="27" ref="C66:J66">SUM(C67:C72)</f>
        <v>943248520</v>
      </c>
      <c r="D66" s="92">
        <f t="shared" si="27"/>
        <v>286175375.97</v>
      </c>
      <c r="E66" s="92">
        <f t="shared" si="27"/>
        <v>1229423895.97</v>
      </c>
      <c r="F66" s="92">
        <f t="shared" si="27"/>
        <v>1146512907.24</v>
      </c>
      <c r="G66" s="92">
        <f>SUM(G67:G72)</f>
        <v>1146512907.24</v>
      </c>
      <c r="H66" s="86">
        <f t="shared" si="2"/>
        <v>93.2561105244677</v>
      </c>
      <c r="I66" s="92">
        <f t="shared" si="27"/>
        <v>0</v>
      </c>
      <c r="J66" s="92">
        <f t="shared" si="27"/>
        <v>0</v>
      </c>
      <c r="K66" s="101" t="e">
        <f t="shared" si="4"/>
        <v>#DIV/0!</v>
      </c>
      <c r="L66" s="101" t="e">
        <f t="shared" si="5"/>
        <v>#DIV/0!</v>
      </c>
      <c r="M66" s="108">
        <f t="shared" si="6"/>
        <v>8.000000000000007</v>
      </c>
      <c r="O66" s="37">
        <f t="shared" si="26"/>
        <v>1.08</v>
      </c>
    </row>
    <row r="67" spans="1:15" ht="12.75">
      <c r="A67" s="27" t="s">
        <v>124</v>
      </c>
      <c r="B67" s="38">
        <f aca="true" t="shared" si="28" ref="B67:B72">+G67*O68</f>
        <v>0</v>
      </c>
      <c r="C67" s="35"/>
      <c r="D67" s="35"/>
      <c r="E67" s="57">
        <f aca="true" t="shared" si="29" ref="E67:E72">+C67+D67</f>
        <v>0</v>
      </c>
      <c r="F67" s="38"/>
      <c r="G67" s="71"/>
      <c r="H67" s="85" t="e">
        <f t="shared" si="2"/>
        <v>#DIV/0!</v>
      </c>
      <c r="I67" s="38"/>
      <c r="J67" s="38"/>
      <c r="K67" s="95" t="e">
        <f t="shared" si="4"/>
        <v>#DIV/0!</v>
      </c>
      <c r="L67" s="95" t="e">
        <f t="shared" si="5"/>
        <v>#DIV/0!</v>
      </c>
      <c r="M67" s="58" t="e">
        <f t="shared" si="6"/>
        <v>#DIV/0!</v>
      </c>
      <c r="O67" s="191"/>
    </row>
    <row r="68" spans="1:15" ht="12.75">
      <c r="A68" s="27" t="s">
        <v>118</v>
      </c>
      <c r="B68" s="38">
        <f t="shared" si="28"/>
        <v>0</v>
      </c>
      <c r="C68" s="38"/>
      <c r="D68" s="38"/>
      <c r="E68" s="59">
        <f t="shared" si="29"/>
        <v>0</v>
      </c>
      <c r="F68" s="38"/>
      <c r="G68" s="70"/>
      <c r="H68" s="85" t="e">
        <f t="shared" si="2"/>
        <v>#DIV/0!</v>
      </c>
      <c r="I68" s="38"/>
      <c r="J68" s="38"/>
      <c r="K68" s="95" t="e">
        <f t="shared" si="4"/>
        <v>#DIV/0!</v>
      </c>
      <c r="L68" s="95" t="e">
        <f t="shared" si="5"/>
        <v>#DIV/0!</v>
      </c>
      <c r="M68" s="58" t="e">
        <f t="shared" si="6"/>
        <v>#DIV/0!</v>
      </c>
      <c r="O68" s="37">
        <f aca="true" t="shared" si="30" ref="O68:O73">1+(0.055+0.025)</f>
        <v>1.08</v>
      </c>
    </row>
    <row r="69" spans="1:15" ht="12.75">
      <c r="A69" s="27" t="s">
        <v>125</v>
      </c>
      <c r="B69" s="38">
        <f t="shared" si="28"/>
        <v>0</v>
      </c>
      <c r="C69" s="38"/>
      <c r="D69" s="38"/>
      <c r="E69" s="59">
        <f t="shared" si="29"/>
        <v>0</v>
      </c>
      <c r="F69" s="38"/>
      <c r="G69" s="70"/>
      <c r="H69" s="85" t="e">
        <f t="shared" si="2"/>
        <v>#DIV/0!</v>
      </c>
      <c r="I69" s="38"/>
      <c r="J69" s="38"/>
      <c r="K69" s="95" t="e">
        <f t="shared" si="4"/>
        <v>#DIV/0!</v>
      </c>
      <c r="L69" s="95" t="e">
        <f t="shared" si="5"/>
        <v>#DIV/0!</v>
      </c>
      <c r="M69" s="58" t="e">
        <f t="shared" si="6"/>
        <v>#DIV/0!</v>
      </c>
      <c r="O69" s="37">
        <f t="shared" si="30"/>
        <v>1.08</v>
      </c>
    </row>
    <row r="70" spans="1:15" ht="12.75">
      <c r="A70" s="27" t="s">
        <v>120</v>
      </c>
      <c r="B70" s="38">
        <f t="shared" si="28"/>
        <v>0</v>
      </c>
      <c r="C70" s="38"/>
      <c r="D70" s="38"/>
      <c r="E70" s="59">
        <f t="shared" si="29"/>
        <v>0</v>
      </c>
      <c r="F70" s="38"/>
      <c r="G70" s="70"/>
      <c r="H70" s="85" t="e">
        <f t="shared" si="2"/>
        <v>#DIV/0!</v>
      </c>
      <c r="I70" s="38"/>
      <c r="J70" s="38"/>
      <c r="K70" s="95" t="e">
        <f t="shared" si="4"/>
        <v>#DIV/0!</v>
      </c>
      <c r="L70" s="95" t="e">
        <f t="shared" si="5"/>
        <v>#DIV/0!</v>
      </c>
      <c r="M70" s="58" t="e">
        <f t="shared" si="6"/>
        <v>#DIV/0!</v>
      </c>
      <c r="O70" s="37">
        <f t="shared" si="30"/>
        <v>1.08</v>
      </c>
    </row>
    <row r="71" spans="1:15" ht="12.75">
      <c r="A71" s="27" t="s">
        <v>126</v>
      </c>
      <c r="B71" s="38">
        <f t="shared" si="28"/>
        <v>0</v>
      </c>
      <c r="C71" s="38"/>
      <c r="D71" s="38"/>
      <c r="E71" s="59">
        <f t="shared" si="29"/>
        <v>0</v>
      </c>
      <c r="F71" s="38"/>
      <c r="G71" s="70"/>
      <c r="H71" s="85" t="e">
        <f t="shared" si="2"/>
        <v>#DIV/0!</v>
      </c>
      <c r="I71" s="38"/>
      <c r="J71" s="38"/>
      <c r="K71" s="95" t="e">
        <f t="shared" si="4"/>
        <v>#DIV/0!</v>
      </c>
      <c r="L71" s="95" t="e">
        <f t="shared" si="5"/>
        <v>#DIV/0!</v>
      </c>
      <c r="M71" s="58" t="e">
        <f t="shared" si="6"/>
        <v>#DIV/0!</v>
      </c>
      <c r="O71" s="37">
        <f t="shared" si="30"/>
        <v>1.08</v>
      </c>
    </row>
    <row r="72" spans="1:15" ht="12.75">
      <c r="A72" s="27" t="s">
        <v>127</v>
      </c>
      <c r="B72" s="38">
        <f t="shared" si="28"/>
        <v>1238233939.8192</v>
      </c>
      <c r="C72" s="38">
        <f>+'[2]DICIEMBRE'!$C$160</f>
        <v>943248520</v>
      </c>
      <c r="D72" s="38">
        <f>+'[2]DICIEMBRE'!$D$160-'[2]DICIEMBRE'!$E$160</f>
        <v>286175375.97</v>
      </c>
      <c r="E72" s="59">
        <f t="shared" si="29"/>
        <v>1229423895.97</v>
      </c>
      <c r="F72" s="38">
        <f>+'[2]DICIEMBRE'!$I$160</f>
        <v>1146512907.24</v>
      </c>
      <c r="G72" s="70">
        <f>+F72</f>
        <v>1146512907.24</v>
      </c>
      <c r="H72" s="85">
        <f t="shared" si="2"/>
        <v>93.2561105244677</v>
      </c>
      <c r="I72" s="38"/>
      <c r="J72" s="38"/>
      <c r="K72" s="95" t="e">
        <f t="shared" si="4"/>
        <v>#DIV/0!</v>
      </c>
      <c r="L72" s="95" t="e">
        <f t="shared" si="5"/>
        <v>#DIV/0!</v>
      </c>
      <c r="M72" s="58">
        <f t="shared" si="6"/>
        <v>8.000000000000007</v>
      </c>
      <c r="O72" s="37">
        <f t="shared" si="30"/>
        <v>1.08</v>
      </c>
    </row>
    <row r="73" spans="1:15" ht="12.75">
      <c r="A73" s="127" t="s">
        <v>128</v>
      </c>
      <c r="B73" s="182">
        <f>B74+B88+B95</f>
        <v>971138585.1528001</v>
      </c>
      <c r="C73" s="182">
        <f aca="true" t="shared" si="31" ref="C73:J73">C74+C88+C95</f>
        <v>695308126.56</v>
      </c>
      <c r="D73" s="182">
        <f t="shared" si="31"/>
        <v>281611935</v>
      </c>
      <c r="E73" s="182">
        <f t="shared" si="31"/>
        <v>976920061.56</v>
      </c>
      <c r="F73" s="182">
        <f t="shared" si="31"/>
        <v>899202393.66</v>
      </c>
      <c r="G73" s="182">
        <f>G74+G88+G95</f>
        <v>899202393.66</v>
      </c>
      <c r="H73" s="183">
        <f t="shared" si="2"/>
        <v>92.04462361271442</v>
      </c>
      <c r="I73" s="182">
        <f t="shared" si="31"/>
        <v>0</v>
      </c>
      <c r="J73" s="182">
        <f t="shared" si="31"/>
        <v>0</v>
      </c>
      <c r="K73" s="184" t="e">
        <f t="shared" si="4"/>
        <v>#DIV/0!</v>
      </c>
      <c r="L73" s="184" t="e">
        <f t="shared" si="5"/>
        <v>#DIV/0!</v>
      </c>
      <c r="M73" s="187">
        <f t="shared" si="6"/>
        <v>8.000000000000007</v>
      </c>
      <c r="O73" s="37">
        <f t="shared" si="30"/>
        <v>1.08</v>
      </c>
    </row>
    <row r="74" spans="1:15" ht="12.75">
      <c r="A74" s="128" t="s">
        <v>129</v>
      </c>
      <c r="B74" s="92">
        <f>SUM(B75:B87)</f>
        <v>971138585.1528001</v>
      </c>
      <c r="C74" s="92">
        <f aca="true" t="shared" si="32" ref="C74:J74">SUM(C75:C87)</f>
        <v>695308126.56</v>
      </c>
      <c r="D74" s="92">
        <f t="shared" si="32"/>
        <v>281611935</v>
      </c>
      <c r="E74" s="92">
        <f t="shared" si="32"/>
        <v>976920061.56</v>
      </c>
      <c r="F74" s="92">
        <f t="shared" si="32"/>
        <v>899202393.66</v>
      </c>
      <c r="G74" s="92">
        <f>SUM(G75:G87)</f>
        <v>899202393.66</v>
      </c>
      <c r="H74" s="86">
        <f t="shared" si="2"/>
        <v>92.04462361271442</v>
      </c>
      <c r="I74" s="92">
        <f t="shared" si="32"/>
        <v>0</v>
      </c>
      <c r="J74" s="92">
        <f t="shared" si="32"/>
        <v>0</v>
      </c>
      <c r="K74" s="101" t="e">
        <f t="shared" si="4"/>
        <v>#DIV/0!</v>
      </c>
      <c r="L74" s="101" t="e">
        <f t="shared" si="5"/>
        <v>#DIV/0!</v>
      </c>
      <c r="M74" s="108">
        <f t="shared" si="6"/>
        <v>8.000000000000007</v>
      </c>
      <c r="O74" s="191"/>
    </row>
    <row r="75" spans="1:15" ht="12.75">
      <c r="A75" s="2" t="s">
        <v>130</v>
      </c>
      <c r="B75" s="38">
        <f aca="true" t="shared" si="33" ref="B75:B87">+G75*O76</f>
        <v>328959262.54080003</v>
      </c>
      <c r="C75" s="38">
        <f>+'[2]DICIEMBRE'!$C$175</f>
        <v>263461021</v>
      </c>
      <c r="D75" s="38">
        <f>+'[2]DICIEMBRE'!$D$175-'[2]DICIEMBRE'!$E$175</f>
        <v>70686090</v>
      </c>
      <c r="E75" s="59">
        <f aca="true" t="shared" si="34" ref="E75:E87">+C75+D75</f>
        <v>334147111</v>
      </c>
      <c r="F75" s="38">
        <f>+'[2]DICIEMBRE'!$I$175</f>
        <v>304591909.76</v>
      </c>
      <c r="G75" s="70">
        <f>+F75</f>
        <v>304591909.76</v>
      </c>
      <c r="H75" s="85">
        <f t="shared" si="2"/>
        <v>91.15503313748536</v>
      </c>
      <c r="I75" s="38"/>
      <c r="J75" s="38"/>
      <c r="K75" s="95" t="e">
        <f t="shared" si="4"/>
        <v>#DIV/0!</v>
      </c>
      <c r="L75" s="95" t="e">
        <f t="shared" si="5"/>
        <v>#DIV/0!</v>
      </c>
      <c r="M75" s="58">
        <f t="shared" si="6"/>
        <v>8.000000000000007</v>
      </c>
      <c r="O75" s="191"/>
    </row>
    <row r="76" spans="1:15" ht="12.75">
      <c r="A76" s="2" t="s">
        <v>131</v>
      </c>
      <c r="B76" s="38">
        <f t="shared" si="33"/>
        <v>196451209.44000003</v>
      </c>
      <c r="C76" s="38">
        <f>+'[2]DICIEMBRE'!$C$242</f>
        <v>118500000</v>
      </c>
      <c r="D76" s="38">
        <f>+'[2]DICIEMBRE'!$D$242</f>
        <v>65866890</v>
      </c>
      <c r="E76" s="59">
        <f t="shared" si="34"/>
        <v>184366890</v>
      </c>
      <c r="F76" s="38">
        <f>+'[2]DICIEMBRE'!$I$242</f>
        <v>181899268</v>
      </c>
      <c r="G76" s="70">
        <f>+F76</f>
        <v>181899268</v>
      </c>
      <c r="H76" s="85">
        <f t="shared" si="2"/>
        <v>98.66156987298532</v>
      </c>
      <c r="I76" s="38"/>
      <c r="J76" s="38"/>
      <c r="K76" s="95" t="e">
        <f t="shared" si="4"/>
        <v>#DIV/0!</v>
      </c>
      <c r="L76" s="95" t="e">
        <f t="shared" si="5"/>
        <v>#DIV/0!</v>
      </c>
      <c r="M76" s="58">
        <f t="shared" si="6"/>
        <v>8.000000000000007</v>
      </c>
      <c r="O76" s="37">
        <f aca="true" t="shared" si="35" ref="O76:O88">1+(0.055+0.025)</f>
        <v>1.08</v>
      </c>
    </row>
    <row r="77" spans="1:15" ht="12.75">
      <c r="A77" s="2" t="s">
        <v>132</v>
      </c>
      <c r="B77" s="38">
        <f t="shared" si="33"/>
        <v>41999177.052</v>
      </c>
      <c r="C77" s="38">
        <f>+'[2]DICIEMBRE'!$C$260</f>
        <v>26786900</v>
      </c>
      <c r="D77" s="38">
        <f>+'[2]DICIEMBRE'!$D$260</f>
        <v>12108108</v>
      </c>
      <c r="E77" s="59">
        <f t="shared" si="34"/>
        <v>38895008</v>
      </c>
      <c r="F77" s="38">
        <f>+'[2]DICIEMBRE'!$I$260</f>
        <v>38888126.9</v>
      </c>
      <c r="G77" s="70">
        <f>+F77</f>
        <v>38888126.9</v>
      </c>
      <c r="H77" s="85">
        <f t="shared" si="2"/>
        <v>99.98230852658521</v>
      </c>
      <c r="I77" s="38"/>
      <c r="J77" s="38"/>
      <c r="K77" s="95" t="e">
        <f t="shared" si="4"/>
        <v>#DIV/0!</v>
      </c>
      <c r="L77" s="95" t="e">
        <f t="shared" si="5"/>
        <v>#DIV/0!</v>
      </c>
      <c r="M77" s="58">
        <f t="shared" si="6"/>
        <v>8.000000000000007</v>
      </c>
      <c r="O77" s="37">
        <f t="shared" si="35"/>
        <v>1.08</v>
      </c>
    </row>
    <row r="78" spans="1:15" ht="12.75">
      <c r="A78" s="2" t="s">
        <v>133</v>
      </c>
      <c r="B78" s="38">
        <f t="shared" si="33"/>
        <v>0</v>
      </c>
      <c r="C78" s="38"/>
      <c r="D78" s="38"/>
      <c r="E78" s="59">
        <f t="shared" si="34"/>
        <v>0</v>
      </c>
      <c r="F78" s="38"/>
      <c r="G78" s="70"/>
      <c r="H78" s="85" t="e">
        <f t="shared" si="2"/>
        <v>#DIV/0!</v>
      </c>
      <c r="I78" s="38"/>
      <c r="J78" s="38"/>
      <c r="K78" s="95" t="e">
        <f t="shared" si="4"/>
        <v>#DIV/0!</v>
      </c>
      <c r="L78" s="95" t="e">
        <f t="shared" si="5"/>
        <v>#DIV/0!</v>
      </c>
      <c r="M78" s="58" t="e">
        <f t="shared" si="6"/>
        <v>#DIV/0!</v>
      </c>
      <c r="O78" s="37">
        <f t="shared" si="35"/>
        <v>1.08</v>
      </c>
    </row>
    <row r="79" spans="1:15" ht="12.75">
      <c r="A79" s="2" t="s">
        <v>134</v>
      </c>
      <c r="B79" s="38">
        <f t="shared" si="33"/>
        <v>64579608.720000006</v>
      </c>
      <c r="C79" s="38">
        <f>+'[2]DICIEMBRE'!$C$198</f>
        <v>38453514</v>
      </c>
      <c r="D79" s="38">
        <f>+'[2]DICIEMBRE'!$D$198-'[2]DICIEMBRE'!$E$198</f>
        <v>22551240</v>
      </c>
      <c r="E79" s="59">
        <f t="shared" si="34"/>
        <v>61004754</v>
      </c>
      <c r="F79" s="38">
        <f>+'[2]DICIEMBRE'!$I$198</f>
        <v>59795934</v>
      </c>
      <c r="G79" s="70">
        <f>+F79</f>
        <v>59795934</v>
      </c>
      <c r="H79" s="85">
        <f t="shared" si="2"/>
        <v>98.01848229729768</v>
      </c>
      <c r="I79" s="38"/>
      <c r="J79" s="38"/>
      <c r="K79" s="95" t="e">
        <f t="shared" si="4"/>
        <v>#DIV/0!</v>
      </c>
      <c r="L79" s="95" t="e">
        <f t="shared" si="5"/>
        <v>#DIV/0!</v>
      </c>
      <c r="M79" s="58">
        <f t="shared" si="6"/>
        <v>8.000000000000007</v>
      </c>
      <c r="O79" s="37">
        <f t="shared" si="35"/>
        <v>1.08</v>
      </c>
    </row>
    <row r="80" spans="1:15" ht="12.75">
      <c r="A80" s="2" t="s">
        <v>135</v>
      </c>
      <c r="B80" s="38">
        <f t="shared" si="33"/>
        <v>0</v>
      </c>
      <c r="C80" s="38"/>
      <c r="D80" s="38"/>
      <c r="E80" s="59">
        <f t="shared" si="34"/>
        <v>0</v>
      </c>
      <c r="F80" s="38"/>
      <c r="G80" s="70"/>
      <c r="H80" s="85" t="e">
        <f t="shared" si="2"/>
        <v>#DIV/0!</v>
      </c>
      <c r="I80" s="38"/>
      <c r="J80" s="38"/>
      <c r="K80" s="95" t="e">
        <f t="shared" si="4"/>
        <v>#DIV/0!</v>
      </c>
      <c r="L80" s="95" t="e">
        <f t="shared" si="5"/>
        <v>#DIV/0!</v>
      </c>
      <c r="M80" s="58" t="e">
        <f t="shared" si="6"/>
        <v>#DIV/0!</v>
      </c>
      <c r="O80" s="37">
        <f t="shared" si="35"/>
        <v>1.08</v>
      </c>
    </row>
    <row r="81" spans="1:15" ht="12.75">
      <c r="A81" s="2" t="s">
        <v>136</v>
      </c>
      <c r="B81" s="38">
        <f t="shared" si="33"/>
        <v>44834210.64</v>
      </c>
      <c r="C81" s="38">
        <f>+'[2]DICIEMBRE'!$C$214</f>
        <v>32027636</v>
      </c>
      <c r="D81" s="38">
        <f>+'[2]DICIEMBRE'!$D$214-'[2]DICIEMBRE'!$E$214</f>
        <v>17009961</v>
      </c>
      <c r="E81" s="59">
        <f t="shared" si="34"/>
        <v>49037597</v>
      </c>
      <c r="F81" s="38">
        <f>+'[2]DICIEMBRE'!$I$214</f>
        <v>41513158</v>
      </c>
      <c r="G81" s="70">
        <f>+F81</f>
        <v>41513158</v>
      </c>
      <c r="H81" s="85">
        <f aca="true" t="shared" si="36" ref="H81:H144">((G81*100)/E81)</f>
        <v>84.65577544511409</v>
      </c>
      <c r="I81" s="38"/>
      <c r="J81" s="38"/>
      <c r="K81" s="95" t="e">
        <f aca="true" t="shared" si="37" ref="K81:K144">+((G81/I81)-1)*100</f>
        <v>#DIV/0!</v>
      </c>
      <c r="L81" s="95" t="e">
        <f aca="true" t="shared" si="38" ref="L81:L144">+((I81/J81)-1)*100</f>
        <v>#DIV/0!</v>
      </c>
      <c r="M81" s="58">
        <f aca="true" t="shared" si="39" ref="M81:M144">((B81/G81)-1)*100</f>
        <v>8.000000000000007</v>
      </c>
      <c r="O81" s="37">
        <f t="shared" si="35"/>
        <v>1.08</v>
      </c>
    </row>
    <row r="82" spans="1:15" ht="12.75">
      <c r="A82" s="2" t="s">
        <v>137</v>
      </c>
      <c r="B82" s="38">
        <f t="shared" si="33"/>
        <v>22737242.16</v>
      </c>
      <c r="C82" s="38">
        <f>+'[2]DICIEMBRE'!$C$289</f>
        <v>15000000</v>
      </c>
      <c r="D82" s="38">
        <f>+'[2]DICIEMBRE'!$D$289</f>
        <v>6791321</v>
      </c>
      <c r="E82" s="59">
        <f t="shared" si="34"/>
        <v>21791321</v>
      </c>
      <c r="F82" s="38">
        <f>+'[2]DICIEMBRE'!$I$289</f>
        <v>21053002</v>
      </c>
      <c r="G82" s="70">
        <f>+F82</f>
        <v>21053002</v>
      </c>
      <c r="H82" s="85">
        <f t="shared" si="36"/>
        <v>96.61186671519363</v>
      </c>
      <c r="I82" s="38"/>
      <c r="J82" s="38"/>
      <c r="K82" s="95" t="e">
        <f t="shared" si="37"/>
        <v>#DIV/0!</v>
      </c>
      <c r="L82" s="95" t="e">
        <f t="shared" si="38"/>
        <v>#DIV/0!</v>
      </c>
      <c r="M82" s="58">
        <f t="shared" si="39"/>
        <v>8.000000000000007</v>
      </c>
      <c r="O82" s="37">
        <f t="shared" si="35"/>
        <v>1.08</v>
      </c>
    </row>
    <row r="83" spans="1:15" ht="12.75">
      <c r="A83" s="2" t="s">
        <v>138</v>
      </c>
      <c r="B83" s="38">
        <f t="shared" si="33"/>
        <v>83733292.08</v>
      </c>
      <c r="C83" s="38">
        <f>+'[2]DICIEMBRE'!$C$231</f>
        <v>60000000</v>
      </c>
      <c r="D83" s="38">
        <f>+'[2]DICIEMBRE'!$D$231-'[2]DICIEMBRE'!$E$231</f>
        <v>29704499</v>
      </c>
      <c r="E83" s="59">
        <f t="shared" si="34"/>
        <v>89704499</v>
      </c>
      <c r="F83" s="38">
        <f>+'[2]DICIEMBRE'!$I$231</f>
        <v>77530826</v>
      </c>
      <c r="G83" s="70">
        <f>+F83</f>
        <v>77530826</v>
      </c>
      <c r="H83" s="85">
        <f t="shared" si="36"/>
        <v>86.4291388551203</v>
      </c>
      <c r="I83" s="38"/>
      <c r="J83" s="38"/>
      <c r="K83" s="95" t="e">
        <f t="shared" si="37"/>
        <v>#DIV/0!</v>
      </c>
      <c r="L83" s="95" t="e">
        <f t="shared" si="38"/>
        <v>#DIV/0!</v>
      </c>
      <c r="M83" s="58">
        <f t="shared" si="39"/>
        <v>8.000000000000007</v>
      </c>
      <c r="O83" s="37">
        <f t="shared" si="35"/>
        <v>1.08</v>
      </c>
    </row>
    <row r="84" spans="1:15" ht="12.75">
      <c r="A84" s="2" t="s">
        <v>139</v>
      </c>
      <c r="B84" s="38">
        <f t="shared" si="33"/>
        <v>0</v>
      </c>
      <c r="C84" s="38"/>
      <c r="D84" s="38"/>
      <c r="E84" s="59">
        <f t="shared" si="34"/>
        <v>0</v>
      </c>
      <c r="F84" s="38"/>
      <c r="G84" s="70"/>
      <c r="H84" s="85" t="e">
        <f t="shared" si="36"/>
        <v>#DIV/0!</v>
      </c>
      <c r="I84" s="38"/>
      <c r="J84" s="38"/>
      <c r="K84" s="95" t="e">
        <f t="shared" si="37"/>
        <v>#DIV/0!</v>
      </c>
      <c r="L84" s="95" t="e">
        <f t="shared" si="38"/>
        <v>#DIV/0!</v>
      </c>
      <c r="M84" s="58" t="e">
        <f t="shared" si="39"/>
        <v>#DIV/0!</v>
      </c>
      <c r="O84" s="37">
        <f t="shared" si="35"/>
        <v>1.08</v>
      </c>
    </row>
    <row r="85" spans="1:15" ht="12.75">
      <c r="A85" s="2" t="s">
        <v>140</v>
      </c>
      <c r="B85" s="38">
        <f t="shared" si="33"/>
        <v>22707973.080000002</v>
      </c>
      <c r="C85" s="38">
        <f>+'[2]DICIEMBRE'!$C$313</f>
        <v>17000000</v>
      </c>
      <c r="D85" s="38">
        <f>+'[2]DICIEMBRE'!$D$313</f>
        <v>8311768</v>
      </c>
      <c r="E85" s="59">
        <f t="shared" si="34"/>
        <v>25311768</v>
      </c>
      <c r="F85" s="38">
        <f>+'[2]DICIEMBRE'!$I$313</f>
        <v>21025901</v>
      </c>
      <c r="G85" s="70">
        <f>+F85</f>
        <v>21025901</v>
      </c>
      <c r="H85" s="85">
        <f t="shared" si="36"/>
        <v>83.0676900957689</v>
      </c>
      <c r="I85" s="38"/>
      <c r="J85" s="38"/>
      <c r="K85" s="95" t="e">
        <f t="shared" si="37"/>
        <v>#DIV/0!</v>
      </c>
      <c r="L85" s="95" t="e">
        <f t="shared" si="38"/>
        <v>#DIV/0!</v>
      </c>
      <c r="M85" s="58">
        <f t="shared" si="39"/>
        <v>8.000000000000007</v>
      </c>
      <c r="O85" s="37">
        <f t="shared" si="35"/>
        <v>1.08</v>
      </c>
    </row>
    <row r="86" spans="1:15" ht="12.75">
      <c r="A86" s="2" t="s">
        <v>141</v>
      </c>
      <c r="B86" s="38">
        <f t="shared" si="33"/>
        <v>89694</v>
      </c>
      <c r="C86" s="38">
        <f>+'[2]DICIEMBRE'!$F$298</f>
        <v>500000</v>
      </c>
      <c r="D86" s="38"/>
      <c r="E86" s="59">
        <f t="shared" si="34"/>
        <v>500000</v>
      </c>
      <c r="F86" s="38">
        <f>+'[2]DICIEMBRE'!$I$298</f>
        <v>83050</v>
      </c>
      <c r="G86" s="70">
        <f>+F86</f>
        <v>83050</v>
      </c>
      <c r="H86" s="85">
        <f t="shared" si="36"/>
        <v>16.61</v>
      </c>
      <c r="I86" s="38"/>
      <c r="J86" s="38"/>
      <c r="K86" s="95" t="e">
        <f t="shared" si="37"/>
        <v>#DIV/0!</v>
      </c>
      <c r="L86" s="95" t="e">
        <f t="shared" si="38"/>
        <v>#DIV/0!</v>
      </c>
      <c r="M86" s="58">
        <f t="shared" si="39"/>
        <v>8.000000000000007</v>
      </c>
      <c r="O86" s="37">
        <f t="shared" si="35"/>
        <v>1.08</v>
      </c>
    </row>
    <row r="87" spans="1:15" ht="12.75">
      <c r="A87" s="2" t="s">
        <v>142</v>
      </c>
      <c r="B87" s="38">
        <f t="shared" si="33"/>
        <v>165046915.44</v>
      </c>
      <c r="C87" s="38">
        <f>+'[2]DICIEMBRE'!$C$254+'[2]DICIEMBRE'!$C$266+'[2]DICIEMBRE'!$C$271+'[2]DICIEMBRE'!$C$273+'[2]DICIEMBRE'!$C$285+'[2]DICIEMBRE'!$C$292</f>
        <v>123579055.56</v>
      </c>
      <c r="D87" s="38">
        <f>+'[2]DICIEMBRE'!$D$254+'[2]DICIEMBRE'!$D$266-'[2]DICIEMBRE'!$E$266+'[2]DICIEMBRE'!$D$273+'[2]DICIEMBRE'!$D$292</f>
        <v>48582058</v>
      </c>
      <c r="E87" s="59">
        <f t="shared" si="34"/>
        <v>172161113.56</v>
      </c>
      <c r="F87" s="38">
        <f>+'[2]DICIEMBRE'!$I$254+'[2]DICIEMBRE'!$I$266+'[2]DICIEMBRE'!$I$271+'[2]DICIEMBRE'!$I$273+'[2]DICIEMBRE'!$I$285+'[2]DICIEMBRE'!$I$292</f>
        <v>152821218</v>
      </c>
      <c r="G87" s="70">
        <f>+F87</f>
        <v>152821218</v>
      </c>
      <c r="H87" s="85">
        <f t="shared" si="36"/>
        <v>88.76639726586117</v>
      </c>
      <c r="I87" s="38"/>
      <c r="J87" s="38"/>
      <c r="K87" s="95" t="e">
        <f t="shared" si="37"/>
        <v>#DIV/0!</v>
      </c>
      <c r="L87" s="95" t="e">
        <f t="shared" si="38"/>
        <v>#DIV/0!</v>
      </c>
      <c r="M87" s="58">
        <f t="shared" si="39"/>
        <v>8.000000000000007</v>
      </c>
      <c r="O87" s="37">
        <f t="shared" si="35"/>
        <v>1.08</v>
      </c>
    </row>
    <row r="88" spans="1:15" ht="12.75">
      <c r="A88" s="128" t="s">
        <v>143</v>
      </c>
      <c r="B88" s="92">
        <f>SUM(B89:B94)</f>
        <v>0</v>
      </c>
      <c r="C88" s="92">
        <f aca="true" t="shared" si="40" ref="C88:J88">SUM(C89:C94)</f>
        <v>0</v>
      </c>
      <c r="D88" s="92">
        <f t="shared" si="40"/>
        <v>0</v>
      </c>
      <c r="E88" s="92">
        <f t="shared" si="40"/>
        <v>0</v>
      </c>
      <c r="F88" s="92">
        <f t="shared" si="40"/>
        <v>0</v>
      </c>
      <c r="G88" s="92">
        <f>SUM(G89:G94)</f>
        <v>0</v>
      </c>
      <c r="H88" s="86" t="e">
        <f t="shared" si="36"/>
        <v>#DIV/0!</v>
      </c>
      <c r="I88" s="92">
        <f t="shared" si="40"/>
        <v>0</v>
      </c>
      <c r="J88" s="92">
        <f t="shared" si="40"/>
        <v>0</v>
      </c>
      <c r="K88" s="101" t="e">
        <f t="shared" si="37"/>
        <v>#DIV/0!</v>
      </c>
      <c r="L88" s="101" t="e">
        <f t="shared" si="38"/>
        <v>#DIV/0!</v>
      </c>
      <c r="M88" s="108" t="e">
        <f t="shared" si="39"/>
        <v>#DIV/0!</v>
      </c>
      <c r="O88" s="37">
        <f t="shared" si="35"/>
        <v>1.08</v>
      </c>
    </row>
    <row r="89" spans="1:15" ht="12.75">
      <c r="A89" s="2" t="s">
        <v>130</v>
      </c>
      <c r="B89" s="38">
        <f aca="true" t="shared" si="41" ref="B89:B94">+G89*O90</f>
        <v>0</v>
      </c>
      <c r="C89" s="38"/>
      <c r="D89" s="38"/>
      <c r="E89" s="59">
        <f aca="true" t="shared" si="42" ref="E89:E94">+C89+D89</f>
        <v>0</v>
      </c>
      <c r="F89" s="38"/>
      <c r="G89" s="70"/>
      <c r="H89" s="85" t="e">
        <f t="shared" si="36"/>
        <v>#DIV/0!</v>
      </c>
      <c r="I89" s="38"/>
      <c r="J89" s="38"/>
      <c r="K89" s="95" t="e">
        <f t="shared" si="37"/>
        <v>#DIV/0!</v>
      </c>
      <c r="L89" s="95" t="e">
        <f t="shared" si="38"/>
        <v>#DIV/0!</v>
      </c>
      <c r="M89" s="58" t="e">
        <f t="shared" si="39"/>
        <v>#DIV/0!</v>
      </c>
      <c r="O89" s="191"/>
    </row>
    <row r="90" spans="1:15" ht="12.75">
      <c r="A90" s="2" t="s">
        <v>132</v>
      </c>
      <c r="B90" s="38">
        <f t="shared" si="41"/>
        <v>0</v>
      </c>
      <c r="C90" s="38"/>
      <c r="D90" s="38"/>
      <c r="E90" s="59">
        <f t="shared" si="42"/>
        <v>0</v>
      </c>
      <c r="F90" s="38"/>
      <c r="G90" s="70"/>
      <c r="H90" s="85" t="e">
        <f t="shared" si="36"/>
        <v>#DIV/0!</v>
      </c>
      <c r="I90" s="38"/>
      <c r="J90" s="38"/>
      <c r="K90" s="95" t="e">
        <f t="shared" si="37"/>
        <v>#DIV/0!</v>
      </c>
      <c r="L90" s="95" t="e">
        <f t="shared" si="38"/>
        <v>#DIV/0!</v>
      </c>
      <c r="M90" s="58" t="e">
        <f t="shared" si="39"/>
        <v>#DIV/0!</v>
      </c>
      <c r="O90" s="37">
        <f aca="true" t="shared" si="43" ref="O90:O95">1+(0.055+0.025)</f>
        <v>1.08</v>
      </c>
    </row>
    <row r="91" spans="1:15" ht="12.75">
      <c r="A91" s="2" t="s">
        <v>133</v>
      </c>
      <c r="B91" s="38">
        <f t="shared" si="41"/>
        <v>0</v>
      </c>
      <c r="C91" s="38"/>
      <c r="D91" s="38"/>
      <c r="E91" s="59">
        <f t="shared" si="42"/>
        <v>0</v>
      </c>
      <c r="F91" s="38"/>
      <c r="G91" s="70"/>
      <c r="H91" s="85" t="e">
        <f t="shared" si="36"/>
        <v>#DIV/0!</v>
      </c>
      <c r="I91" s="38"/>
      <c r="J91" s="38"/>
      <c r="K91" s="95" t="e">
        <f t="shared" si="37"/>
        <v>#DIV/0!</v>
      </c>
      <c r="L91" s="95" t="e">
        <f t="shared" si="38"/>
        <v>#DIV/0!</v>
      </c>
      <c r="M91" s="58" t="e">
        <f t="shared" si="39"/>
        <v>#DIV/0!</v>
      </c>
      <c r="O91" s="37">
        <f t="shared" si="43"/>
        <v>1.08</v>
      </c>
    </row>
    <row r="92" spans="1:15" ht="12.75">
      <c r="A92" s="2" t="s">
        <v>135</v>
      </c>
      <c r="B92" s="38">
        <f t="shared" si="41"/>
        <v>0</v>
      </c>
      <c r="C92" s="38"/>
      <c r="D92" s="38"/>
      <c r="E92" s="59">
        <f t="shared" si="42"/>
        <v>0</v>
      </c>
      <c r="F92" s="38"/>
      <c r="G92" s="70"/>
      <c r="H92" s="85" t="e">
        <f t="shared" si="36"/>
        <v>#DIV/0!</v>
      </c>
      <c r="I92" s="38"/>
      <c r="J92" s="38"/>
      <c r="K92" s="95" t="e">
        <f t="shared" si="37"/>
        <v>#DIV/0!</v>
      </c>
      <c r="L92" s="95" t="e">
        <f t="shared" si="38"/>
        <v>#DIV/0!</v>
      </c>
      <c r="M92" s="58" t="e">
        <f t="shared" si="39"/>
        <v>#DIV/0!</v>
      </c>
      <c r="O92" s="37">
        <f t="shared" si="43"/>
        <v>1.08</v>
      </c>
    </row>
    <row r="93" spans="1:15" ht="12.75">
      <c r="A93" s="2" t="s">
        <v>144</v>
      </c>
      <c r="B93" s="38">
        <f t="shared" si="41"/>
        <v>0</v>
      </c>
      <c r="C93" s="38"/>
      <c r="D93" s="38"/>
      <c r="E93" s="59">
        <f t="shared" si="42"/>
        <v>0</v>
      </c>
      <c r="F93" s="38"/>
      <c r="G93" s="70"/>
      <c r="H93" s="85" t="e">
        <f t="shared" si="36"/>
        <v>#DIV/0!</v>
      </c>
      <c r="I93" s="38"/>
      <c r="J93" s="38"/>
      <c r="K93" s="95" t="e">
        <f t="shared" si="37"/>
        <v>#DIV/0!</v>
      </c>
      <c r="L93" s="95" t="e">
        <f t="shared" si="38"/>
        <v>#DIV/0!</v>
      </c>
      <c r="M93" s="58" t="e">
        <f t="shared" si="39"/>
        <v>#DIV/0!</v>
      </c>
      <c r="O93" s="37">
        <f t="shared" si="43"/>
        <v>1.08</v>
      </c>
    </row>
    <row r="94" spans="1:15" ht="12.75">
      <c r="A94" s="2" t="s">
        <v>138</v>
      </c>
      <c r="B94" s="38">
        <f t="shared" si="41"/>
        <v>0</v>
      </c>
      <c r="C94" s="38"/>
      <c r="D94" s="38"/>
      <c r="E94" s="59">
        <f t="shared" si="42"/>
        <v>0</v>
      </c>
      <c r="F94" s="38"/>
      <c r="G94" s="70"/>
      <c r="H94" s="85" t="e">
        <f t="shared" si="36"/>
        <v>#DIV/0!</v>
      </c>
      <c r="I94" s="38"/>
      <c r="J94" s="38"/>
      <c r="K94" s="95" t="e">
        <f t="shared" si="37"/>
        <v>#DIV/0!</v>
      </c>
      <c r="L94" s="95" t="e">
        <f t="shared" si="38"/>
        <v>#DIV/0!</v>
      </c>
      <c r="M94" s="58" t="e">
        <f t="shared" si="39"/>
        <v>#DIV/0!</v>
      </c>
      <c r="O94" s="37">
        <f t="shared" si="43"/>
        <v>1.08</v>
      </c>
    </row>
    <row r="95" spans="1:15" ht="12.75">
      <c r="A95" s="128" t="s">
        <v>145</v>
      </c>
      <c r="B95" s="92">
        <f>SUM(B96:B109)</f>
        <v>0</v>
      </c>
      <c r="C95" s="92">
        <f aca="true" t="shared" si="44" ref="C95:J95">SUM(C96:C109)</f>
        <v>0</v>
      </c>
      <c r="D95" s="92">
        <f t="shared" si="44"/>
        <v>0</v>
      </c>
      <c r="E95" s="92">
        <f t="shared" si="44"/>
        <v>0</v>
      </c>
      <c r="F95" s="92">
        <f t="shared" si="44"/>
        <v>0</v>
      </c>
      <c r="G95" s="92">
        <f>SUM(G96:G109)</f>
        <v>0</v>
      </c>
      <c r="H95" s="86" t="e">
        <f t="shared" si="36"/>
        <v>#DIV/0!</v>
      </c>
      <c r="I95" s="92">
        <f t="shared" si="44"/>
        <v>0</v>
      </c>
      <c r="J95" s="92">
        <f t="shared" si="44"/>
        <v>0</v>
      </c>
      <c r="K95" s="101" t="e">
        <f t="shared" si="37"/>
        <v>#DIV/0!</v>
      </c>
      <c r="L95" s="101" t="e">
        <f t="shared" si="38"/>
        <v>#DIV/0!</v>
      </c>
      <c r="M95" s="108" t="e">
        <f t="shared" si="39"/>
        <v>#DIV/0!</v>
      </c>
      <c r="O95" s="37">
        <f t="shared" si="43"/>
        <v>1.08</v>
      </c>
    </row>
    <row r="96" spans="1:15" ht="12.75">
      <c r="A96" s="2" t="s">
        <v>130</v>
      </c>
      <c r="B96" s="38">
        <f aca="true" t="shared" si="45" ref="B96:B109">+G96*O97</f>
        <v>0</v>
      </c>
      <c r="C96" s="38"/>
      <c r="D96" s="38"/>
      <c r="E96" s="59">
        <f aca="true" t="shared" si="46" ref="E96:E109">+C96+D96</f>
        <v>0</v>
      </c>
      <c r="F96" s="38"/>
      <c r="G96" s="70"/>
      <c r="H96" s="85" t="e">
        <f t="shared" si="36"/>
        <v>#DIV/0!</v>
      </c>
      <c r="I96" s="38"/>
      <c r="J96" s="38"/>
      <c r="K96" s="95" t="e">
        <f t="shared" si="37"/>
        <v>#DIV/0!</v>
      </c>
      <c r="L96" s="95" t="e">
        <f t="shared" si="38"/>
        <v>#DIV/0!</v>
      </c>
      <c r="M96" s="58" t="e">
        <f t="shared" si="39"/>
        <v>#DIV/0!</v>
      </c>
      <c r="O96" s="191"/>
    </row>
    <row r="97" spans="1:15" ht="12.75">
      <c r="A97" s="2" t="s">
        <v>131</v>
      </c>
      <c r="B97" s="38">
        <f t="shared" si="45"/>
        <v>0</v>
      </c>
      <c r="C97" s="38"/>
      <c r="D97" s="38"/>
      <c r="E97" s="59">
        <f t="shared" si="46"/>
        <v>0</v>
      </c>
      <c r="F97" s="38"/>
      <c r="G97" s="70"/>
      <c r="H97" s="85" t="e">
        <f t="shared" si="36"/>
        <v>#DIV/0!</v>
      </c>
      <c r="I97" s="38"/>
      <c r="J97" s="38"/>
      <c r="K97" s="95" t="e">
        <f t="shared" si="37"/>
        <v>#DIV/0!</v>
      </c>
      <c r="L97" s="95" t="e">
        <f t="shared" si="38"/>
        <v>#DIV/0!</v>
      </c>
      <c r="M97" s="58" t="e">
        <f t="shared" si="39"/>
        <v>#DIV/0!</v>
      </c>
      <c r="O97" s="37">
        <f aca="true" t="shared" si="47" ref="O97:O110">1+(0.055+0.025)</f>
        <v>1.08</v>
      </c>
    </row>
    <row r="98" spans="1:15" ht="12.75">
      <c r="A98" s="2" t="s">
        <v>132</v>
      </c>
      <c r="B98" s="38">
        <f t="shared" si="45"/>
        <v>0</v>
      </c>
      <c r="C98" s="38"/>
      <c r="D98" s="38"/>
      <c r="E98" s="59">
        <f t="shared" si="46"/>
        <v>0</v>
      </c>
      <c r="F98" s="38"/>
      <c r="G98" s="70"/>
      <c r="H98" s="85" t="e">
        <f t="shared" si="36"/>
        <v>#DIV/0!</v>
      </c>
      <c r="I98" s="38"/>
      <c r="J98" s="38"/>
      <c r="K98" s="95" t="e">
        <f t="shared" si="37"/>
        <v>#DIV/0!</v>
      </c>
      <c r="L98" s="95" t="e">
        <f t="shared" si="38"/>
        <v>#DIV/0!</v>
      </c>
      <c r="M98" s="58" t="e">
        <f t="shared" si="39"/>
        <v>#DIV/0!</v>
      </c>
      <c r="O98" s="37">
        <f t="shared" si="47"/>
        <v>1.08</v>
      </c>
    </row>
    <row r="99" spans="1:15" ht="12.75">
      <c r="A99" s="2" t="s">
        <v>133</v>
      </c>
      <c r="B99" s="38">
        <f t="shared" si="45"/>
        <v>0</v>
      </c>
      <c r="C99" s="38"/>
      <c r="D99" s="38"/>
      <c r="E99" s="59">
        <f t="shared" si="46"/>
        <v>0</v>
      </c>
      <c r="F99" s="38"/>
      <c r="G99" s="70"/>
      <c r="H99" s="85" t="e">
        <f t="shared" si="36"/>
        <v>#DIV/0!</v>
      </c>
      <c r="I99" s="38"/>
      <c r="J99" s="38"/>
      <c r="K99" s="95" t="e">
        <f t="shared" si="37"/>
        <v>#DIV/0!</v>
      </c>
      <c r="L99" s="95" t="e">
        <f t="shared" si="38"/>
        <v>#DIV/0!</v>
      </c>
      <c r="M99" s="58" t="e">
        <f t="shared" si="39"/>
        <v>#DIV/0!</v>
      </c>
      <c r="O99" s="37">
        <f t="shared" si="47"/>
        <v>1.08</v>
      </c>
    </row>
    <row r="100" spans="1:15" ht="12.75">
      <c r="A100" s="2" t="s">
        <v>134</v>
      </c>
      <c r="B100" s="38">
        <f t="shared" si="45"/>
        <v>0</v>
      </c>
      <c r="C100" s="38"/>
      <c r="D100" s="38"/>
      <c r="E100" s="59">
        <f t="shared" si="46"/>
        <v>0</v>
      </c>
      <c r="F100" s="38"/>
      <c r="G100" s="70"/>
      <c r="H100" s="85" t="e">
        <f t="shared" si="36"/>
        <v>#DIV/0!</v>
      </c>
      <c r="I100" s="38"/>
      <c r="J100" s="38"/>
      <c r="K100" s="95" t="e">
        <f t="shared" si="37"/>
        <v>#DIV/0!</v>
      </c>
      <c r="L100" s="95" t="e">
        <f t="shared" si="38"/>
        <v>#DIV/0!</v>
      </c>
      <c r="M100" s="58" t="e">
        <f t="shared" si="39"/>
        <v>#DIV/0!</v>
      </c>
      <c r="O100" s="37">
        <f t="shared" si="47"/>
        <v>1.08</v>
      </c>
    </row>
    <row r="101" spans="1:15" ht="12.75">
      <c r="A101" s="2" t="s">
        <v>135</v>
      </c>
      <c r="B101" s="38">
        <f t="shared" si="45"/>
        <v>0</v>
      </c>
      <c r="C101" s="38"/>
      <c r="D101" s="38"/>
      <c r="E101" s="59">
        <f t="shared" si="46"/>
        <v>0</v>
      </c>
      <c r="F101" s="38"/>
      <c r="G101" s="70"/>
      <c r="H101" s="85" t="e">
        <f t="shared" si="36"/>
        <v>#DIV/0!</v>
      </c>
      <c r="I101" s="38"/>
      <c r="J101" s="38"/>
      <c r="K101" s="95" t="e">
        <f t="shared" si="37"/>
        <v>#DIV/0!</v>
      </c>
      <c r="L101" s="95" t="e">
        <f t="shared" si="38"/>
        <v>#DIV/0!</v>
      </c>
      <c r="M101" s="58" t="e">
        <f t="shared" si="39"/>
        <v>#DIV/0!</v>
      </c>
      <c r="O101" s="37">
        <f t="shared" si="47"/>
        <v>1.08</v>
      </c>
    </row>
    <row r="102" spans="1:15" ht="12.75">
      <c r="A102" s="2" t="s">
        <v>136</v>
      </c>
      <c r="B102" s="38">
        <f t="shared" si="45"/>
        <v>0</v>
      </c>
      <c r="C102" s="38"/>
      <c r="D102" s="38"/>
      <c r="E102" s="59">
        <f t="shared" si="46"/>
        <v>0</v>
      </c>
      <c r="F102" s="38"/>
      <c r="G102" s="70"/>
      <c r="H102" s="85" t="e">
        <f t="shared" si="36"/>
        <v>#DIV/0!</v>
      </c>
      <c r="I102" s="38"/>
      <c r="J102" s="38"/>
      <c r="K102" s="95" t="e">
        <f t="shared" si="37"/>
        <v>#DIV/0!</v>
      </c>
      <c r="L102" s="95" t="e">
        <f t="shared" si="38"/>
        <v>#DIV/0!</v>
      </c>
      <c r="M102" s="58" t="e">
        <f t="shared" si="39"/>
        <v>#DIV/0!</v>
      </c>
      <c r="O102" s="37">
        <f t="shared" si="47"/>
        <v>1.08</v>
      </c>
    </row>
    <row r="103" spans="1:15" ht="12.75">
      <c r="A103" s="2" t="s">
        <v>137</v>
      </c>
      <c r="B103" s="38">
        <f t="shared" si="45"/>
        <v>0</v>
      </c>
      <c r="C103" s="38"/>
      <c r="D103" s="38"/>
      <c r="E103" s="59">
        <f t="shared" si="46"/>
        <v>0</v>
      </c>
      <c r="F103" s="38"/>
      <c r="G103" s="70"/>
      <c r="H103" s="85" t="e">
        <f t="shared" si="36"/>
        <v>#DIV/0!</v>
      </c>
      <c r="I103" s="38"/>
      <c r="J103" s="38"/>
      <c r="K103" s="95" t="e">
        <f t="shared" si="37"/>
        <v>#DIV/0!</v>
      </c>
      <c r="L103" s="95" t="e">
        <f t="shared" si="38"/>
        <v>#DIV/0!</v>
      </c>
      <c r="M103" s="58" t="e">
        <f t="shared" si="39"/>
        <v>#DIV/0!</v>
      </c>
      <c r="O103" s="37">
        <f t="shared" si="47"/>
        <v>1.08</v>
      </c>
    </row>
    <row r="104" spans="1:15" ht="12.75">
      <c r="A104" s="2" t="s">
        <v>138</v>
      </c>
      <c r="B104" s="38">
        <f t="shared" si="45"/>
        <v>0</v>
      </c>
      <c r="C104" s="38"/>
      <c r="D104" s="38"/>
      <c r="E104" s="59">
        <f t="shared" si="46"/>
        <v>0</v>
      </c>
      <c r="F104" s="38"/>
      <c r="G104" s="70"/>
      <c r="H104" s="85" t="e">
        <f t="shared" si="36"/>
        <v>#DIV/0!</v>
      </c>
      <c r="I104" s="38"/>
      <c r="J104" s="38"/>
      <c r="K104" s="95" t="e">
        <f t="shared" si="37"/>
        <v>#DIV/0!</v>
      </c>
      <c r="L104" s="95" t="e">
        <f t="shared" si="38"/>
        <v>#DIV/0!</v>
      </c>
      <c r="M104" s="58" t="e">
        <f t="shared" si="39"/>
        <v>#DIV/0!</v>
      </c>
      <c r="O104" s="37">
        <f t="shared" si="47"/>
        <v>1.08</v>
      </c>
    </row>
    <row r="105" spans="1:15" ht="12.75">
      <c r="A105" s="2" t="s">
        <v>139</v>
      </c>
      <c r="B105" s="38">
        <f t="shared" si="45"/>
        <v>0</v>
      </c>
      <c r="C105" s="38"/>
      <c r="D105" s="38"/>
      <c r="E105" s="59">
        <f t="shared" si="46"/>
        <v>0</v>
      </c>
      <c r="F105" s="38"/>
      <c r="G105" s="70"/>
      <c r="H105" s="85" t="e">
        <f t="shared" si="36"/>
        <v>#DIV/0!</v>
      </c>
      <c r="I105" s="38"/>
      <c r="J105" s="38"/>
      <c r="K105" s="95" t="e">
        <f t="shared" si="37"/>
        <v>#DIV/0!</v>
      </c>
      <c r="L105" s="95" t="e">
        <f t="shared" si="38"/>
        <v>#DIV/0!</v>
      </c>
      <c r="M105" s="58" t="e">
        <f t="shared" si="39"/>
        <v>#DIV/0!</v>
      </c>
      <c r="O105" s="37">
        <f t="shared" si="47"/>
        <v>1.08</v>
      </c>
    </row>
    <row r="106" spans="1:15" ht="12.75">
      <c r="A106" s="2" t="s">
        <v>140</v>
      </c>
      <c r="B106" s="38">
        <f t="shared" si="45"/>
        <v>0</v>
      </c>
      <c r="C106" s="38"/>
      <c r="D106" s="38"/>
      <c r="E106" s="59">
        <f t="shared" si="46"/>
        <v>0</v>
      </c>
      <c r="F106" s="38"/>
      <c r="G106" s="70"/>
      <c r="H106" s="85" t="e">
        <f t="shared" si="36"/>
        <v>#DIV/0!</v>
      </c>
      <c r="I106" s="38"/>
      <c r="J106" s="38"/>
      <c r="K106" s="95" t="e">
        <f t="shared" si="37"/>
        <v>#DIV/0!</v>
      </c>
      <c r="L106" s="95" t="e">
        <f t="shared" si="38"/>
        <v>#DIV/0!</v>
      </c>
      <c r="M106" s="58" t="e">
        <f t="shared" si="39"/>
        <v>#DIV/0!</v>
      </c>
      <c r="O106" s="37">
        <f t="shared" si="47"/>
        <v>1.08</v>
      </c>
    </row>
    <row r="107" spans="1:15" ht="12.75">
      <c r="A107" s="2" t="s">
        <v>141</v>
      </c>
      <c r="B107" s="38">
        <f t="shared" si="45"/>
        <v>0</v>
      </c>
      <c r="C107" s="38"/>
      <c r="D107" s="38"/>
      <c r="E107" s="59">
        <f t="shared" si="46"/>
        <v>0</v>
      </c>
      <c r="F107" s="38"/>
      <c r="G107" s="70"/>
      <c r="H107" s="85" t="e">
        <f t="shared" si="36"/>
        <v>#DIV/0!</v>
      </c>
      <c r="I107" s="38"/>
      <c r="J107" s="38"/>
      <c r="K107" s="95" t="e">
        <f t="shared" si="37"/>
        <v>#DIV/0!</v>
      </c>
      <c r="L107" s="95" t="e">
        <f t="shared" si="38"/>
        <v>#DIV/0!</v>
      </c>
      <c r="M107" s="58" t="e">
        <f t="shared" si="39"/>
        <v>#DIV/0!</v>
      </c>
      <c r="O107" s="37">
        <f t="shared" si="47"/>
        <v>1.08</v>
      </c>
    </row>
    <row r="108" spans="1:15" ht="12.75">
      <c r="A108" s="2" t="s">
        <v>146</v>
      </c>
      <c r="B108" s="38">
        <f t="shared" si="45"/>
        <v>0</v>
      </c>
      <c r="C108" s="38"/>
      <c r="D108" s="38"/>
      <c r="E108" s="59">
        <f t="shared" si="46"/>
        <v>0</v>
      </c>
      <c r="F108" s="38"/>
      <c r="G108" s="70"/>
      <c r="H108" s="85" t="e">
        <f t="shared" si="36"/>
        <v>#DIV/0!</v>
      </c>
      <c r="I108" s="38"/>
      <c r="J108" s="38"/>
      <c r="K108" s="95" t="e">
        <f t="shared" si="37"/>
        <v>#DIV/0!</v>
      </c>
      <c r="L108" s="95" t="e">
        <f t="shared" si="38"/>
        <v>#DIV/0!</v>
      </c>
      <c r="M108" s="58" t="e">
        <f t="shared" si="39"/>
        <v>#DIV/0!</v>
      </c>
      <c r="O108" s="37">
        <f t="shared" si="47"/>
        <v>1.08</v>
      </c>
    </row>
    <row r="109" spans="1:15" ht="12.75">
      <c r="A109" s="2" t="s">
        <v>142</v>
      </c>
      <c r="B109" s="38">
        <f t="shared" si="45"/>
        <v>0</v>
      </c>
      <c r="C109" s="38"/>
      <c r="D109" s="38"/>
      <c r="E109" s="59">
        <f t="shared" si="46"/>
        <v>0</v>
      </c>
      <c r="F109" s="38"/>
      <c r="G109" s="70"/>
      <c r="H109" s="85" t="e">
        <f t="shared" si="36"/>
        <v>#DIV/0!</v>
      </c>
      <c r="I109" s="38"/>
      <c r="J109" s="38"/>
      <c r="K109" s="95" t="e">
        <f t="shared" si="37"/>
        <v>#DIV/0!</v>
      </c>
      <c r="L109" s="95" t="e">
        <f t="shared" si="38"/>
        <v>#DIV/0!</v>
      </c>
      <c r="M109" s="58" t="e">
        <f t="shared" si="39"/>
        <v>#DIV/0!</v>
      </c>
      <c r="O109" s="37">
        <f t="shared" si="47"/>
        <v>1.08</v>
      </c>
    </row>
    <row r="110" spans="1:15" ht="12.75">
      <c r="A110" s="127" t="s">
        <v>147</v>
      </c>
      <c r="B110" s="137">
        <f>B111+B125+B132</f>
        <v>0</v>
      </c>
      <c r="C110" s="137">
        <f aca="true" t="shared" si="48" ref="C110:J110">C111+C125+C132</f>
        <v>0</v>
      </c>
      <c r="D110" s="137">
        <f t="shared" si="48"/>
        <v>0</v>
      </c>
      <c r="E110" s="137">
        <f t="shared" si="48"/>
        <v>0</v>
      </c>
      <c r="F110" s="137">
        <f t="shared" si="48"/>
        <v>0</v>
      </c>
      <c r="G110" s="137">
        <f>G111+G125+G132</f>
        <v>0</v>
      </c>
      <c r="H110" s="185" t="e">
        <f t="shared" si="36"/>
        <v>#DIV/0!</v>
      </c>
      <c r="I110" s="137">
        <f t="shared" si="48"/>
        <v>0</v>
      </c>
      <c r="J110" s="137">
        <f t="shared" si="48"/>
        <v>0</v>
      </c>
      <c r="K110" s="141" t="e">
        <f t="shared" si="37"/>
        <v>#DIV/0!</v>
      </c>
      <c r="L110" s="141" t="e">
        <f t="shared" si="38"/>
        <v>#DIV/0!</v>
      </c>
      <c r="M110" s="136" t="e">
        <f t="shared" si="39"/>
        <v>#DIV/0!</v>
      </c>
      <c r="O110" s="37">
        <f t="shared" si="47"/>
        <v>1.08</v>
      </c>
    </row>
    <row r="111" spans="1:15" ht="12.75">
      <c r="A111" s="128" t="s">
        <v>129</v>
      </c>
      <c r="B111" s="92">
        <f>SUM(B112:B124)</f>
        <v>0</v>
      </c>
      <c r="C111" s="92">
        <f aca="true" t="shared" si="49" ref="C111:J111">SUM(C112:C124)</f>
        <v>0</v>
      </c>
      <c r="D111" s="92">
        <f t="shared" si="49"/>
        <v>0</v>
      </c>
      <c r="E111" s="92">
        <f t="shared" si="49"/>
        <v>0</v>
      </c>
      <c r="F111" s="92">
        <f t="shared" si="49"/>
        <v>0</v>
      </c>
      <c r="G111" s="92">
        <f>SUM(G112:G124)</f>
        <v>0</v>
      </c>
      <c r="H111" s="86" t="e">
        <f t="shared" si="36"/>
        <v>#DIV/0!</v>
      </c>
      <c r="I111" s="92">
        <f t="shared" si="49"/>
        <v>0</v>
      </c>
      <c r="J111" s="92">
        <f t="shared" si="49"/>
        <v>0</v>
      </c>
      <c r="K111" s="101" t="e">
        <f t="shared" si="37"/>
        <v>#DIV/0!</v>
      </c>
      <c r="L111" s="101" t="e">
        <f t="shared" si="38"/>
        <v>#DIV/0!</v>
      </c>
      <c r="M111" s="108" t="e">
        <f t="shared" si="39"/>
        <v>#DIV/0!</v>
      </c>
      <c r="O111" s="191"/>
    </row>
    <row r="112" spans="1:15" ht="12.75">
      <c r="A112" s="2" t="s">
        <v>130</v>
      </c>
      <c r="B112" s="38">
        <f aca="true" t="shared" si="50" ref="B112:B124">+G112*O113</f>
        <v>0</v>
      </c>
      <c r="C112" s="38"/>
      <c r="D112" s="38"/>
      <c r="E112" s="59">
        <f aca="true" t="shared" si="51" ref="E112:E124">+C112+D112</f>
        <v>0</v>
      </c>
      <c r="F112" s="38"/>
      <c r="G112" s="70"/>
      <c r="H112" s="85" t="e">
        <f t="shared" si="36"/>
        <v>#DIV/0!</v>
      </c>
      <c r="I112" s="38"/>
      <c r="J112" s="38"/>
      <c r="K112" s="95" t="e">
        <f t="shared" si="37"/>
        <v>#DIV/0!</v>
      </c>
      <c r="L112" s="95" t="e">
        <f t="shared" si="38"/>
        <v>#DIV/0!</v>
      </c>
      <c r="M112" s="58" t="e">
        <f t="shared" si="39"/>
        <v>#DIV/0!</v>
      </c>
      <c r="O112" s="191"/>
    </row>
    <row r="113" spans="1:15" ht="12.75">
      <c r="A113" s="2" t="s">
        <v>131</v>
      </c>
      <c r="B113" s="38">
        <f t="shared" si="50"/>
        <v>0</v>
      </c>
      <c r="C113" s="38"/>
      <c r="D113" s="38"/>
      <c r="E113" s="59">
        <f t="shared" si="51"/>
        <v>0</v>
      </c>
      <c r="F113" s="38"/>
      <c r="G113" s="70"/>
      <c r="H113" s="85" t="e">
        <f t="shared" si="36"/>
        <v>#DIV/0!</v>
      </c>
      <c r="I113" s="38"/>
      <c r="J113" s="38"/>
      <c r="K113" s="95" t="e">
        <f t="shared" si="37"/>
        <v>#DIV/0!</v>
      </c>
      <c r="L113" s="95" t="e">
        <f t="shared" si="38"/>
        <v>#DIV/0!</v>
      </c>
      <c r="M113" s="58" t="e">
        <f t="shared" si="39"/>
        <v>#DIV/0!</v>
      </c>
      <c r="O113" s="37">
        <f aca="true" t="shared" si="52" ref="O113:O125">1+(0.05)</f>
        <v>1.05</v>
      </c>
    </row>
    <row r="114" spans="1:15" ht="12.75">
      <c r="A114" s="2" t="s">
        <v>132</v>
      </c>
      <c r="B114" s="38">
        <f t="shared" si="50"/>
        <v>0</v>
      </c>
      <c r="C114" s="38"/>
      <c r="D114" s="38"/>
      <c r="E114" s="59">
        <f t="shared" si="51"/>
        <v>0</v>
      </c>
      <c r="F114" s="38"/>
      <c r="G114" s="70"/>
      <c r="H114" s="85" t="e">
        <f t="shared" si="36"/>
        <v>#DIV/0!</v>
      </c>
      <c r="I114" s="38"/>
      <c r="J114" s="38"/>
      <c r="K114" s="95" t="e">
        <f t="shared" si="37"/>
        <v>#DIV/0!</v>
      </c>
      <c r="L114" s="95" t="e">
        <f t="shared" si="38"/>
        <v>#DIV/0!</v>
      </c>
      <c r="M114" s="58" t="e">
        <f t="shared" si="39"/>
        <v>#DIV/0!</v>
      </c>
      <c r="O114" s="37">
        <f t="shared" si="52"/>
        <v>1.05</v>
      </c>
    </row>
    <row r="115" spans="1:15" ht="12.75">
      <c r="A115" s="2" t="s">
        <v>133</v>
      </c>
      <c r="B115" s="38">
        <f t="shared" si="50"/>
        <v>0</v>
      </c>
      <c r="C115" s="38"/>
      <c r="D115" s="38"/>
      <c r="E115" s="59">
        <f t="shared" si="51"/>
        <v>0</v>
      </c>
      <c r="F115" s="38"/>
      <c r="G115" s="70"/>
      <c r="H115" s="85" t="e">
        <f t="shared" si="36"/>
        <v>#DIV/0!</v>
      </c>
      <c r="I115" s="38"/>
      <c r="J115" s="38"/>
      <c r="K115" s="95" t="e">
        <f t="shared" si="37"/>
        <v>#DIV/0!</v>
      </c>
      <c r="L115" s="95" t="e">
        <f t="shared" si="38"/>
        <v>#DIV/0!</v>
      </c>
      <c r="M115" s="58" t="e">
        <f t="shared" si="39"/>
        <v>#DIV/0!</v>
      </c>
      <c r="O115" s="37">
        <f t="shared" si="52"/>
        <v>1.05</v>
      </c>
    </row>
    <row r="116" spans="1:15" ht="12.75">
      <c r="A116" s="2" t="s">
        <v>134</v>
      </c>
      <c r="B116" s="38">
        <f t="shared" si="50"/>
        <v>0</v>
      </c>
      <c r="C116" s="38"/>
      <c r="D116" s="38"/>
      <c r="E116" s="59">
        <f t="shared" si="51"/>
        <v>0</v>
      </c>
      <c r="F116" s="38"/>
      <c r="G116" s="70"/>
      <c r="H116" s="85" t="e">
        <f t="shared" si="36"/>
        <v>#DIV/0!</v>
      </c>
      <c r="I116" s="38"/>
      <c r="J116" s="38"/>
      <c r="K116" s="95" t="e">
        <f t="shared" si="37"/>
        <v>#DIV/0!</v>
      </c>
      <c r="L116" s="95" t="e">
        <f t="shared" si="38"/>
        <v>#DIV/0!</v>
      </c>
      <c r="M116" s="58" t="e">
        <f t="shared" si="39"/>
        <v>#DIV/0!</v>
      </c>
      <c r="O116" s="37">
        <f t="shared" si="52"/>
        <v>1.05</v>
      </c>
    </row>
    <row r="117" spans="1:15" ht="12.75">
      <c r="A117" s="2" t="s">
        <v>135</v>
      </c>
      <c r="B117" s="38">
        <f t="shared" si="50"/>
        <v>0</v>
      </c>
      <c r="C117" s="38"/>
      <c r="D117" s="38"/>
      <c r="E117" s="59">
        <f t="shared" si="51"/>
        <v>0</v>
      </c>
      <c r="F117" s="38"/>
      <c r="G117" s="70"/>
      <c r="H117" s="85" t="e">
        <f t="shared" si="36"/>
        <v>#DIV/0!</v>
      </c>
      <c r="I117" s="38"/>
      <c r="J117" s="38"/>
      <c r="K117" s="95" t="e">
        <f t="shared" si="37"/>
        <v>#DIV/0!</v>
      </c>
      <c r="L117" s="95" t="e">
        <f t="shared" si="38"/>
        <v>#DIV/0!</v>
      </c>
      <c r="M117" s="58" t="e">
        <f t="shared" si="39"/>
        <v>#DIV/0!</v>
      </c>
      <c r="O117" s="37">
        <f t="shared" si="52"/>
        <v>1.05</v>
      </c>
    </row>
    <row r="118" spans="1:15" ht="12.75">
      <c r="A118" s="2" t="s">
        <v>136</v>
      </c>
      <c r="B118" s="38">
        <f t="shared" si="50"/>
        <v>0</v>
      </c>
      <c r="C118" s="38"/>
      <c r="D118" s="38"/>
      <c r="E118" s="59">
        <f t="shared" si="51"/>
        <v>0</v>
      </c>
      <c r="F118" s="38"/>
      <c r="G118" s="70"/>
      <c r="H118" s="85" t="e">
        <f t="shared" si="36"/>
        <v>#DIV/0!</v>
      </c>
      <c r="I118" s="38"/>
      <c r="J118" s="38"/>
      <c r="K118" s="95" t="e">
        <f t="shared" si="37"/>
        <v>#DIV/0!</v>
      </c>
      <c r="L118" s="95" t="e">
        <f t="shared" si="38"/>
        <v>#DIV/0!</v>
      </c>
      <c r="M118" s="58" t="e">
        <f t="shared" si="39"/>
        <v>#DIV/0!</v>
      </c>
      <c r="O118" s="37">
        <f t="shared" si="52"/>
        <v>1.05</v>
      </c>
    </row>
    <row r="119" spans="1:15" ht="12.75">
      <c r="A119" s="2" t="s">
        <v>137</v>
      </c>
      <c r="B119" s="38">
        <f t="shared" si="50"/>
        <v>0</v>
      </c>
      <c r="C119" s="38"/>
      <c r="D119" s="38"/>
      <c r="E119" s="59">
        <f t="shared" si="51"/>
        <v>0</v>
      </c>
      <c r="F119" s="38"/>
      <c r="G119" s="70"/>
      <c r="H119" s="85" t="e">
        <f t="shared" si="36"/>
        <v>#DIV/0!</v>
      </c>
      <c r="I119" s="38"/>
      <c r="J119" s="38"/>
      <c r="K119" s="95" t="e">
        <f t="shared" si="37"/>
        <v>#DIV/0!</v>
      </c>
      <c r="L119" s="95" t="e">
        <f t="shared" si="38"/>
        <v>#DIV/0!</v>
      </c>
      <c r="M119" s="58" t="e">
        <f t="shared" si="39"/>
        <v>#DIV/0!</v>
      </c>
      <c r="O119" s="37">
        <f t="shared" si="52"/>
        <v>1.05</v>
      </c>
    </row>
    <row r="120" spans="1:15" ht="12.75">
      <c r="A120" s="2" t="s">
        <v>138</v>
      </c>
      <c r="B120" s="38">
        <f t="shared" si="50"/>
        <v>0</v>
      </c>
      <c r="C120" s="38"/>
      <c r="D120" s="38"/>
      <c r="E120" s="59">
        <f t="shared" si="51"/>
        <v>0</v>
      </c>
      <c r="F120" s="38"/>
      <c r="G120" s="70"/>
      <c r="H120" s="85" t="e">
        <f t="shared" si="36"/>
        <v>#DIV/0!</v>
      </c>
      <c r="I120" s="38"/>
      <c r="J120" s="38"/>
      <c r="K120" s="95" t="e">
        <f t="shared" si="37"/>
        <v>#DIV/0!</v>
      </c>
      <c r="L120" s="95" t="e">
        <f t="shared" si="38"/>
        <v>#DIV/0!</v>
      </c>
      <c r="M120" s="58" t="e">
        <f t="shared" si="39"/>
        <v>#DIV/0!</v>
      </c>
      <c r="O120" s="37">
        <f t="shared" si="52"/>
        <v>1.05</v>
      </c>
    </row>
    <row r="121" spans="1:15" ht="12.75">
      <c r="A121" s="2" t="s">
        <v>139</v>
      </c>
      <c r="B121" s="38">
        <f t="shared" si="50"/>
        <v>0</v>
      </c>
      <c r="C121" s="38"/>
      <c r="D121" s="38"/>
      <c r="E121" s="59">
        <f t="shared" si="51"/>
        <v>0</v>
      </c>
      <c r="F121" s="38"/>
      <c r="G121" s="70"/>
      <c r="H121" s="85" t="e">
        <f t="shared" si="36"/>
        <v>#DIV/0!</v>
      </c>
      <c r="I121" s="38"/>
      <c r="J121" s="38"/>
      <c r="K121" s="95" t="e">
        <f t="shared" si="37"/>
        <v>#DIV/0!</v>
      </c>
      <c r="L121" s="95" t="e">
        <f t="shared" si="38"/>
        <v>#DIV/0!</v>
      </c>
      <c r="M121" s="58" t="e">
        <f t="shared" si="39"/>
        <v>#DIV/0!</v>
      </c>
      <c r="O121" s="37">
        <f t="shared" si="52"/>
        <v>1.05</v>
      </c>
    </row>
    <row r="122" spans="1:15" ht="12.75">
      <c r="A122" s="2" t="s">
        <v>140</v>
      </c>
      <c r="B122" s="38">
        <f t="shared" si="50"/>
        <v>0</v>
      </c>
      <c r="C122" s="38"/>
      <c r="D122" s="38"/>
      <c r="E122" s="59">
        <f t="shared" si="51"/>
        <v>0</v>
      </c>
      <c r="F122" s="38"/>
      <c r="G122" s="70"/>
      <c r="H122" s="85" t="e">
        <f t="shared" si="36"/>
        <v>#DIV/0!</v>
      </c>
      <c r="I122" s="38"/>
      <c r="J122" s="38"/>
      <c r="K122" s="95" t="e">
        <f t="shared" si="37"/>
        <v>#DIV/0!</v>
      </c>
      <c r="L122" s="95" t="e">
        <f t="shared" si="38"/>
        <v>#DIV/0!</v>
      </c>
      <c r="M122" s="58" t="e">
        <f t="shared" si="39"/>
        <v>#DIV/0!</v>
      </c>
      <c r="O122" s="37">
        <f t="shared" si="52"/>
        <v>1.05</v>
      </c>
    </row>
    <row r="123" spans="1:15" ht="12.75">
      <c r="A123" s="2" t="s">
        <v>141</v>
      </c>
      <c r="B123" s="38">
        <f t="shared" si="50"/>
        <v>0</v>
      </c>
      <c r="C123" s="38"/>
      <c r="D123" s="38"/>
      <c r="E123" s="59">
        <f t="shared" si="51"/>
        <v>0</v>
      </c>
      <c r="F123" s="38"/>
      <c r="G123" s="70"/>
      <c r="H123" s="85" t="e">
        <f t="shared" si="36"/>
        <v>#DIV/0!</v>
      </c>
      <c r="I123" s="38"/>
      <c r="J123" s="38"/>
      <c r="K123" s="95" t="e">
        <f t="shared" si="37"/>
        <v>#DIV/0!</v>
      </c>
      <c r="L123" s="95" t="e">
        <f t="shared" si="38"/>
        <v>#DIV/0!</v>
      </c>
      <c r="M123" s="58" t="e">
        <f t="shared" si="39"/>
        <v>#DIV/0!</v>
      </c>
      <c r="O123" s="37">
        <f t="shared" si="52"/>
        <v>1.05</v>
      </c>
    </row>
    <row r="124" spans="1:15" ht="12.75">
      <c r="A124" s="2" t="s">
        <v>148</v>
      </c>
      <c r="B124" s="38">
        <f t="shared" si="50"/>
        <v>0</v>
      </c>
      <c r="C124" s="38"/>
      <c r="D124" s="38"/>
      <c r="E124" s="59">
        <f t="shared" si="51"/>
        <v>0</v>
      </c>
      <c r="F124" s="38"/>
      <c r="G124" s="70"/>
      <c r="H124" s="85" t="e">
        <f t="shared" si="36"/>
        <v>#DIV/0!</v>
      </c>
      <c r="I124" s="38"/>
      <c r="J124" s="38"/>
      <c r="K124" s="95" t="e">
        <f t="shared" si="37"/>
        <v>#DIV/0!</v>
      </c>
      <c r="L124" s="95" t="e">
        <f t="shared" si="38"/>
        <v>#DIV/0!</v>
      </c>
      <c r="M124" s="58" t="e">
        <f t="shared" si="39"/>
        <v>#DIV/0!</v>
      </c>
      <c r="O124" s="37">
        <f t="shared" si="52"/>
        <v>1.05</v>
      </c>
    </row>
    <row r="125" spans="1:15" ht="12.75">
      <c r="A125" s="128" t="s">
        <v>143</v>
      </c>
      <c r="B125" s="92">
        <f>SUM(B126:B131)</f>
        <v>0</v>
      </c>
      <c r="C125" s="92">
        <f aca="true" t="shared" si="53" ref="C125:J125">SUM(C126:C131)</f>
        <v>0</v>
      </c>
      <c r="D125" s="92">
        <f t="shared" si="53"/>
        <v>0</v>
      </c>
      <c r="E125" s="92">
        <f t="shared" si="53"/>
        <v>0</v>
      </c>
      <c r="F125" s="92">
        <f t="shared" si="53"/>
        <v>0</v>
      </c>
      <c r="G125" s="92">
        <f>SUM(G126:G131)</f>
        <v>0</v>
      </c>
      <c r="H125" s="86" t="e">
        <f t="shared" si="36"/>
        <v>#DIV/0!</v>
      </c>
      <c r="I125" s="92">
        <f t="shared" si="53"/>
        <v>0</v>
      </c>
      <c r="J125" s="92">
        <f t="shared" si="53"/>
        <v>0</v>
      </c>
      <c r="K125" s="101" t="e">
        <f t="shared" si="37"/>
        <v>#DIV/0!</v>
      </c>
      <c r="L125" s="101" t="e">
        <f t="shared" si="38"/>
        <v>#DIV/0!</v>
      </c>
      <c r="M125" s="108" t="e">
        <f t="shared" si="39"/>
        <v>#DIV/0!</v>
      </c>
      <c r="O125" s="37">
        <f t="shared" si="52"/>
        <v>1.05</v>
      </c>
    </row>
    <row r="126" spans="1:15" ht="12.75">
      <c r="A126" s="2" t="s">
        <v>130</v>
      </c>
      <c r="B126" s="38">
        <f aca="true" t="shared" si="54" ref="B126:B131">+G126*O127</f>
        <v>0</v>
      </c>
      <c r="C126" s="38"/>
      <c r="D126" s="38"/>
      <c r="E126" s="59">
        <f aca="true" t="shared" si="55" ref="E126:E131">+C126+D126</f>
        <v>0</v>
      </c>
      <c r="F126" s="38"/>
      <c r="G126" s="70"/>
      <c r="H126" s="85" t="e">
        <f t="shared" si="36"/>
        <v>#DIV/0!</v>
      </c>
      <c r="I126" s="38"/>
      <c r="J126" s="38"/>
      <c r="K126" s="95" t="e">
        <f t="shared" si="37"/>
        <v>#DIV/0!</v>
      </c>
      <c r="L126" s="95" t="e">
        <f t="shared" si="38"/>
        <v>#DIV/0!</v>
      </c>
      <c r="M126" s="58" t="e">
        <f t="shared" si="39"/>
        <v>#DIV/0!</v>
      </c>
      <c r="O126" s="191"/>
    </row>
    <row r="127" spans="1:15" ht="12.75">
      <c r="A127" s="2" t="s">
        <v>132</v>
      </c>
      <c r="B127" s="38">
        <f t="shared" si="54"/>
        <v>0</v>
      </c>
      <c r="C127" s="38"/>
      <c r="D127" s="38"/>
      <c r="E127" s="59">
        <f t="shared" si="55"/>
        <v>0</v>
      </c>
      <c r="F127" s="38"/>
      <c r="G127" s="70"/>
      <c r="H127" s="85" t="e">
        <f t="shared" si="36"/>
        <v>#DIV/0!</v>
      </c>
      <c r="I127" s="38"/>
      <c r="J127" s="38"/>
      <c r="K127" s="95" t="e">
        <f t="shared" si="37"/>
        <v>#DIV/0!</v>
      </c>
      <c r="L127" s="95" t="e">
        <f t="shared" si="38"/>
        <v>#DIV/0!</v>
      </c>
      <c r="M127" s="58" t="e">
        <f t="shared" si="39"/>
        <v>#DIV/0!</v>
      </c>
      <c r="O127" s="37">
        <f aca="true" t="shared" si="56" ref="O127:O132">1+(0.05)</f>
        <v>1.05</v>
      </c>
    </row>
    <row r="128" spans="1:15" ht="12.75">
      <c r="A128" s="2" t="s">
        <v>133</v>
      </c>
      <c r="B128" s="38">
        <f t="shared" si="54"/>
        <v>0</v>
      </c>
      <c r="C128" s="38"/>
      <c r="D128" s="38"/>
      <c r="E128" s="59">
        <f t="shared" si="55"/>
        <v>0</v>
      </c>
      <c r="F128" s="38"/>
      <c r="G128" s="70"/>
      <c r="H128" s="85" t="e">
        <f t="shared" si="36"/>
        <v>#DIV/0!</v>
      </c>
      <c r="I128" s="38"/>
      <c r="J128" s="38"/>
      <c r="K128" s="95" t="e">
        <f t="shared" si="37"/>
        <v>#DIV/0!</v>
      </c>
      <c r="L128" s="95" t="e">
        <f t="shared" si="38"/>
        <v>#DIV/0!</v>
      </c>
      <c r="M128" s="58" t="e">
        <f t="shared" si="39"/>
        <v>#DIV/0!</v>
      </c>
      <c r="O128" s="37">
        <f t="shared" si="56"/>
        <v>1.05</v>
      </c>
    </row>
    <row r="129" spans="1:15" ht="12.75">
      <c r="A129" s="2" t="s">
        <v>135</v>
      </c>
      <c r="B129" s="38">
        <f t="shared" si="54"/>
        <v>0</v>
      </c>
      <c r="C129" s="38"/>
      <c r="D129" s="38"/>
      <c r="E129" s="59">
        <f t="shared" si="55"/>
        <v>0</v>
      </c>
      <c r="F129" s="38"/>
      <c r="G129" s="70"/>
      <c r="H129" s="85" t="e">
        <f t="shared" si="36"/>
        <v>#DIV/0!</v>
      </c>
      <c r="I129" s="38"/>
      <c r="J129" s="38"/>
      <c r="K129" s="95" t="e">
        <f t="shared" si="37"/>
        <v>#DIV/0!</v>
      </c>
      <c r="L129" s="95" t="e">
        <f t="shared" si="38"/>
        <v>#DIV/0!</v>
      </c>
      <c r="M129" s="58" t="e">
        <f t="shared" si="39"/>
        <v>#DIV/0!</v>
      </c>
      <c r="O129" s="37">
        <f t="shared" si="56"/>
        <v>1.05</v>
      </c>
    </row>
    <row r="130" spans="1:15" ht="12.75">
      <c r="A130" s="2" t="s">
        <v>137</v>
      </c>
      <c r="B130" s="38">
        <f t="shared" si="54"/>
        <v>0</v>
      </c>
      <c r="C130" s="38"/>
      <c r="D130" s="38"/>
      <c r="E130" s="59">
        <f t="shared" si="55"/>
        <v>0</v>
      </c>
      <c r="F130" s="38"/>
      <c r="G130" s="70"/>
      <c r="H130" s="85" t="e">
        <f t="shared" si="36"/>
        <v>#DIV/0!</v>
      </c>
      <c r="I130" s="38"/>
      <c r="J130" s="38"/>
      <c r="K130" s="95" t="e">
        <f t="shared" si="37"/>
        <v>#DIV/0!</v>
      </c>
      <c r="L130" s="95" t="e">
        <f t="shared" si="38"/>
        <v>#DIV/0!</v>
      </c>
      <c r="M130" s="58" t="e">
        <f t="shared" si="39"/>
        <v>#DIV/0!</v>
      </c>
      <c r="O130" s="37">
        <f t="shared" si="56"/>
        <v>1.05</v>
      </c>
    </row>
    <row r="131" spans="1:15" ht="12.75">
      <c r="A131" s="2" t="s">
        <v>138</v>
      </c>
      <c r="B131" s="38">
        <f t="shared" si="54"/>
        <v>0</v>
      </c>
      <c r="C131" s="38"/>
      <c r="D131" s="38"/>
      <c r="E131" s="59">
        <f t="shared" si="55"/>
        <v>0</v>
      </c>
      <c r="F131" s="38"/>
      <c r="G131" s="70"/>
      <c r="H131" s="85" t="e">
        <f t="shared" si="36"/>
        <v>#DIV/0!</v>
      </c>
      <c r="I131" s="38"/>
      <c r="J131" s="38"/>
      <c r="K131" s="95" t="e">
        <f t="shared" si="37"/>
        <v>#DIV/0!</v>
      </c>
      <c r="L131" s="95" t="e">
        <f t="shared" si="38"/>
        <v>#DIV/0!</v>
      </c>
      <c r="M131" s="58" t="e">
        <f t="shared" si="39"/>
        <v>#DIV/0!</v>
      </c>
      <c r="O131" s="37">
        <f t="shared" si="56"/>
        <v>1.05</v>
      </c>
    </row>
    <row r="132" spans="1:15" ht="12.75">
      <c r="A132" s="128" t="s">
        <v>145</v>
      </c>
      <c r="B132" s="92">
        <f>SUM(B133:B146)</f>
        <v>0</v>
      </c>
      <c r="C132" s="92">
        <f aca="true" t="shared" si="57" ref="C132:J132">SUM(C133:C146)</f>
        <v>0</v>
      </c>
      <c r="D132" s="92">
        <f t="shared" si="57"/>
        <v>0</v>
      </c>
      <c r="E132" s="92">
        <f t="shared" si="57"/>
        <v>0</v>
      </c>
      <c r="F132" s="92">
        <f t="shared" si="57"/>
        <v>0</v>
      </c>
      <c r="G132" s="92">
        <f>SUM(G133:G146)</f>
        <v>0</v>
      </c>
      <c r="H132" s="86" t="e">
        <f t="shared" si="36"/>
        <v>#DIV/0!</v>
      </c>
      <c r="I132" s="92">
        <f t="shared" si="57"/>
        <v>0</v>
      </c>
      <c r="J132" s="92">
        <f t="shared" si="57"/>
        <v>0</v>
      </c>
      <c r="K132" s="101" t="e">
        <f t="shared" si="37"/>
        <v>#DIV/0!</v>
      </c>
      <c r="L132" s="101" t="e">
        <f t="shared" si="38"/>
        <v>#DIV/0!</v>
      </c>
      <c r="M132" s="108" t="e">
        <f t="shared" si="39"/>
        <v>#DIV/0!</v>
      </c>
      <c r="O132" s="37">
        <f t="shared" si="56"/>
        <v>1.05</v>
      </c>
    </row>
    <row r="133" spans="1:15" ht="12.75">
      <c r="A133" s="2" t="s">
        <v>130</v>
      </c>
      <c r="B133" s="38">
        <f aca="true" t="shared" si="58" ref="B133:B146">+G133*O134</f>
        <v>0</v>
      </c>
      <c r="C133" s="38"/>
      <c r="D133" s="38"/>
      <c r="E133" s="59">
        <f aca="true" t="shared" si="59" ref="E133:E146">+C133+D133</f>
        <v>0</v>
      </c>
      <c r="F133" s="38"/>
      <c r="G133" s="70"/>
      <c r="H133" s="85" t="e">
        <f t="shared" si="36"/>
        <v>#DIV/0!</v>
      </c>
      <c r="I133" s="38"/>
      <c r="J133" s="38"/>
      <c r="K133" s="95" t="e">
        <f t="shared" si="37"/>
        <v>#DIV/0!</v>
      </c>
      <c r="L133" s="95" t="e">
        <f t="shared" si="38"/>
        <v>#DIV/0!</v>
      </c>
      <c r="M133" s="58" t="e">
        <f t="shared" si="39"/>
        <v>#DIV/0!</v>
      </c>
      <c r="N133" s="46"/>
      <c r="O133" s="191"/>
    </row>
    <row r="134" spans="1:15" ht="12.75">
      <c r="A134" s="2" t="s">
        <v>131</v>
      </c>
      <c r="B134" s="38">
        <f t="shared" si="58"/>
        <v>0</v>
      </c>
      <c r="C134" s="38"/>
      <c r="D134" s="38"/>
      <c r="E134" s="59">
        <f t="shared" si="59"/>
        <v>0</v>
      </c>
      <c r="F134" s="38"/>
      <c r="G134" s="70"/>
      <c r="H134" s="85" t="e">
        <f t="shared" si="36"/>
        <v>#DIV/0!</v>
      </c>
      <c r="I134" s="38"/>
      <c r="J134" s="38"/>
      <c r="K134" s="95" t="e">
        <f t="shared" si="37"/>
        <v>#DIV/0!</v>
      </c>
      <c r="L134" s="95" t="e">
        <f t="shared" si="38"/>
        <v>#DIV/0!</v>
      </c>
      <c r="M134" s="58" t="e">
        <f t="shared" si="39"/>
        <v>#DIV/0!</v>
      </c>
      <c r="N134" s="46"/>
      <c r="O134" s="37">
        <f aca="true" t="shared" si="60" ref="O134:O147">1+(0.05)</f>
        <v>1.05</v>
      </c>
    </row>
    <row r="135" spans="1:15" ht="12.75">
      <c r="A135" s="2" t="s">
        <v>132</v>
      </c>
      <c r="B135" s="38">
        <f t="shared" si="58"/>
        <v>0</v>
      </c>
      <c r="C135" s="38"/>
      <c r="D135" s="38"/>
      <c r="E135" s="59">
        <f t="shared" si="59"/>
        <v>0</v>
      </c>
      <c r="F135" s="38"/>
      <c r="G135" s="70"/>
      <c r="H135" s="85" t="e">
        <f t="shared" si="36"/>
        <v>#DIV/0!</v>
      </c>
      <c r="I135" s="38"/>
      <c r="J135" s="38"/>
      <c r="K135" s="95" t="e">
        <f t="shared" si="37"/>
        <v>#DIV/0!</v>
      </c>
      <c r="L135" s="95" t="e">
        <f t="shared" si="38"/>
        <v>#DIV/0!</v>
      </c>
      <c r="M135" s="58" t="e">
        <f t="shared" si="39"/>
        <v>#DIV/0!</v>
      </c>
      <c r="N135" s="46"/>
      <c r="O135" s="37">
        <f t="shared" si="60"/>
        <v>1.05</v>
      </c>
    </row>
    <row r="136" spans="1:15" ht="12.75">
      <c r="A136" s="2" t="s">
        <v>133</v>
      </c>
      <c r="B136" s="38">
        <f t="shared" si="58"/>
        <v>0</v>
      </c>
      <c r="C136" s="38"/>
      <c r="D136" s="38"/>
      <c r="E136" s="59">
        <f t="shared" si="59"/>
        <v>0</v>
      </c>
      <c r="F136" s="38"/>
      <c r="G136" s="70"/>
      <c r="H136" s="85" t="e">
        <f t="shared" si="36"/>
        <v>#DIV/0!</v>
      </c>
      <c r="I136" s="38"/>
      <c r="J136" s="38"/>
      <c r="K136" s="95" t="e">
        <f t="shared" si="37"/>
        <v>#DIV/0!</v>
      </c>
      <c r="L136" s="95" t="e">
        <f t="shared" si="38"/>
        <v>#DIV/0!</v>
      </c>
      <c r="M136" s="58" t="e">
        <f t="shared" si="39"/>
        <v>#DIV/0!</v>
      </c>
      <c r="N136" s="46"/>
      <c r="O136" s="37">
        <f t="shared" si="60"/>
        <v>1.05</v>
      </c>
    </row>
    <row r="137" spans="1:15" ht="12.75">
      <c r="A137" s="2" t="s">
        <v>134</v>
      </c>
      <c r="B137" s="38">
        <f t="shared" si="58"/>
        <v>0</v>
      </c>
      <c r="C137" s="38"/>
      <c r="D137" s="38"/>
      <c r="E137" s="59">
        <f t="shared" si="59"/>
        <v>0</v>
      </c>
      <c r="F137" s="38"/>
      <c r="G137" s="70"/>
      <c r="H137" s="85" t="e">
        <f t="shared" si="36"/>
        <v>#DIV/0!</v>
      </c>
      <c r="I137" s="38"/>
      <c r="J137" s="38"/>
      <c r="K137" s="95" t="e">
        <f t="shared" si="37"/>
        <v>#DIV/0!</v>
      </c>
      <c r="L137" s="95" t="e">
        <f t="shared" si="38"/>
        <v>#DIV/0!</v>
      </c>
      <c r="M137" s="58" t="e">
        <f t="shared" si="39"/>
        <v>#DIV/0!</v>
      </c>
      <c r="N137" s="46"/>
      <c r="O137" s="37">
        <f t="shared" si="60"/>
        <v>1.05</v>
      </c>
    </row>
    <row r="138" spans="1:15" ht="12.75">
      <c r="A138" s="2" t="s">
        <v>135</v>
      </c>
      <c r="B138" s="38">
        <f t="shared" si="58"/>
        <v>0</v>
      </c>
      <c r="C138" s="38"/>
      <c r="D138" s="38"/>
      <c r="E138" s="59">
        <f t="shared" si="59"/>
        <v>0</v>
      </c>
      <c r="F138" s="38"/>
      <c r="G138" s="70"/>
      <c r="H138" s="85" t="e">
        <f t="shared" si="36"/>
        <v>#DIV/0!</v>
      </c>
      <c r="I138" s="38"/>
      <c r="J138" s="38"/>
      <c r="K138" s="95" t="e">
        <f t="shared" si="37"/>
        <v>#DIV/0!</v>
      </c>
      <c r="L138" s="95" t="e">
        <f t="shared" si="38"/>
        <v>#DIV/0!</v>
      </c>
      <c r="M138" s="58" t="e">
        <f t="shared" si="39"/>
        <v>#DIV/0!</v>
      </c>
      <c r="N138" s="46"/>
      <c r="O138" s="37">
        <f t="shared" si="60"/>
        <v>1.05</v>
      </c>
    </row>
    <row r="139" spans="1:15" ht="12.75">
      <c r="A139" s="2" t="s">
        <v>136</v>
      </c>
      <c r="B139" s="38">
        <f t="shared" si="58"/>
        <v>0</v>
      </c>
      <c r="C139" s="38"/>
      <c r="D139" s="38"/>
      <c r="E139" s="59">
        <f t="shared" si="59"/>
        <v>0</v>
      </c>
      <c r="F139" s="38"/>
      <c r="G139" s="70"/>
      <c r="H139" s="85" t="e">
        <f t="shared" si="36"/>
        <v>#DIV/0!</v>
      </c>
      <c r="I139" s="38"/>
      <c r="J139" s="38"/>
      <c r="K139" s="95" t="e">
        <f t="shared" si="37"/>
        <v>#DIV/0!</v>
      </c>
      <c r="L139" s="95" t="e">
        <f t="shared" si="38"/>
        <v>#DIV/0!</v>
      </c>
      <c r="M139" s="58" t="e">
        <f t="shared" si="39"/>
        <v>#DIV/0!</v>
      </c>
      <c r="N139" s="46"/>
      <c r="O139" s="37">
        <f t="shared" si="60"/>
        <v>1.05</v>
      </c>
    </row>
    <row r="140" spans="1:15" ht="12.75">
      <c r="A140" s="2" t="s">
        <v>137</v>
      </c>
      <c r="B140" s="38">
        <f t="shared" si="58"/>
        <v>0</v>
      </c>
      <c r="C140" s="38"/>
      <c r="D140" s="38"/>
      <c r="E140" s="59">
        <f t="shared" si="59"/>
        <v>0</v>
      </c>
      <c r="F140" s="38"/>
      <c r="G140" s="70"/>
      <c r="H140" s="85" t="e">
        <f t="shared" si="36"/>
        <v>#DIV/0!</v>
      </c>
      <c r="I140" s="38"/>
      <c r="J140" s="38"/>
      <c r="K140" s="95" t="e">
        <f t="shared" si="37"/>
        <v>#DIV/0!</v>
      </c>
      <c r="L140" s="95" t="e">
        <f t="shared" si="38"/>
        <v>#DIV/0!</v>
      </c>
      <c r="M140" s="58" t="e">
        <f t="shared" si="39"/>
        <v>#DIV/0!</v>
      </c>
      <c r="N140" s="46"/>
      <c r="O140" s="37">
        <f t="shared" si="60"/>
        <v>1.05</v>
      </c>
    </row>
    <row r="141" spans="1:15" ht="12.75">
      <c r="A141" s="2" t="s">
        <v>138</v>
      </c>
      <c r="B141" s="38">
        <f t="shared" si="58"/>
        <v>0</v>
      </c>
      <c r="C141" s="38"/>
      <c r="D141" s="38"/>
      <c r="E141" s="59">
        <f t="shared" si="59"/>
        <v>0</v>
      </c>
      <c r="F141" s="38"/>
      <c r="G141" s="70"/>
      <c r="H141" s="85" t="e">
        <f t="shared" si="36"/>
        <v>#DIV/0!</v>
      </c>
      <c r="I141" s="38"/>
      <c r="J141" s="38"/>
      <c r="K141" s="95" t="e">
        <f t="shared" si="37"/>
        <v>#DIV/0!</v>
      </c>
      <c r="L141" s="95" t="e">
        <f t="shared" si="38"/>
        <v>#DIV/0!</v>
      </c>
      <c r="M141" s="58" t="e">
        <f t="shared" si="39"/>
        <v>#DIV/0!</v>
      </c>
      <c r="N141" s="46"/>
      <c r="O141" s="37">
        <f t="shared" si="60"/>
        <v>1.05</v>
      </c>
    </row>
    <row r="142" spans="1:15" ht="12.75">
      <c r="A142" s="2" t="s">
        <v>139</v>
      </c>
      <c r="B142" s="38">
        <f t="shared" si="58"/>
        <v>0</v>
      </c>
      <c r="C142" s="38"/>
      <c r="D142" s="38"/>
      <c r="E142" s="59">
        <f t="shared" si="59"/>
        <v>0</v>
      </c>
      <c r="F142" s="38"/>
      <c r="G142" s="70"/>
      <c r="H142" s="85" t="e">
        <f t="shared" si="36"/>
        <v>#DIV/0!</v>
      </c>
      <c r="I142" s="38"/>
      <c r="J142" s="38"/>
      <c r="K142" s="95" t="e">
        <f t="shared" si="37"/>
        <v>#DIV/0!</v>
      </c>
      <c r="L142" s="95" t="e">
        <f t="shared" si="38"/>
        <v>#DIV/0!</v>
      </c>
      <c r="M142" s="58" t="e">
        <f t="shared" si="39"/>
        <v>#DIV/0!</v>
      </c>
      <c r="N142" s="46"/>
      <c r="O142" s="37">
        <f t="shared" si="60"/>
        <v>1.05</v>
      </c>
    </row>
    <row r="143" spans="1:15" ht="12.75">
      <c r="A143" s="2" t="s">
        <v>140</v>
      </c>
      <c r="B143" s="38">
        <f t="shared" si="58"/>
        <v>0</v>
      </c>
      <c r="C143" s="38"/>
      <c r="D143" s="38"/>
      <c r="E143" s="59">
        <f t="shared" si="59"/>
        <v>0</v>
      </c>
      <c r="F143" s="38"/>
      <c r="G143" s="70"/>
      <c r="H143" s="85" t="e">
        <f t="shared" si="36"/>
        <v>#DIV/0!</v>
      </c>
      <c r="I143" s="38"/>
      <c r="J143" s="38"/>
      <c r="K143" s="95" t="e">
        <f t="shared" si="37"/>
        <v>#DIV/0!</v>
      </c>
      <c r="L143" s="95" t="e">
        <f t="shared" si="38"/>
        <v>#DIV/0!</v>
      </c>
      <c r="M143" s="58" t="e">
        <f t="shared" si="39"/>
        <v>#DIV/0!</v>
      </c>
      <c r="N143" s="46"/>
      <c r="O143" s="37">
        <f t="shared" si="60"/>
        <v>1.05</v>
      </c>
    </row>
    <row r="144" spans="1:15" ht="12.75">
      <c r="A144" s="2" t="s">
        <v>141</v>
      </c>
      <c r="B144" s="38">
        <f t="shared" si="58"/>
        <v>0</v>
      </c>
      <c r="C144" s="38"/>
      <c r="D144" s="38"/>
      <c r="E144" s="59">
        <f t="shared" si="59"/>
        <v>0</v>
      </c>
      <c r="F144" s="38"/>
      <c r="G144" s="70"/>
      <c r="H144" s="85" t="e">
        <f t="shared" si="36"/>
        <v>#DIV/0!</v>
      </c>
      <c r="I144" s="38"/>
      <c r="J144" s="38"/>
      <c r="K144" s="95" t="e">
        <f t="shared" si="37"/>
        <v>#DIV/0!</v>
      </c>
      <c r="L144" s="95" t="e">
        <f t="shared" si="38"/>
        <v>#DIV/0!</v>
      </c>
      <c r="M144" s="58" t="e">
        <f t="shared" si="39"/>
        <v>#DIV/0!</v>
      </c>
      <c r="N144" s="46"/>
      <c r="O144" s="37">
        <f t="shared" si="60"/>
        <v>1.05</v>
      </c>
    </row>
    <row r="145" spans="1:15" ht="12.75">
      <c r="A145" s="2" t="s">
        <v>146</v>
      </c>
      <c r="B145" s="38">
        <f t="shared" si="58"/>
        <v>0</v>
      </c>
      <c r="C145" s="38"/>
      <c r="D145" s="38"/>
      <c r="E145" s="59">
        <f t="shared" si="59"/>
        <v>0</v>
      </c>
      <c r="F145" s="38"/>
      <c r="G145" s="70"/>
      <c r="H145" s="85" t="e">
        <f aca="true" t="shared" si="61" ref="H145:H189">((G145*100)/E145)</f>
        <v>#DIV/0!</v>
      </c>
      <c r="I145" s="38"/>
      <c r="J145" s="38"/>
      <c r="K145" s="95" t="e">
        <f aca="true" t="shared" si="62" ref="K145:K189">+((G145/I145)-1)*100</f>
        <v>#DIV/0!</v>
      </c>
      <c r="L145" s="95" t="e">
        <f aca="true" t="shared" si="63" ref="L145:L189">+((I145/J145)-1)*100</f>
        <v>#DIV/0!</v>
      </c>
      <c r="M145" s="58" t="e">
        <f aca="true" t="shared" si="64" ref="M145:M189">((B145/G145)-1)*100</f>
        <v>#DIV/0!</v>
      </c>
      <c r="N145" s="46"/>
      <c r="O145" s="37">
        <f t="shared" si="60"/>
        <v>1.05</v>
      </c>
    </row>
    <row r="146" spans="1:15" ht="12.75">
      <c r="A146" s="2" t="s">
        <v>148</v>
      </c>
      <c r="B146" s="38">
        <f t="shared" si="58"/>
        <v>0</v>
      </c>
      <c r="C146" s="38"/>
      <c r="D146" s="38"/>
      <c r="E146" s="59">
        <f t="shared" si="59"/>
        <v>0</v>
      </c>
      <c r="F146" s="38"/>
      <c r="G146" s="70"/>
      <c r="H146" s="85" t="e">
        <f t="shared" si="61"/>
        <v>#DIV/0!</v>
      </c>
      <c r="I146" s="38"/>
      <c r="J146" s="38"/>
      <c r="K146" s="95" t="e">
        <f t="shared" si="62"/>
        <v>#DIV/0!</v>
      </c>
      <c r="L146" s="95" t="e">
        <f t="shared" si="63"/>
        <v>#DIV/0!</v>
      </c>
      <c r="M146" s="58" t="e">
        <f t="shared" si="64"/>
        <v>#DIV/0!</v>
      </c>
      <c r="N146" s="46"/>
      <c r="O146" s="37">
        <f t="shared" si="60"/>
        <v>1.05</v>
      </c>
    </row>
    <row r="147" spans="1:15" ht="12.75">
      <c r="A147" s="127" t="s">
        <v>304</v>
      </c>
      <c r="B147" s="137">
        <f>B148+B162+B168</f>
        <v>76600053.60000001</v>
      </c>
      <c r="C147" s="137">
        <f aca="true" t="shared" si="65" ref="C147:J147">C148+C162+C168</f>
        <v>62418914</v>
      </c>
      <c r="D147" s="137">
        <f t="shared" si="65"/>
        <v>64475033</v>
      </c>
      <c r="E147" s="137">
        <f t="shared" si="65"/>
        <v>126893947</v>
      </c>
      <c r="F147" s="137">
        <f t="shared" si="65"/>
        <v>72952432</v>
      </c>
      <c r="G147" s="137">
        <f>G148+G162+G168</f>
        <v>72952432</v>
      </c>
      <c r="H147" s="185">
        <f t="shared" si="61"/>
        <v>57.49086833905482</v>
      </c>
      <c r="I147" s="137">
        <f t="shared" si="65"/>
        <v>0</v>
      </c>
      <c r="J147" s="137">
        <f t="shared" si="65"/>
        <v>0</v>
      </c>
      <c r="K147" s="141" t="e">
        <f t="shared" si="62"/>
        <v>#DIV/0!</v>
      </c>
      <c r="L147" s="141" t="e">
        <f t="shared" si="63"/>
        <v>#DIV/0!</v>
      </c>
      <c r="M147" s="136">
        <f t="shared" si="64"/>
        <v>5.000000000000004</v>
      </c>
      <c r="O147" s="37">
        <f t="shared" si="60"/>
        <v>1.05</v>
      </c>
    </row>
    <row r="148" spans="1:15" ht="12.75">
      <c r="A148" s="128" t="s">
        <v>129</v>
      </c>
      <c r="B148" s="92">
        <f>SUM(B149:B161)</f>
        <v>76600053.60000001</v>
      </c>
      <c r="C148" s="92">
        <f aca="true" t="shared" si="66" ref="C148:J148">SUM(C149:C161)</f>
        <v>62418914</v>
      </c>
      <c r="D148" s="92">
        <f t="shared" si="66"/>
        <v>64475033</v>
      </c>
      <c r="E148" s="92">
        <f t="shared" si="66"/>
        <v>126893947</v>
      </c>
      <c r="F148" s="92">
        <f t="shared" si="66"/>
        <v>72952432</v>
      </c>
      <c r="G148" s="92">
        <f>SUM(G149:G161)</f>
        <v>72952432</v>
      </c>
      <c r="H148" s="86">
        <f t="shared" si="61"/>
        <v>57.49086833905482</v>
      </c>
      <c r="I148" s="92">
        <f t="shared" si="66"/>
        <v>0</v>
      </c>
      <c r="J148" s="92">
        <f t="shared" si="66"/>
        <v>0</v>
      </c>
      <c r="K148" s="101" t="e">
        <f t="shared" si="62"/>
        <v>#DIV/0!</v>
      </c>
      <c r="L148" s="101" t="e">
        <f t="shared" si="63"/>
        <v>#DIV/0!</v>
      </c>
      <c r="M148" s="108">
        <f t="shared" si="64"/>
        <v>5.000000000000004</v>
      </c>
      <c r="O148" s="191"/>
    </row>
    <row r="149" spans="1:15" ht="12.75">
      <c r="A149" s="2" t="s">
        <v>130</v>
      </c>
      <c r="B149" s="38">
        <f aca="true" t="shared" si="67" ref="B149:B161">+G149*O150</f>
        <v>0</v>
      </c>
      <c r="C149" s="38"/>
      <c r="D149" s="38"/>
      <c r="E149" s="59">
        <f aca="true" t="shared" si="68" ref="E149:E161">+C149+D149</f>
        <v>0</v>
      </c>
      <c r="F149" s="38"/>
      <c r="G149" s="70"/>
      <c r="H149" s="85" t="e">
        <f t="shared" si="61"/>
        <v>#DIV/0!</v>
      </c>
      <c r="I149" s="38"/>
      <c r="J149" s="38"/>
      <c r="K149" s="95" t="e">
        <f t="shared" si="62"/>
        <v>#DIV/0!</v>
      </c>
      <c r="L149" s="95" t="e">
        <f t="shared" si="63"/>
        <v>#DIV/0!</v>
      </c>
      <c r="M149" s="58" t="e">
        <f t="shared" si="64"/>
        <v>#DIV/0!</v>
      </c>
      <c r="O149" s="191"/>
    </row>
    <row r="150" spans="1:15" ht="12.75">
      <c r="A150" s="2" t="s">
        <v>131</v>
      </c>
      <c r="B150" s="38">
        <f t="shared" si="67"/>
        <v>0</v>
      </c>
      <c r="C150" s="38"/>
      <c r="D150" s="38"/>
      <c r="E150" s="59">
        <f t="shared" si="68"/>
        <v>0</v>
      </c>
      <c r="F150" s="38"/>
      <c r="G150" s="70"/>
      <c r="H150" s="85" t="e">
        <f t="shared" si="61"/>
        <v>#DIV/0!</v>
      </c>
      <c r="I150" s="38"/>
      <c r="J150" s="38"/>
      <c r="K150" s="95" t="e">
        <f t="shared" si="62"/>
        <v>#DIV/0!</v>
      </c>
      <c r="L150" s="95" t="e">
        <f t="shared" si="63"/>
        <v>#DIV/0!</v>
      </c>
      <c r="M150" s="58" t="e">
        <f t="shared" si="64"/>
        <v>#DIV/0!</v>
      </c>
      <c r="O150" s="37">
        <f aca="true" t="shared" si="69" ref="O150:O162">1+(0.05)</f>
        <v>1.05</v>
      </c>
    </row>
    <row r="151" spans="1:15" ht="12.75">
      <c r="A151" s="2" t="s">
        <v>132</v>
      </c>
      <c r="B151" s="38">
        <f t="shared" si="67"/>
        <v>0</v>
      </c>
      <c r="C151" s="38"/>
      <c r="D151" s="38"/>
      <c r="E151" s="59">
        <f t="shared" si="68"/>
        <v>0</v>
      </c>
      <c r="F151" s="38"/>
      <c r="G151" s="70"/>
      <c r="H151" s="85" t="e">
        <f t="shared" si="61"/>
        <v>#DIV/0!</v>
      </c>
      <c r="I151" s="38"/>
      <c r="J151" s="38"/>
      <c r="K151" s="95" t="e">
        <f t="shared" si="62"/>
        <v>#DIV/0!</v>
      </c>
      <c r="L151" s="95" t="e">
        <f t="shared" si="63"/>
        <v>#DIV/0!</v>
      </c>
      <c r="M151" s="58" t="e">
        <f t="shared" si="64"/>
        <v>#DIV/0!</v>
      </c>
      <c r="O151" s="37">
        <f t="shared" si="69"/>
        <v>1.05</v>
      </c>
    </row>
    <row r="152" spans="1:15" ht="12.75">
      <c r="A152" s="2" t="s">
        <v>133</v>
      </c>
      <c r="B152" s="38">
        <f t="shared" si="67"/>
        <v>0</v>
      </c>
      <c r="C152" s="38"/>
      <c r="D152" s="38"/>
      <c r="E152" s="59">
        <f t="shared" si="68"/>
        <v>0</v>
      </c>
      <c r="F152" s="38"/>
      <c r="G152" s="70"/>
      <c r="H152" s="85" t="e">
        <f t="shared" si="61"/>
        <v>#DIV/0!</v>
      </c>
      <c r="I152" s="38"/>
      <c r="J152" s="38"/>
      <c r="K152" s="95" t="e">
        <f t="shared" si="62"/>
        <v>#DIV/0!</v>
      </c>
      <c r="L152" s="95" t="e">
        <f t="shared" si="63"/>
        <v>#DIV/0!</v>
      </c>
      <c r="M152" s="58" t="e">
        <f t="shared" si="64"/>
        <v>#DIV/0!</v>
      </c>
      <c r="O152" s="37">
        <f t="shared" si="69"/>
        <v>1.05</v>
      </c>
    </row>
    <row r="153" spans="1:15" ht="12.75">
      <c r="A153" s="2" t="s">
        <v>134</v>
      </c>
      <c r="B153" s="38">
        <f t="shared" si="67"/>
        <v>0</v>
      </c>
      <c r="C153" s="38"/>
      <c r="D153" s="38"/>
      <c r="E153" s="59">
        <f t="shared" si="68"/>
        <v>0</v>
      </c>
      <c r="F153" s="38"/>
      <c r="G153" s="70"/>
      <c r="H153" s="85" t="e">
        <f t="shared" si="61"/>
        <v>#DIV/0!</v>
      </c>
      <c r="I153" s="38"/>
      <c r="J153" s="38"/>
      <c r="K153" s="95" t="e">
        <f t="shared" si="62"/>
        <v>#DIV/0!</v>
      </c>
      <c r="L153" s="95" t="e">
        <f t="shared" si="63"/>
        <v>#DIV/0!</v>
      </c>
      <c r="M153" s="58" t="e">
        <f t="shared" si="64"/>
        <v>#DIV/0!</v>
      </c>
      <c r="O153" s="37">
        <f t="shared" si="69"/>
        <v>1.05</v>
      </c>
    </row>
    <row r="154" spans="1:15" ht="12.75">
      <c r="A154" s="2" t="s">
        <v>135</v>
      </c>
      <c r="B154" s="38">
        <f t="shared" si="67"/>
        <v>0</v>
      </c>
      <c r="C154" s="38"/>
      <c r="D154" s="38"/>
      <c r="E154" s="59">
        <f t="shared" si="68"/>
        <v>0</v>
      </c>
      <c r="F154" s="38"/>
      <c r="G154" s="70"/>
      <c r="H154" s="85" t="e">
        <f t="shared" si="61"/>
        <v>#DIV/0!</v>
      </c>
      <c r="I154" s="38"/>
      <c r="J154" s="38"/>
      <c r="K154" s="95" t="e">
        <f t="shared" si="62"/>
        <v>#DIV/0!</v>
      </c>
      <c r="L154" s="95" t="e">
        <f t="shared" si="63"/>
        <v>#DIV/0!</v>
      </c>
      <c r="M154" s="58" t="e">
        <f t="shared" si="64"/>
        <v>#DIV/0!</v>
      </c>
      <c r="O154" s="37">
        <f t="shared" si="69"/>
        <v>1.05</v>
      </c>
    </row>
    <row r="155" spans="1:15" ht="12.75">
      <c r="A155" s="2" t="s">
        <v>136</v>
      </c>
      <c r="B155" s="38">
        <f t="shared" si="67"/>
        <v>0</v>
      </c>
      <c r="C155" s="38"/>
      <c r="D155" s="38"/>
      <c r="E155" s="59">
        <f t="shared" si="68"/>
        <v>0</v>
      </c>
      <c r="F155" s="38"/>
      <c r="G155" s="70"/>
      <c r="H155" s="85" t="e">
        <f t="shared" si="61"/>
        <v>#DIV/0!</v>
      </c>
      <c r="I155" s="38"/>
      <c r="J155" s="38"/>
      <c r="K155" s="95" t="e">
        <f t="shared" si="62"/>
        <v>#DIV/0!</v>
      </c>
      <c r="L155" s="95" t="e">
        <f t="shared" si="63"/>
        <v>#DIV/0!</v>
      </c>
      <c r="M155" s="58" t="e">
        <f t="shared" si="64"/>
        <v>#DIV/0!</v>
      </c>
      <c r="O155" s="37">
        <f t="shared" si="69"/>
        <v>1.05</v>
      </c>
    </row>
    <row r="156" spans="1:15" ht="12.75">
      <c r="A156" s="2" t="s">
        <v>137</v>
      </c>
      <c r="B156" s="38">
        <f t="shared" si="67"/>
        <v>0</v>
      </c>
      <c r="C156" s="38"/>
      <c r="D156" s="38"/>
      <c r="E156" s="59">
        <f t="shared" si="68"/>
        <v>0</v>
      </c>
      <c r="F156" s="38"/>
      <c r="G156" s="70"/>
      <c r="H156" s="85" t="e">
        <f t="shared" si="61"/>
        <v>#DIV/0!</v>
      </c>
      <c r="I156" s="38"/>
      <c r="J156" s="38"/>
      <c r="K156" s="95" t="e">
        <f t="shared" si="62"/>
        <v>#DIV/0!</v>
      </c>
      <c r="L156" s="95" t="e">
        <f t="shared" si="63"/>
        <v>#DIV/0!</v>
      </c>
      <c r="M156" s="58" t="e">
        <f t="shared" si="64"/>
        <v>#DIV/0!</v>
      </c>
      <c r="O156" s="37">
        <f t="shared" si="69"/>
        <v>1.05</v>
      </c>
    </row>
    <row r="157" spans="1:15" ht="12.75">
      <c r="A157" s="2" t="s">
        <v>138</v>
      </c>
      <c r="B157" s="38">
        <f t="shared" si="67"/>
        <v>28184171.400000002</v>
      </c>
      <c r="C157" s="38">
        <f>+'[2]DICIEMBRE'!$C$387+'[2]DICIEMBRE'!$C$397</f>
        <v>21100000</v>
      </c>
      <c r="D157" s="38">
        <f>+'[2]DICIEMBRE'!$D$387+'[2]DICIEMBRE'!$D$397-'[2]DICIEMBRE'!$E$387-'[2]DICIEMBRE'!$E$397</f>
        <v>17289577</v>
      </c>
      <c r="E157" s="59">
        <f t="shared" si="68"/>
        <v>38389577</v>
      </c>
      <c r="F157" s="38">
        <f>+'[2]DICIEMBRE'!$I$387+'[2]DICIEMBRE'!$I$397</f>
        <v>26842068</v>
      </c>
      <c r="G157" s="70">
        <f>+F157</f>
        <v>26842068</v>
      </c>
      <c r="H157" s="85">
        <f t="shared" si="61"/>
        <v>69.92019734940034</v>
      </c>
      <c r="I157" s="38"/>
      <c r="J157" s="38"/>
      <c r="K157" s="95" t="e">
        <f t="shared" si="62"/>
        <v>#DIV/0!</v>
      </c>
      <c r="L157" s="95" t="e">
        <f t="shared" si="63"/>
        <v>#DIV/0!</v>
      </c>
      <c r="M157" s="58">
        <f t="shared" si="64"/>
        <v>5.000000000000004</v>
      </c>
      <c r="O157" s="37">
        <f t="shared" si="69"/>
        <v>1.05</v>
      </c>
    </row>
    <row r="158" spans="1:15" ht="12.75">
      <c r="A158" s="2" t="s">
        <v>139</v>
      </c>
      <c r="B158" s="38">
        <f t="shared" si="67"/>
        <v>0</v>
      </c>
      <c r="C158" s="38"/>
      <c r="D158" s="38"/>
      <c r="E158" s="59">
        <f t="shared" si="68"/>
        <v>0</v>
      </c>
      <c r="F158" s="38"/>
      <c r="G158" s="70"/>
      <c r="H158" s="85" t="e">
        <f t="shared" si="61"/>
        <v>#DIV/0!</v>
      </c>
      <c r="I158" s="38"/>
      <c r="J158" s="38"/>
      <c r="K158" s="95" t="e">
        <f t="shared" si="62"/>
        <v>#DIV/0!</v>
      </c>
      <c r="L158" s="95" t="e">
        <f t="shared" si="63"/>
        <v>#DIV/0!</v>
      </c>
      <c r="M158" s="58" t="e">
        <f t="shared" si="64"/>
        <v>#DIV/0!</v>
      </c>
      <c r="O158" s="37">
        <f t="shared" si="69"/>
        <v>1.05</v>
      </c>
    </row>
    <row r="159" spans="1:15" ht="12.75">
      <c r="A159" s="2" t="s">
        <v>140</v>
      </c>
      <c r="B159" s="38">
        <f t="shared" si="67"/>
        <v>0</v>
      </c>
      <c r="C159" s="38"/>
      <c r="D159" s="38"/>
      <c r="E159" s="59">
        <f t="shared" si="68"/>
        <v>0</v>
      </c>
      <c r="F159" s="38"/>
      <c r="G159" s="70"/>
      <c r="H159" s="85" t="e">
        <f t="shared" si="61"/>
        <v>#DIV/0!</v>
      </c>
      <c r="I159" s="38"/>
      <c r="J159" s="38"/>
      <c r="K159" s="95" t="e">
        <f t="shared" si="62"/>
        <v>#DIV/0!</v>
      </c>
      <c r="L159" s="95" t="e">
        <f t="shared" si="63"/>
        <v>#DIV/0!</v>
      </c>
      <c r="M159" s="58" t="e">
        <f t="shared" si="64"/>
        <v>#DIV/0!</v>
      </c>
      <c r="O159" s="37">
        <f t="shared" si="69"/>
        <v>1.05</v>
      </c>
    </row>
    <row r="160" spans="1:15" ht="12.75">
      <c r="A160" s="2" t="s">
        <v>141</v>
      </c>
      <c r="B160" s="38">
        <f t="shared" si="67"/>
        <v>859950</v>
      </c>
      <c r="C160" s="38">
        <f>+'[2]DICIEMBRE'!$C$319</f>
        <v>500000</v>
      </c>
      <c r="D160" s="38">
        <f>+'[2]DICIEMBRE'!$D$319</f>
        <v>2289166</v>
      </c>
      <c r="E160" s="59">
        <f t="shared" si="68"/>
        <v>2789166</v>
      </c>
      <c r="F160" s="38">
        <f>+'[2]DICIEMBRE'!$I$319</f>
        <v>819000</v>
      </c>
      <c r="G160" s="70">
        <f>+F160</f>
        <v>819000</v>
      </c>
      <c r="H160" s="85">
        <f t="shared" si="61"/>
        <v>29.363616220762765</v>
      </c>
      <c r="I160" s="38"/>
      <c r="J160" s="38"/>
      <c r="K160" s="95" t="e">
        <f t="shared" si="62"/>
        <v>#DIV/0!</v>
      </c>
      <c r="L160" s="95" t="e">
        <f t="shared" si="63"/>
        <v>#DIV/0!</v>
      </c>
      <c r="M160" s="58">
        <f t="shared" si="64"/>
        <v>5.000000000000004</v>
      </c>
      <c r="O160" s="37">
        <f t="shared" si="69"/>
        <v>1.05</v>
      </c>
    </row>
    <row r="161" spans="1:15" ht="12.75">
      <c r="A161" s="2" t="s">
        <v>148</v>
      </c>
      <c r="B161" s="38">
        <f t="shared" si="67"/>
        <v>47555932.2</v>
      </c>
      <c r="C161" s="38">
        <f>+'[2]DICIEMBRE'!$C$323</f>
        <v>40818914</v>
      </c>
      <c r="D161" s="38">
        <f>+'[2]DICIEMBRE'!$D$323-'[2]DICIEMBRE'!$E$323</f>
        <v>44896290</v>
      </c>
      <c r="E161" s="59">
        <f t="shared" si="68"/>
        <v>85715204</v>
      </c>
      <c r="F161" s="38">
        <f>+'[2]DICIEMBRE'!$I$323</f>
        <v>45291364</v>
      </c>
      <c r="G161" s="70">
        <f>+F161</f>
        <v>45291364</v>
      </c>
      <c r="H161" s="85">
        <f t="shared" si="61"/>
        <v>52.83935858100507</v>
      </c>
      <c r="I161" s="38"/>
      <c r="J161" s="38"/>
      <c r="K161" s="95" t="e">
        <f t="shared" si="62"/>
        <v>#DIV/0!</v>
      </c>
      <c r="L161" s="95" t="e">
        <f t="shared" si="63"/>
        <v>#DIV/0!</v>
      </c>
      <c r="M161" s="58">
        <f t="shared" si="64"/>
        <v>5.000000000000004</v>
      </c>
      <c r="O161" s="37">
        <f t="shared" si="69"/>
        <v>1.05</v>
      </c>
    </row>
    <row r="162" spans="1:15" ht="12.75">
      <c r="A162" s="128" t="s">
        <v>143</v>
      </c>
      <c r="B162" s="92">
        <f>SUM(B163:B167)</f>
        <v>0</v>
      </c>
      <c r="C162" s="92">
        <f aca="true" t="shared" si="70" ref="C162:J162">SUM(C163:C167)</f>
        <v>0</v>
      </c>
      <c r="D162" s="92">
        <f t="shared" si="70"/>
        <v>0</v>
      </c>
      <c r="E162" s="92">
        <f t="shared" si="70"/>
        <v>0</v>
      </c>
      <c r="F162" s="92">
        <f t="shared" si="70"/>
        <v>0</v>
      </c>
      <c r="G162" s="92">
        <f>SUM(G163:G167)</f>
        <v>0</v>
      </c>
      <c r="H162" s="86" t="e">
        <f t="shared" si="61"/>
        <v>#DIV/0!</v>
      </c>
      <c r="I162" s="92">
        <f t="shared" si="70"/>
        <v>0</v>
      </c>
      <c r="J162" s="92">
        <f t="shared" si="70"/>
        <v>0</v>
      </c>
      <c r="K162" s="101" t="e">
        <f t="shared" si="62"/>
        <v>#DIV/0!</v>
      </c>
      <c r="L162" s="101" t="e">
        <f t="shared" si="63"/>
        <v>#DIV/0!</v>
      </c>
      <c r="M162" s="108" t="e">
        <f t="shared" si="64"/>
        <v>#DIV/0!</v>
      </c>
      <c r="O162" s="37">
        <f t="shared" si="69"/>
        <v>1.05</v>
      </c>
    </row>
    <row r="163" spans="1:15" ht="12.75">
      <c r="A163" s="2" t="s">
        <v>130</v>
      </c>
      <c r="B163" s="38">
        <f>+G163*O164</f>
        <v>0</v>
      </c>
      <c r="C163" s="38"/>
      <c r="D163" s="38"/>
      <c r="E163" s="59">
        <f>+C163+D163</f>
        <v>0</v>
      </c>
      <c r="F163" s="38"/>
      <c r="G163" s="70"/>
      <c r="H163" s="85" t="e">
        <f t="shared" si="61"/>
        <v>#DIV/0!</v>
      </c>
      <c r="I163" s="38"/>
      <c r="J163" s="38"/>
      <c r="K163" s="95" t="e">
        <f t="shared" si="62"/>
        <v>#DIV/0!</v>
      </c>
      <c r="L163" s="95" t="e">
        <f t="shared" si="63"/>
        <v>#DIV/0!</v>
      </c>
      <c r="M163" s="58" t="e">
        <f t="shared" si="64"/>
        <v>#DIV/0!</v>
      </c>
      <c r="O163" s="191"/>
    </row>
    <row r="164" spans="1:15" ht="12.75">
      <c r="A164" s="2" t="s">
        <v>132</v>
      </c>
      <c r="B164" s="38">
        <f>+G164*O165</f>
        <v>0</v>
      </c>
      <c r="C164" s="38"/>
      <c r="D164" s="38"/>
      <c r="E164" s="59">
        <f>+C164+D164</f>
        <v>0</v>
      </c>
      <c r="F164" s="38"/>
      <c r="G164" s="70"/>
      <c r="H164" s="85" t="e">
        <f t="shared" si="61"/>
        <v>#DIV/0!</v>
      </c>
      <c r="I164" s="38"/>
      <c r="J164" s="38"/>
      <c r="K164" s="95" t="e">
        <f t="shared" si="62"/>
        <v>#DIV/0!</v>
      </c>
      <c r="L164" s="95" t="e">
        <f t="shared" si="63"/>
        <v>#DIV/0!</v>
      </c>
      <c r="M164" s="58" t="e">
        <f t="shared" si="64"/>
        <v>#DIV/0!</v>
      </c>
      <c r="O164" s="37">
        <f>1+(0.05)</f>
        <v>1.05</v>
      </c>
    </row>
    <row r="165" spans="1:15" ht="12.75">
      <c r="A165" s="2" t="s">
        <v>133</v>
      </c>
      <c r="B165" s="38">
        <f>+G165*O166</f>
        <v>0</v>
      </c>
      <c r="C165" s="38"/>
      <c r="D165" s="38"/>
      <c r="E165" s="59">
        <f>+C165+D165</f>
        <v>0</v>
      </c>
      <c r="F165" s="38"/>
      <c r="G165" s="70"/>
      <c r="H165" s="85" t="e">
        <f t="shared" si="61"/>
        <v>#DIV/0!</v>
      </c>
      <c r="I165" s="38"/>
      <c r="J165" s="38"/>
      <c r="K165" s="95" t="e">
        <f t="shared" si="62"/>
        <v>#DIV/0!</v>
      </c>
      <c r="L165" s="95" t="e">
        <f t="shared" si="63"/>
        <v>#DIV/0!</v>
      </c>
      <c r="M165" s="58" t="e">
        <f t="shared" si="64"/>
        <v>#DIV/0!</v>
      </c>
      <c r="O165" s="37">
        <f>1+(0.05)</f>
        <v>1.05</v>
      </c>
    </row>
    <row r="166" spans="1:15" ht="12.75">
      <c r="A166" s="2" t="s">
        <v>135</v>
      </c>
      <c r="B166" s="38">
        <f>+G166*O167</f>
        <v>0</v>
      </c>
      <c r="C166" s="38"/>
      <c r="D166" s="38"/>
      <c r="E166" s="59">
        <f>+C166+D166</f>
        <v>0</v>
      </c>
      <c r="F166" s="38"/>
      <c r="G166" s="70"/>
      <c r="H166" s="85" t="e">
        <f t="shared" si="61"/>
        <v>#DIV/0!</v>
      </c>
      <c r="I166" s="38"/>
      <c r="J166" s="38"/>
      <c r="K166" s="95" t="e">
        <f t="shared" si="62"/>
        <v>#DIV/0!</v>
      </c>
      <c r="L166" s="95" t="e">
        <f t="shared" si="63"/>
        <v>#DIV/0!</v>
      </c>
      <c r="M166" s="58" t="e">
        <f t="shared" si="64"/>
        <v>#DIV/0!</v>
      </c>
      <c r="O166" s="37">
        <f>1+(0.05)</f>
        <v>1.05</v>
      </c>
    </row>
    <row r="167" spans="1:15" ht="12.75">
      <c r="A167" s="2" t="s">
        <v>138</v>
      </c>
      <c r="B167" s="38">
        <f>+G167*O168</f>
        <v>0</v>
      </c>
      <c r="C167" s="35"/>
      <c r="D167" s="35"/>
      <c r="E167" s="59">
        <f>+C167+D167</f>
        <v>0</v>
      </c>
      <c r="F167" s="38"/>
      <c r="G167" s="70"/>
      <c r="H167" s="85" t="e">
        <f t="shared" si="61"/>
        <v>#DIV/0!</v>
      </c>
      <c r="I167" s="38"/>
      <c r="J167" s="38"/>
      <c r="K167" s="95" t="e">
        <f t="shared" si="62"/>
        <v>#DIV/0!</v>
      </c>
      <c r="L167" s="95" t="e">
        <f t="shared" si="63"/>
        <v>#DIV/0!</v>
      </c>
      <c r="M167" s="58" t="e">
        <f t="shared" si="64"/>
        <v>#DIV/0!</v>
      </c>
      <c r="O167" s="37">
        <f>1+(0.05)</f>
        <v>1.05</v>
      </c>
    </row>
    <row r="168" spans="1:15" ht="12.75">
      <c r="A168" s="128" t="s">
        <v>145</v>
      </c>
      <c r="B168" s="92">
        <f>SUM(B169:B182)</f>
        <v>0</v>
      </c>
      <c r="C168" s="92">
        <f aca="true" t="shared" si="71" ref="C168:J168">SUM(C169:C182)</f>
        <v>0</v>
      </c>
      <c r="D168" s="92">
        <f t="shared" si="71"/>
        <v>0</v>
      </c>
      <c r="E168" s="92">
        <f t="shared" si="71"/>
        <v>0</v>
      </c>
      <c r="F168" s="92">
        <f t="shared" si="71"/>
        <v>0</v>
      </c>
      <c r="G168" s="92">
        <f>SUM(G169:G182)</f>
        <v>0</v>
      </c>
      <c r="H168" s="86" t="e">
        <f t="shared" si="61"/>
        <v>#DIV/0!</v>
      </c>
      <c r="I168" s="92">
        <f t="shared" si="71"/>
        <v>0</v>
      </c>
      <c r="J168" s="92">
        <f t="shared" si="71"/>
        <v>0</v>
      </c>
      <c r="K168" s="101" t="e">
        <f t="shared" si="62"/>
        <v>#DIV/0!</v>
      </c>
      <c r="L168" s="101" t="e">
        <f t="shared" si="63"/>
        <v>#DIV/0!</v>
      </c>
      <c r="M168" s="108" t="e">
        <f t="shared" si="64"/>
        <v>#DIV/0!</v>
      </c>
      <c r="O168" s="37">
        <f>1+(0.05)</f>
        <v>1.05</v>
      </c>
    </row>
    <row r="169" spans="1:15" ht="12.75">
      <c r="A169" s="2" t="s">
        <v>130</v>
      </c>
      <c r="B169" s="38">
        <f aca="true" t="shared" si="72" ref="B169:B183">+G169*O170</f>
        <v>0</v>
      </c>
      <c r="C169" s="38"/>
      <c r="D169" s="38"/>
      <c r="E169" s="59">
        <f aca="true" t="shared" si="73" ref="E169:E183">+C169+D169</f>
        <v>0</v>
      </c>
      <c r="F169" s="38"/>
      <c r="G169" s="70"/>
      <c r="H169" s="85" t="e">
        <f t="shared" si="61"/>
        <v>#DIV/0!</v>
      </c>
      <c r="I169" s="38"/>
      <c r="J169" s="38"/>
      <c r="K169" s="95" t="e">
        <f t="shared" si="62"/>
        <v>#DIV/0!</v>
      </c>
      <c r="L169" s="95" t="e">
        <f t="shared" si="63"/>
        <v>#DIV/0!</v>
      </c>
      <c r="M169" s="58" t="e">
        <f t="shared" si="64"/>
        <v>#DIV/0!</v>
      </c>
      <c r="O169" s="191"/>
    </row>
    <row r="170" spans="1:15" ht="12.75">
      <c r="A170" s="2" t="s">
        <v>131</v>
      </c>
      <c r="B170" s="38">
        <f t="shared" si="72"/>
        <v>0</v>
      </c>
      <c r="C170" s="38"/>
      <c r="D170" s="38"/>
      <c r="E170" s="59">
        <f t="shared" si="73"/>
        <v>0</v>
      </c>
      <c r="F170" s="38"/>
      <c r="G170" s="70"/>
      <c r="H170" s="85" t="e">
        <f t="shared" si="61"/>
        <v>#DIV/0!</v>
      </c>
      <c r="I170" s="38"/>
      <c r="J170" s="38"/>
      <c r="K170" s="95" t="e">
        <f t="shared" si="62"/>
        <v>#DIV/0!</v>
      </c>
      <c r="L170" s="95" t="e">
        <f t="shared" si="63"/>
        <v>#DIV/0!</v>
      </c>
      <c r="M170" s="58" t="e">
        <f t="shared" si="64"/>
        <v>#DIV/0!</v>
      </c>
      <c r="O170" s="37">
        <f aca="true" t="shared" si="74" ref="O170:O183">1+(0.05)</f>
        <v>1.05</v>
      </c>
    </row>
    <row r="171" spans="1:15" ht="12.75">
      <c r="A171" s="2" t="s">
        <v>132</v>
      </c>
      <c r="B171" s="38">
        <f t="shared" si="72"/>
        <v>0</v>
      </c>
      <c r="C171" s="38"/>
      <c r="D171" s="38"/>
      <c r="E171" s="59">
        <f t="shared" si="73"/>
        <v>0</v>
      </c>
      <c r="F171" s="38"/>
      <c r="G171" s="70"/>
      <c r="H171" s="85" t="e">
        <f t="shared" si="61"/>
        <v>#DIV/0!</v>
      </c>
      <c r="I171" s="38"/>
      <c r="J171" s="38"/>
      <c r="K171" s="95" t="e">
        <f t="shared" si="62"/>
        <v>#DIV/0!</v>
      </c>
      <c r="L171" s="95" t="e">
        <f t="shared" si="63"/>
        <v>#DIV/0!</v>
      </c>
      <c r="M171" s="58" t="e">
        <f t="shared" si="64"/>
        <v>#DIV/0!</v>
      </c>
      <c r="O171" s="37">
        <f t="shared" si="74"/>
        <v>1.05</v>
      </c>
    </row>
    <row r="172" spans="1:15" ht="12.75">
      <c r="A172" s="2" t="s">
        <v>133</v>
      </c>
      <c r="B172" s="38">
        <f t="shared" si="72"/>
        <v>0</v>
      </c>
      <c r="C172" s="38"/>
      <c r="D172" s="38"/>
      <c r="E172" s="59">
        <f t="shared" si="73"/>
        <v>0</v>
      </c>
      <c r="F172" s="38"/>
      <c r="G172" s="70"/>
      <c r="H172" s="85" t="e">
        <f t="shared" si="61"/>
        <v>#DIV/0!</v>
      </c>
      <c r="I172" s="38"/>
      <c r="J172" s="38"/>
      <c r="K172" s="95" t="e">
        <f t="shared" si="62"/>
        <v>#DIV/0!</v>
      </c>
      <c r="L172" s="95" t="e">
        <f t="shared" si="63"/>
        <v>#DIV/0!</v>
      </c>
      <c r="M172" s="58" t="e">
        <f t="shared" si="64"/>
        <v>#DIV/0!</v>
      </c>
      <c r="O172" s="37">
        <f t="shared" si="74"/>
        <v>1.05</v>
      </c>
    </row>
    <row r="173" spans="1:15" ht="12.75">
      <c r="A173" s="2" t="s">
        <v>134</v>
      </c>
      <c r="B173" s="38">
        <f t="shared" si="72"/>
        <v>0</v>
      </c>
      <c r="C173" s="38"/>
      <c r="D173" s="38"/>
      <c r="E173" s="59">
        <f t="shared" si="73"/>
        <v>0</v>
      </c>
      <c r="F173" s="38"/>
      <c r="G173" s="70"/>
      <c r="H173" s="85" t="e">
        <f t="shared" si="61"/>
        <v>#DIV/0!</v>
      </c>
      <c r="I173" s="38"/>
      <c r="J173" s="38"/>
      <c r="K173" s="95" t="e">
        <f t="shared" si="62"/>
        <v>#DIV/0!</v>
      </c>
      <c r="L173" s="95" t="e">
        <f t="shared" si="63"/>
        <v>#DIV/0!</v>
      </c>
      <c r="M173" s="58" t="e">
        <f t="shared" si="64"/>
        <v>#DIV/0!</v>
      </c>
      <c r="O173" s="37">
        <f t="shared" si="74"/>
        <v>1.05</v>
      </c>
    </row>
    <row r="174" spans="1:15" ht="12.75">
      <c r="A174" s="2" t="s">
        <v>135</v>
      </c>
      <c r="B174" s="38">
        <f t="shared" si="72"/>
        <v>0</v>
      </c>
      <c r="C174" s="37"/>
      <c r="D174" s="38"/>
      <c r="E174" s="59">
        <f t="shared" si="73"/>
        <v>0</v>
      </c>
      <c r="F174" s="38"/>
      <c r="G174" s="70"/>
      <c r="H174" s="85" t="e">
        <f t="shared" si="61"/>
        <v>#DIV/0!</v>
      </c>
      <c r="I174" s="38"/>
      <c r="J174" s="38"/>
      <c r="K174" s="95" t="e">
        <f t="shared" si="62"/>
        <v>#DIV/0!</v>
      </c>
      <c r="L174" s="95" t="e">
        <f t="shared" si="63"/>
        <v>#DIV/0!</v>
      </c>
      <c r="M174" s="58" t="e">
        <f t="shared" si="64"/>
        <v>#DIV/0!</v>
      </c>
      <c r="O174" s="37">
        <f t="shared" si="74"/>
        <v>1.05</v>
      </c>
    </row>
    <row r="175" spans="1:15" ht="12.75">
      <c r="A175" s="2" t="s">
        <v>136</v>
      </c>
      <c r="B175" s="38">
        <f t="shared" si="72"/>
        <v>0</v>
      </c>
      <c r="C175" s="38"/>
      <c r="D175" s="38"/>
      <c r="E175" s="59">
        <f t="shared" si="73"/>
        <v>0</v>
      </c>
      <c r="F175" s="38"/>
      <c r="G175" s="70"/>
      <c r="H175" s="85" t="e">
        <f t="shared" si="61"/>
        <v>#DIV/0!</v>
      </c>
      <c r="I175" s="38"/>
      <c r="J175" s="38"/>
      <c r="K175" s="95" t="e">
        <f t="shared" si="62"/>
        <v>#DIV/0!</v>
      </c>
      <c r="L175" s="95" t="e">
        <f t="shared" si="63"/>
        <v>#DIV/0!</v>
      </c>
      <c r="M175" s="58" t="e">
        <f t="shared" si="64"/>
        <v>#DIV/0!</v>
      </c>
      <c r="O175" s="37">
        <f t="shared" si="74"/>
        <v>1.05</v>
      </c>
    </row>
    <row r="176" spans="1:15" ht="12.75">
      <c r="A176" s="2" t="s">
        <v>137</v>
      </c>
      <c r="B176" s="38">
        <f t="shared" si="72"/>
        <v>0</v>
      </c>
      <c r="C176" s="38"/>
      <c r="D176" s="38"/>
      <c r="E176" s="59">
        <f t="shared" si="73"/>
        <v>0</v>
      </c>
      <c r="F176" s="38"/>
      <c r="G176" s="70"/>
      <c r="H176" s="85" t="e">
        <f t="shared" si="61"/>
        <v>#DIV/0!</v>
      </c>
      <c r="I176" s="38"/>
      <c r="J176" s="38"/>
      <c r="K176" s="95" t="e">
        <f t="shared" si="62"/>
        <v>#DIV/0!</v>
      </c>
      <c r="L176" s="95" t="e">
        <f t="shared" si="63"/>
        <v>#DIV/0!</v>
      </c>
      <c r="M176" s="58" t="e">
        <f t="shared" si="64"/>
        <v>#DIV/0!</v>
      </c>
      <c r="O176" s="37">
        <f t="shared" si="74"/>
        <v>1.05</v>
      </c>
    </row>
    <row r="177" spans="1:15" ht="12.75">
      <c r="A177" s="2" t="s">
        <v>138</v>
      </c>
      <c r="B177" s="38">
        <f t="shared" si="72"/>
        <v>0</v>
      </c>
      <c r="C177" s="38"/>
      <c r="D177" s="38"/>
      <c r="E177" s="59">
        <f t="shared" si="73"/>
        <v>0</v>
      </c>
      <c r="F177" s="38"/>
      <c r="G177" s="70"/>
      <c r="H177" s="85" t="e">
        <f t="shared" si="61"/>
        <v>#DIV/0!</v>
      </c>
      <c r="I177" s="38"/>
      <c r="J177" s="38"/>
      <c r="K177" s="95" t="e">
        <f t="shared" si="62"/>
        <v>#DIV/0!</v>
      </c>
      <c r="L177" s="95" t="e">
        <f t="shared" si="63"/>
        <v>#DIV/0!</v>
      </c>
      <c r="M177" s="58" t="e">
        <f t="shared" si="64"/>
        <v>#DIV/0!</v>
      </c>
      <c r="O177" s="37">
        <f t="shared" si="74"/>
        <v>1.05</v>
      </c>
    </row>
    <row r="178" spans="1:15" ht="12.75">
      <c r="A178" s="2" t="s">
        <v>139</v>
      </c>
      <c r="B178" s="38">
        <f t="shared" si="72"/>
        <v>0</v>
      </c>
      <c r="C178" s="38"/>
      <c r="D178" s="38"/>
      <c r="E178" s="59">
        <f t="shared" si="73"/>
        <v>0</v>
      </c>
      <c r="F178" s="38"/>
      <c r="G178" s="70"/>
      <c r="H178" s="85" t="e">
        <f t="shared" si="61"/>
        <v>#DIV/0!</v>
      </c>
      <c r="I178" s="38"/>
      <c r="J178" s="38"/>
      <c r="K178" s="95" t="e">
        <f t="shared" si="62"/>
        <v>#DIV/0!</v>
      </c>
      <c r="L178" s="95" t="e">
        <f t="shared" si="63"/>
        <v>#DIV/0!</v>
      </c>
      <c r="M178" s="58" t="e">
        <f t="shared" si="64"/>
        <v>#DIV/0!</v>
      </c>
      <c r="O178" s="37">
        <f t="shared" si="74"/>
        <v>1.05</v>
      </c>
    </row>
    <row r="179" spans="1:15" ht="12.75">
      <c r="A179" s="2" t="s">
        <v>140</v>
      </c>
      <c r="B179" s="38">
        <f t="shared" si="72"/>
        <v>0</v>
      </c>
      <c r="C179" s="38"/>
      <c r="D179" s="38"/>
      <c r="E179" s="59">
        <f t="shared" si="73"/>
        <v>0</v>
      </c>
      <c r="F179" s="38"/>
      <c r="G179" s="70"/>
      <c r="H179" s="85" t="e">
        <f t="shared" si="61"/>
        <v>#DIV/0!</v>
      </c>
      <c r="I179" s="38"/>
      <c r="J179" s="38"/>
      <c r="K179" s="95" t="e">
        <f t="shared" si="62"/>
        <v>#DIV/0!</v>
      </c>
      <c r="L179" s="95" t="e">
        <f t="shared" si="63"/>
        <v>#DIV/0!</v>
      </c>
      <c r="M179" s="58" t="e">
        <f t="shared" si="64"/>
        <v>#DIV/0!</v>
      </c>
      <c r="O179" s="37">
        <f t="shared" si="74"/>
        <v>1.05</v>
      </c>
    </row>
    <row r="180" spans="1:15" ht="12.75">
      <c r="A180" s="2" t="s">
        <v>141</v>
      </c>
      <c r="B180" s="38">
        <f t="shared" si="72"/>
        <v>0</v>
      </c>
      <c r="C180" s="38"/>
      <c r="D180" s="38"/>
      <c r="E180" s="59">
        <f t="shared" si="73"/>
        <v>0</v>
      </c>
      <c r="F180" s="38"/>
      <c r="G180" s="70"/>
      <c r="H180" s="85" t="e">
        <f t="shared" si="61"/>
        <v>#DIV/0!</v>
      </c>
      <c r="I180" s="38"/>
      <c r="J180" s="38"/>
      <c r="K180" s="95" t="e">
        <f t="shared" si="62"/>
        <v>#DIV/0!</v>
      </c>
      <c r="L180" s="95" t="e">
        <f t="shared" si="63"/>
        <v>#DIV/0!</v>
      </c>
      <c r="M180" s="58" t="e">
        <f t="shared" si="64"/>
        <v>#DIV/0!</v>
      </c>
      <c r="O180" s="37">
        <f t="shared" si="74"/>
        <v>1.05</v>
      </c>
    </row>
    <row r="181" spans="1:15" ht="12.75">
      <c r="A181" s="2" t="s">
        <v>146</v>
      </c>
      <c r="B181" s="38">
        <f t="shared" si="72"/>
        <v>0</v>
      </c>
      <c r="C181" s="38"/>
      <c r="D181" s="38"/>
      <c r="E181" s="59">
        <f t="shared" si="73"/>
        <v>0</v>
      </c>
      <c r="F181" s="38"/>
      <c r="G181" s="70"/>
      <c r="H181" s="85" t="e">
        <f t="shared" si="61"/>
        <v>#DIV/0!</v>
      </c>
      <c r="I181" s="38"/>
      <c r="J181" s="38"/>
      <c r="K181" s="95" t="e">
        <f t="shared" si="62"/>
        <v>#DIV/0!</v>
      </c>
      <c r="L181" s="95" t="e">
        <f t="shared" si="63"/>
        <v>#DIV/0!</v>
      </c>
      <c r="M181" s="58" t="e">
        <f t="shared" si="64"/>
        <v>#DIV/0!</v>
      </c>
      <c r="O181" s="37">
        <f t="shared" si="74"/>
        <v>1.05</v>
      </c>
    </row>
    <row r="182" spans="1:15" ht="12.75">
      <c r="A182" s="2" t="s">
        <v>148</v>
      </c>
      <c r="B182" s="38">
        <f t="shared" si="72"/>
        <v>0</v>
      </c>
      <c r="C182" s="38"/>
      <c r="D182" s="38"/>
      <c r="E182" s="59">
        <f t="shared" si="73"/>
        <v>0</v>
      </c>
      <c r="F182" s="38"/>
      <c r="G182" s="70"/>
      <c r="H182" s="85" t="e">
        <f t="shared" si="61"/>
        <v>#DIV/0!</v>
      </c>
      <c r="I182" s="38"/>
      <c r="J182" s="38"/>
      <c r="K182" s="95" t="e">
        <f t="shared" si="62"/>
        <v>#DIV/0!</v>
      </c>
      <c r="L182" s="95" t="e">
        <f t="shared" si="63"/>
        <v>#DIV/0!</v>
      </c>
      <c r="M182" s="58" t="e">
        <f t="shared" si="64"/>
        <v>#DIV/0!</v>
      </c>
      <c r="O182" s="37">
        <f t="shared" si="74"/>
        <v>1.05</v>
      </c>
    </row>
    <row r="183" spans="1:15" ht="13.5" thickBot="1">
      <c r="A183" s="25" t="s">
        <v>150</v>
      </c>
      <c r="B183" s="259">
        <f t="shared" si="72"/>
        <v>0</v>
      </c>
      <c r="C183" s="259"/>
      <c r="D183" s="259"/>
      <c r="E183" s="156">
        <f t="shared" si="73"/>
        <v>0</v>
      </c>
      <c r="F183" s="259"/>
      <c r="G183" s="259"/>
      <c r="H183" s="188" t="e">
        <f t="shared" si="61"/>
        <v>#DIV/0!</v>
      </c>
      <c r="I183" s="259"/>
      <c r="J183" s="259"/>
      <c r="K183" s="189" t="e">
        <f t="shared" si="62"/>
        <v>#DIV/0!</v>
      </c>
      <c r="L183" s="189" t="e">
        <f t="shared" si="63"/>
        <v>#DIV/0!</v>
      </c>
      <c r="M183" s="165" t="e">
        <f t="shared" si="64"/>
        <v>#DIV/0!</v>
      </c>
      <c r="O183" s="37">
        <f t="shared" si="74"/>
        <v>1.05</v>
      </c>
    </row>
    <row r="184" spans="1:15" ht="13.5" thickBot="1">
      <c r="A184" s="26" t="s">
        <v>151</v>
      </c>
      <c r="B184" s="53">
        <f>SUM(B185)</f>
        <v>0</v>
      </c>
      <c r="C184" s="53">
        <f aca="true" t="shared" si="75" ref="C184:J184">SUM(C185)</f>
        <v>0</v>
      </c>
      <c r="D184" s="53">
        <f t="shared" si="75"/>
        <v>0</v>
      </c>
      <c r="E184" s="53">
        <f t="shared" si="75"/>
        <v>0</v>
      </c>
      <c r="F184" s="53">
        <f t="shared" si="75"/>
        <v>0</v>
      </c>
      <c r="G184" s="53">
        <f t="shared" si="75"/>
        <v>0</v>
      </c>
      <c r="H184" s="84" t="e">
        <f t="shared" si="61"/>
        <v>#DIV/0!</v>
      </c>
      <c r="I184" s="53">
        <f t="shared" si="75"/>
        <v>0</v>
      </c>
      <c r="J184" s="53">
        <f t="shared" si="75"/>
        <v>0</v>
      </c>
      <c r="K184" s="66" t="e">
        <f t="shared" si="62"/>
        <v>#DIV/0!</v>
      </c>
      <c r="L184" s="66" t="e">
        <f t="shared" si="63"/>
        <v>#DIV/0!</v>
      </c>
      <c r="M184" s="113" t="e">
        <f t="shared" si="64"/>
        <v>#DIV/0!</v>
      </c>
      <c r="O184" s="191"/>
    </row>
    <row r="185" spans="1:15" ht="12.75">
      <c r="A185" s="25" t="s">
        <v>152</v>
      </c>
      <c r="B185" s="60">
        <f>SUM(B186:B189)</f>
        <v>0</v>
      </c>
      <c r="C185" s="60">
        <f aca="true" t="shared" si="76" ref="C185:J185">SUM(C186:C189)</f>
        <v>0</v>
      </c>
      <c r="D185" s="60">
        <f t="shared" si="76"/>
        <v>0</v>
      </c>
      <c r="E185" s="60">
        <f t="shared" si="76"/>
        <v>0</v>
      </c>
      <c r="F185" s="60">
        <f t="shared" si="76"/>
        <v>0</v>
      </c>
      <c r="G185" s="102">
        <f>SUM(G186:G189)</f>
        <v>0</v>
      </c>
      <c r="H185" s="86" t="e">
        <f t="shared" si="61"/>
        <v>#DIV/0!</v>
      </c>
      <c r="I185" s="60">
        <f t="shared" si="76"/>
        <v>0</v>
      </c>
      <c r="J185" s="60">
        <f t="shared" si="76"/>
        <v>0</v>
      </c>
      <c r="K185" s="61" t="e">
        <f t="shared" si="62"/>
        <v>#DIV/0!</v>
      </c>
      <c r="L185" s="61" t="e">
        <f t="shared" si="63"/>
        <v>#DIV/0!</v>
      </c>
      <c r="M185" s="111" t="e">
        <f t="shared" si="64"/>
        <v>#DIV/0!</v>
      </c>
      <c r="O185" s="191"/>
    </row>
    <row r="186" spans="1:15" ht="12.75">
      <c r="A186" s="2" t="s">
        <v>153</v>
      </c>
      <c r="B186" s="38">
        <f>+G186*O187</f>
        <v>0</v>
      </c>
      <c r="C186" s="38"/>
      <c r="D186" s="38"/>
      <c r="E186" s="59">
        <f>+C186+D186</f>
        <v>0</v>
      </c>
      <c r="F186" s="38"/>
      <c r="G186" s="70"/>
      <c r="H186" s="85" t="e">
        <f t="shared" si="61"/>
        <v>#DIV/0!</v>
      </c>
      <c r="I186" s="38"/>
      <c r="J186" s="38"/>
      <c r="K186" s="95" t="e">
        <f t="shared" si="62"/>
        <v>#DIV/0!</v>
      </c>
      <c r="L186" s="95" t="e">
        <f t="shared" si="63"/>
        <v>#DIV/0!</v>
      </c>
      <c r="M186" s="112" t="e">
        <f t="shared" si="64"/>
        <v>#DIV/0!</v>
      </c>
      <c r="O186" s="191"/>
    </row>
    <row r="187" spans="1:15" ht="12.75">
      <c r="A187" s="2" t="s">
        <v>154</v>
      </c>
      <c r="B187" s="38">
        <f>+G187*O188</f>
        <v>0</v>
      </c>
      <c r="C187" s="38"/>
      <c r="D187" s="38"/>
      <c r="E187" s="59">
        <f>+C187+D187</f>
        <v>0</v>
      </c>
      <c r="F187" s="38"/>
      <c r="G187" s="70"/>
      <c r="H187" s="85" t="e">
        <f t="shared" si="61"/>
        <v>#DIV/0!</v>
      </c>
      <c r="I187" s="38"/>
      <c r="J187" s="38"/>
      <c r="K187" s="95" t="e">
        <f t="shared" si="62"/>
        <v>#DIV/0!</v>
      </c>
      <c r="L187" s="95" t="e">
        <f t="shared" si="63"/>
        <v>#DIV/0!</v>
      </c>
      <c r="M187" s="112" t="e">
        <f t="shared" si="64"/>
        <v>#DIV/0!</v>
      </c>
      <c r="O187" s="191"/>
    </row>
    <row r="188" spans="1:15" ht="12.75">
      <c r="A188" s="2" t="s">
        <v>155</v>
      </c>
      <c r="B188" s="38">
        <f>+G188*O189</f>
        <v>0</v>
      </c>
      <c r="C188" s="38"/>
      <c r="D188" s="38"/>
      <c r="E188" s="59">
        <f>+C188+D188</f>
        <v>0</v>
      </c>
      <c r="F188" s="38"/>
      <c r="G188" s="70"/>
      <c r="H188" s="85" t="e">
        <f t="shared" si="61"/>
        <v>#DIV/0!</v>
      </c>
      <c r="I188" s="38"/>
      <c r="J188" s="38"/>
      <c r="K188" s="95" t="e">
        <f t="shared" si="62"/>
        <v>#DIV/0!</v>
      </c>
      <c r="L188" s="95" t="e">
        <f t="shared" si="63"/>
        <v>#DIV/0!</v>
      </c>
      <c r="M188" s="112" t="e">
        <f t="shared" si="64"/>
        <v>#DIV/0!</v>
      </c>
      <c r="O188" s="191"/>
    </row>
    <row r="189" spans="1:15" ht="13.5" thickBot="1">
      <c r="A189" s="7" t="s">
        <v>156</v>
      </c>
      <c r="B189" s="98">
        <f>+G189*O190</f>
        <v>0</v>
      </c>
      <c r="C189" s="98"/>
      <c r="D189" s="98"/>
      <c r="E189" s="91">
        <f>+C189+D189</f>
        <v>0</v>
      </c>
      <c r="F189" s="98"/>
      <c r="G189" s="99"/>
      <c r="H189" s="87" t="e">
        <f t="shared" si="61"/>
        <v>#DIV/0!</v>
      </c>
      <c r="I189" s="98"/>
      <c r="J189" s="98"/>
      <c r="K189" s="96" t="e">
        <f t="shared" si="62"/>
        <v>#DIV/0!</v>
      </c>
      <c r="L189" s="96" t="e">
        <f t="shared" si="63"/>
        <v>#DIV/0!</v>
      </c>
      <c r="M189" s="114" t="e">
        <f t="shared" si="64"/>
        <v>#DIV/0!</v>
      </c>
      <c r="O189" s="196"/>
    </row>
    <row r="190" spans="11:15" ht="12.75">
      <c r="K190" s="93"/>
      <c r="L190" s="93"/>
      <c r="M190" s="109"/>
      <c r="O190" s="34"/>
    </row>
    <row r="191" spans="11:15" ht="12.75">
      <c r="K191" s="93"/>
      <c r="L191" s="93"/>
      <c r="M191" s="109"/>
      <c r="O191" s="34"/>
    </row>
    <row r="192" spans="1:15" ht="18">
      <c r="A192" s="94" t="s">
        <v>8</v>
      </c>
      <c r="K192" s="93"/>
      <c r="L192" s="93"/>
      <c r="M192" s="109"/>
      <c r="O192" s="34"/>
    </row>
    <row r="193" spans="11:15" ht="12.75">
      <c r="K193" s="93"/>
      <c r="L193" s="93"/>
      <c r="M193" s="109"/>
      <c r="O193" s="34"/>
    </row>
    <row r="194" spans="11:15" ht="13.5" thickBot="1">
      <c r="K194" s="93"/>
      <c r="L194" s="93"/>
      <c r="M194" s="109"/>
      <c r="O194" s="34"/>
    </row>
    <row r="195" spans="1:15" ht="72.75" thickBot="1">
      <c r="A195" s="4" t="s">
        <v>9</v>
      </c>
      <c r="B195" s="16" t="s">
        <v>228</v>
      </c>
      <c r="C195" s="16" t="s">
        <v>227</v>
      </c>
      <c r="D195" s="193" t="s">
        <v>358</v>
      </c>
      <c r="E195" s="17" t="s">
        <v>2</v>
      </c>
      <c r="F195" s="198" t="s">
        <v>360</v>
      </c>
      <c r="G195" s="49" t="s">
        <v>243</v>
      </c>
      <c r="H195" s="50" t="s">
        <v>239</v>
      </c>
      <c r="I195" s="16" t="s">
        <v>241</v>
      </c>
      <c r="J195" s="16" t="s">
        <v>242</v>
      </c>
      <c r="K195" s="82" t="s">
        <v>236</v>
      </c>
      <c r="L195" s="82" t="s">
        <v>237</v>
      </c>
      <c r="M195" s="110" t="s">
        <v>240</v>
      </c>
      <c r="O195" s="193" t="s">
        <v>244</v>
      </c>
    </row>
    <row r="196" spans="1:15" ht="13.5" thickBot="1">
      <c r="A196" s="13" t="s">
        <v>10</v>
      </c>
      <c r="B196" s="53">
        <f aca="true" t="shared" si="77" ref="B196:G196">SUM(B197:B198)</f>
        <v>93698008.20450002</v>
      </c>
      <c r="C196" s="53">
        <f t="shared" si="77"/>
        <v>107190551.49000001</v>
      </c>
      <c r="D196" s="53">
        <f t="shared" si="77"/>
        <v>747483.2599999998</v>
      </c>
      <c r="E196" s="53">
        <f t="shared" si="77"/>
        <v>107938034.75</v>
      </c>
      <c r="F196" s="53">
        <f t="shared" si="77"/>
        <v>89236198.29</v>
      </c>
      <c r="G196" s="53">
        <f t="shared" si="77"/>
        <v>89236198.29</v>
      </c>
      <c r="H196" s="84">
        <f>((G196*100)/E196)</f>
        <v>82.67354366482942</v>
      </c>
      <c r="I196" s="53">
        <f>SUM(I197:I198)</f>
        <v>0</v>
      </c>
      <c r="J196" s="53">
        <f>SUM(J197:J198)</f>
        <v>0</v>
      </c>
      <c r="K196" s="105" t="e">
        <f>+((G196/I196)-1)*100</f>
        <v>#DIV/0!</v>
      </c>
      <c r="L196" s="66" t="e">
        <f>+((I196/J196)-1)*100</f>
        <v>#DIV/0!</v>
      </c>
      <c r="M196" s="55" t="e">
        <f>+((J196/K196)-1)*100</f>
        <v>#DIV/0!</v>
      </c>
      <c r="O196" s="205"/>
    </row>
    <row r="197" spans="1:15" ht="12.75">
      <c r="A197" s="8" t="s">
        <v>157</v>
      </c>
      <c r="B197" s="38">
        <f>+G197*O197</f>
        <v>50840378.08500001</v>
      </c>
      <c r="C197" s="38">
        <f>+'[2]DICIEMBRE'!$C$14</f>
        <v>64006730.07</v>
      </c>
      <c r="D197" s="38">
        <f>+'[2]DICIEMBRE'!$D$14-'[2]DICIEMBRE'!$E$14</f>
        <v>-518663</v>
      </c>
      <c r="E197" s="59">
        <f>+C197+D197</f>
        <v>63488067.07</v>
      </c>
      <c r="F197" s="38">
        <f>+'[2]DICIEMBRE'!$I$14</f>
        <v>48419407.7</v>
      </c>
      <c r="G197" s="70">
        <f>+F197</f>
        <v>48419407.7</v>
      </c>
      <c r="H197" s="85">
        <f>((G197*100)/E197)</f>
        <v>76.2653675479114</v>
      </c>
      <c r="I197" s="100"/>
      <c r="J197" s="100"/>
      <c r="K197" s="106" t="e">
        <f>+((G197/I197)-1)*100</f>
        <v>#DIV/0!</v>
      </c>
      <c r="L197" s="95" t="e">
        <f>+((I197/J197)-1)*100</f>
        <v>#DIV/0!</v>
      </c>
      <c r="M197" s="58">
        <f>((B197/G197)-1)*100</f>
        <v>5.000000000000004</v>
      </c>
      <c r="O197" s="37">
        <v>1.05</v>
      </c>
    </row>
    <row r="198" spans="1:15" ht="13.5" thickBot="1">
      <c r="A198" s="9" t="s">
        <v>158</v>
      </c>
      <c r="B198" s="98">
        <f>+G198*O198</f>
        <v>42857630.119500004</v>
      </c>
      <c r="C198" s="98">
        <f>+'[2]DICIEMBRE'!$C$43</f>
        <v>43183821.42</v>
      </c>
      <c r="D198" s="98">
        <f>+'[2]DICIEMBRE'!$D$43-'[2]DICIEMBRE'!$E$43</f>
        <v>1266146.2599999998</v>
      </c>
      <c r="E198" s="91">
        <f>+C198+D198</f>
        <v>44449967.68</v>
      </c>
      <c r="F198" s="98">
        <f>+'[2]DICIEMBRE'!$I$43</f>
        <v>40816790.59</v>
      </c>
      <c r="G198" s="99">
        <f>+F198</f>
        <v>40816790.59</v>
      </c>
      <c r="H198" s="87">
        <f>((G198*100)/E198)</f>
        <v>91.82636730772086</v>
      </c>
      <c r="I198" s="98"/>
      <c r="J198" s="98"/>
      <c r="K198" s="107" t="e">
        <f>+((G198/I198)-1)*100</f>
        <v>#DIV/0!</v>
      </c>
      <c r="L198" s="96" t="e">
        <f>+((I198/J198)-1)*100</f>
        <v>#DIV/0!</v>
      </c>
      <c r="M198" s="64">
        <f>((B198/G198)-1)*100</f>
        <v>5.000000000000004</v>
      </c>
      <c r="O198" s="43">
        <v>1.05</v>
      </c>
    </row>
    <row r="199" ht="12.75">
      <c r="K199" s="93"/>
    </row>
    <row r="200" ht="12.75">
      <c r="K200" s="93"/>
    </row>
    <row r="201" ht="12.75">
      <c r="K201" s="93"/>
    </row>
    <row r="202" ht="12.75">
      <c r="K202" s="93"/>
    </row>
    <row r="203" ht="12.75">
      <c r="K203" s="93"/>
    </row>
    <row r="204" ht="12.75">
      <c r="K204" s="93"/>
    </row>
    <row r="205" ht="12.75">
      <c r="K205" s="93"/>
    </row>
    <row r="206" ht="12.75">
      <c r="K206" s="93"/>
    </row>
    <row r="207" ht="12.75">
      <c r="K207" s="93"/>
    </row>
    <row r="208" ht="12.75">
      <c r="K208" s="93"/>
    </row>
    <row r="209" ht="12.75">
      <c r="K209" s="93"/>
    </row>
    <row r="210" ht="12.75">
      <c r="K210" s="93"/>
    </row>
    <row r="211" ht="12.75">
      <c r="K211" s="93"/>
    </row>
    <row r="212" ht="12.75">
      <c r="K212" s="93"/>
    </row>
    <row r="213" ht="12.75">
      <c r="K213" s="93"/>
    </row>
    <row r="214" ht="12.75">
      <c r="K214" s="93"/>
    </row>
    <row r="215" ht="12.75">
      <c r="K215" s="93"/>
    </row>
    <row r="216" ht="12.75">
      <c r="K216" s="93"/>
    </row>
    <row r="217" ht="12.75">
      <c r="K217" s="93"/>
    </row>
    <row r="218" ht="12.75">
      <c r="K218" s="93"/>
    </row>
    <row r="219" ht="12.75">
      <c r="K219" s="93"/>
    </row>
    <row r="220" ht="12.75">
      <c r="K220" s="93"/>
    </row>
    <row r="221" ht="12.75">
      <c r="K221" s="93"/>
    </row>
    <row r="222" ht="12.75">
      <c r="K222" s="93"/>
    </row>
    <row r="223" ht="12.75">
      <c r="K223" s="93"/>
    </row>
    <row r="224" ht="12.75">
      <c r="K224" s="93"/>
    </row>
    <row r="225" ht="12.75">
      <c r="K225" s="93"/>
    </row>
    <row r="226" ht="12.75">
      <c r="K226" s="93"/>
    </row>
    <row r="227" ht="12.75">
      <c r="K227" s="93"/>
    </row>
    <row r="228" ht="12.75">
      <c r="K228" s="93"/>
    </row>
    <row r="229" ht="12.75">
      <c r="K229" s="93"/>
    </row>
    <row r="230" ht="12.75">
      <c r="K230" s="93"/>
    </row>
  </sheetData>
  <sheetProtection password="CEC8" sheet="1" objects="1" scenarios="1"/>
  <mergeCells count="6">
    <mergeCell ref="A9:M9"/>
    <mergeCell ref="A1:M1"/>
    <mergeCell ref="A3:M3"/>
    <mergeCell ref="A5:M5"/>
    <mergeCell ref="A7:M7"/>
    <mergeCell ref="A8:M8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9"/>
  <sheetViews>
    <sheetView zoomScalePageLayoutView="0" workbookViewId="0" topLeftCell="A1">
      <selection activeCell="A8" sqref="A8:H8"/>
    </sheetView>
  </sheetViews>
  <sheetFormatPr defaultColWidth="11.421875" defaultRowHeight="12.75"/>
  <cols>
    <col min="1" max="1" width="46.00390625" style="45" customWidth="1"/>
    <col min="2" max="2" width="14.8515625" style="45" bestFit="1" customWidth="1"/>
    <col min="3" max="3" width="14.7109375" style="45" customWidth="1"/>
    <col min="4" max="5" width="20.7109375" style="45" bestFit="1" customWidth="1"/>
    <col min="6" max="6" width="20.140625" style="45" bestFit="1" customWidth="1"/>
    <col min="7" max="7" width="20.7109375" style="45" bestFit="1" customWidth="1"/>
    <col min="8" max="8" width="20.421875" style="45" bestFit="1" customWidth="1"/>
    <col min="9" max="9" width="14.8515625" style="45" bestFit="1" customWidth="1"/>
    <col min="10" max="11" width="16.140625" style="45" bestFit="1" customWidth="1"/>
    <col min="12" max="12" width="14.140625" style="45" customWidth="1"/>
    <col min="13" max="14" width="13.8515625" style="45" bestFit="1" customWidth="1"/>
    <col min="15" max="15" width="11.421875" style="45" customWidth="1"/>
    <col min="16" max="25" width="11.57421875" style="45" bestFit="1" customWidth="1"/>
    <col min="26" max="16384" width="11.421875" style="45" customWidth="1"/>
  </cols>
  <sheetData>
    <row r="1" spans="1:8" ht="20.25">
      <c r="A1" s="387"/>
      <c r="B1" s="387"/>
      <c r="C1" s="387"/>
      <c r="D1" s="387"/>
      <c r="E1" s="387"/>
      <c r="F1" s="387"/>
      <c r="G1" s="387"/>
      <c r="H1" s="387"/>
    </row>
    <row r="2" ht="12.75"/>
    <row r="3" spans="1:8" ht="18">
      <c r="A3" s="391" t="s">
        <v>20</v>
      </c>
      <c r="B3" s="391"/>
      <c r="C3" s="391"/>
      <c r="D3" s="391"/>
      <c r="E3" s="391"/>
      <c r="F3" s="391"/>
      <c r="G3" s="391"/>
      <c r="H3" s="391"/>
    </row>
    <row r="4" ht="12.75"/>
    <row r="5" spans="1:8" ht="18">
      <c r="A5" s="390" t="s">
        <v>356</v>
      </c>
      <c r="B5" s="390"/>
      <c r="C5" s="390"/>
      <c r="D5" s="390"/>
      <c r="E5" s="390"/>
      <c r="F5" s="390"/>
      <c r="G5" s="390"/>
      <c r="H5" s="390"/>
    </row>
    <row r="6" ht="12.75"/>
    <row r="7" spans="1:8" ht="18">
      <c r="A7" s="388" t="s">
        <v>23</v>
      </c>
      <c r="B7" s="388"/>
      <c r="C7" s="388"/>
      <c r="D7" s="388"/>
      <c r="E7" s="388"/>
      <c r="F7" s="388"/>
      <c r="G7" s="388"/>
      <c r="H7" s="388"/>
    </row>
    <row r="8" spans="1:8" ht="18">
      <c r="A8" s="388" t="s">
        <v>470</v>
      </c>
      <c r="B8" s="388"/>
      <c r="C8" s="388"/>
      <c r="D8" s="388"/>
      <c r="E8" s="388"/>
      <c r="F8" s="388"/>
      <c r="G8" s="388"/>
      <c r="H8" s="388"/>
    </row>
    <row r="9" ht="12.75"/>
    <row r="10" spans="3:12" ht="13.5" thickBot="1"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27" ht="48.75" thickBot="1">
      <c r="A11" s="4" t="s">
        <v>4</v>
      </c>
      <c r="B11" s="50" t="s">
        <v>245</v>
      </c>
      <c r="C11" s="16" t="s">
        <v>238</v>
      </c>
      <c r="D11" s="16" t="s">
        <v>11</v>
      </c>
      <c r="E11" s="16" t="s">
        <v>12</v>
      </c>
      <c r="F11" s="16" t="s">
        <v>13</v>
      </c>
      <c r="G11" s="16" t="s">
        <v>14</v>
      </c>
      <c r="H11" s="16" t="s">
        <v>15</v>
      </c>
      <c r="I11" s="16" t="s">
        <v>16</v>
      </c>
      <c r="J11" s="16" t="s">
        <v>17</v>
      </c>
      <c r="K11" s="16" t="s">
        <v>202</v>
      </c>
      <c r="L11" s="16" t="s">
        <v>19</v>
      </c>
      <c r="M11" s="16" t="s">
        <v>466</v>
      </c>
      <c r="N11" s="16" t="s">
        <v>467</v>
      </c>
      <c r="P11" s="16" t="s">
        <v>244</v>
      </c>
      <c r="Q11" s="16" t="s">
        <v>255</v>
      </c>
      <c r="R11" s="16" t="s">
        <v>256</v>
      </c>
      <c r="S11" s="16" t="s">
        <v>257</v>
      </c>
      <c r="T11" s="16" t="s">
        <v>258</v>
      </c>
      <c r="U11" s="16" t="s">
        <v>259</v>
      </c>
      <c r="V11" s="16" t="s">
        <v>260</v>
      </c>
      <c r="W11" s="16" t="s">
        <v>261</v>
      </c>
      <c r="X11" s="16" t="s">
        <v>263</v>
      </c>
      <c r="Y11" s="16" t="s">
        <v>262</v>
      </c>
      <c r="Z11" s="16" t="s">
        <v>468</v>
      </c>
      <c r="AA11" s="16" t="s">
        <v>469</v>
      </c>
    </row>
    <row r="12" spans="1:27" ht="15.75" thickBot="1">
      <c r="A12" s="18" t="s">
        <v>28</v>
      </c>
      <c r="B12" s="80">
        <f aca="true" t="shared" si="0" ref="B12:L12">+B13+B64</f>
        <v>2953187261.15</v>
      </c>
      <c r="C12" s="80">
        <f t="shared" si="0"/>
        <v>3155410050.7530003</v>
      </c>
      <c r="D12" s="80">
        <f t="shared" si="0"/>
        <v>4939584473.809999</v>
      </c>
      <c r="E12" s="80">
        <f t="shared" si="0"/>
        <v>5094329620.1816</v>
      </c>
      <c r="F12" s="80">
        <f t="shared" si="0"/>
        <v>3738007369.0923343</v>
      </c>
      <c r="G12" s="80">
        <f t="shared" si="0"/>
        <v>3960494223.686473</v>
      </c>
      <c r="H12" s="80">
        <f t="shared" si="0"/>
        <v>4177876121.704477</v>
      </c>
      <c r="I12" s="80">
        <f t="shared" si="0"/>
        <v>4407752499.275635</v>
      </c>
      <c r="J12" s="80">
        <f t="shared" si="0"/>
        <v>4649317600.143262</v>
      </c>
      <c r="K12" s="80">
        <f t="shared" si="0"/>
        <v>4904494106.059294</v>
      </c>
      <c r="L12" s="80">
        <f t="shared" si="0"/>
        <v>5174540070.561047</v>
      </c>
      <c r="M12" s="80">
        <f>+M13+M64</f>
        <v>5460335090.455312</v>
      </c>
      <c r="N12" s="80">
        <f>+N13+N64</f>
        <v>5762811161.925208</v>
      </c>
      <c r="P12" s="199"/>
      <c r="Q12" s="199"/>
      <c r="R12" s="200"/>
      <c r="S12" s="199"/>
      <c r="T12" s="200"/>
      <c r="U12" s="199"/>
      <c r="V12" s="200"/>
      <c r="W12" s="199"/>
      <c r="X12" s="200"/>
      <c r="Y12" s="199"/>
      <c r="Z12" s="199"/>
      <c r="AA12" s="199"/>
    </row>
    <row r="13" spans="1:27" ht="13.5" thickBot="1">
      <c r="A13" s="11" t="s">
        <v>29</v>
      </c>
      <c r="B13" s="53">
        <f aca="true" t="shared" si="1" ref="B13:L13">+B14+B30</f>
        <v>2611848631.15</v>
      </c>
      <c r="C13" s="53">
        <f t="shared" si="1"/>
        <v>2799346428.493</v>
      </c>
      <c r="D13" s="53">
        <f t="shared" si="1"/>
        <v>3265370057.47</v>
      </c>
      <c r="E13" s="53">
        <f t="shared" si="1"/>
        <v>3348937257.3729</v>
      </c>
      <c r="F13" s="53">
        <f t="shared" si="1"/>
        <v>3571584811.694739</v>
      </c>
      <c r="G13" s="53">
        <f t="shared" si="1"/>
        <v>3791488648.6128626</v>
      </c>
      <c r="H13" s="53">
        <f t="shared" si="1"/>
        <v>4006300070.5331287</v>
      </c>
      <c r="I13" s="53">
        <f t="shared" si="1"/>
        <v>4233619840.858716</v>
      </c>
      <c r="J13" s="53">
        <f t="shared" si="1"/>
        <v>4474187050.386646</v>
      </c>
      <c r="K13" s="53">
        <f t="shared" si="1"/>
        <v>4728784793.058544</v>
      </c>
      <c r="L13" s="53">
        <f t="shared" si="1"/>
        <v>4998242795.880218</v>
      </c>
      <c r="M13" s="53">
        <f>+M14+M30</f>
        <v>5283440206.328336</v>
      </c>
      <c r="N13" s="53">
        <f>+N14+N30</f>
        <v>5585308546.6842</v>
      </c>
      <c r="P13" s="62"/>
      <c r="Q13" s="62"/>
      <c r="R13" s="201"/>
      <c r="S13" s="62"/>
      <c r="T13" s="201"/>
      <c r="U13" s="62"/>
      <c r="V13" s="201"/>
      <c r="W13" s="62"/>
      <c r="X13" s="201"/>
      <c r="Y13" s="62"/>
      <c r="Z13" s="62"/>
      <c r="AA13" s="62"/>
    </row>
    <row r="14" spans="1:27" ht="12.75">
      <c r="A14" s="124" t="s">
        <v>30</v>
      </c>
      <c r="B14" s="137">
        <f aca="true" t="shared" si="2" ref="B14:L14">SUM(B15:B29)</f>
        <v>354545107</v>
      </c>
      <c r="C14" s="137">
        <f t="shared" si="2"/>
        <v>374045087.885</v>
      </c>
      <c r="D14" s="137">
        <f t="shared" si="2"/>
        <v>357996152.64</v>
      </c>
      <c r="E14" s="137">
        <f t="shared" si="2"/>
        <v>374105979.5088</v>
      </c>
      <c r="F14" s="137">
        <f t="shared" si="2"/>
        <v>389070218.6891519</v>
      </c>
      <c r="G14" s="137">
        <f t="shared" si="2"/>
        <v>402687676.34327227</v>
      </c>
      <c r="H14" s="137">
        <f t="shared" si="2"/>
        <v>414768306.63357043</v>
      </c>
      <c r="I14" s="137">
        <f t="shared" si="2"/>
        <v>427211355.83257747</v>
      </c>
      <c r="J14" s="137">
        <f t="shared" si="2"/>
        <v>440027696.5075549</v>
      </c>
      <c r="K14" s="137">
        <f t="shared" si="2"/>
        <v>453228527.4027815</v>
      </c>
      <c r="L14" s="137">
        <f t="shared" si="2"/>
        <v>466825383.224865</v>
      </c>
      <c r="M14" s="137">
        <f>SUM(M15:M29)</f>
        <v>480830144.72161096</v>
      </c>
      <c r="N14" s="137">
        <f>SUM(N15:N29)</f>
        <v>495255049.0632593</v>
      </c>
      <c r="P14" s="62"/>
      <c r="Q14" s="62"/>
      <c r="R14" s="201"/>
      <c r="S14" s="62"/>
      <c r="T14" s="201"/>
      <c r="U14" s="62"/>
      <c r="V14" s="201"/>
      <c r="W14" s="62"/>
      <c r="X14" s="201"/>
      <c r="Y14" s="62"/>
      <c r="Z14" s="62"/>
      <c r="AA14" s="62"/>
    </row>
    <row r="15" spans="1:27" ht="12.75">
      <c r="A15" s="29" t="s">
        <v>229</v>
      </c>
      <c r="B15" s="59">
        <f>+Ingresos!G15</f>
        <v>147118712</v>
      </c>
      <c r="C15" s="38">
        <f aca="true" t="shared" si="3" ref="C15:C29">+B15*P15</f>
        <v>155210241.16</v>
      </c>
      <c r="D15" s="280">
        <f>+'[3]ACTIVA'!$L$19</f>
        <v>186137497</v>
      </c>
      <c r="E15" s="38">
        <f aca="true" t="shared" si="4" ref="E15:E29">+D15*R15</f>
        <v>194513684.36499998</v>
      </c>
      <c r="F15" s="38">
        <f aca="true" t="shared" si="5" ref="F15:F29">+E15*S15</f>
        <v>202294231.73959997</v>
      </c>
      <c r="G15" s="38">
        <f aca="true" t="shared" si="6" ref="G15:G29">+F15*T15</f>
        <v>209374529.85048595</v>
      </c>
      <c r="H15" s="38">
        <f aca="true" t="shared" si="7" ref="H15:H29">+G15*U15</f>
        <v>215655765.74600053</v>
      </c>
      <c r="I15" s="38">
        <f aca="true" t="shared" si="8" ref="I15:I29">+H15*V15</f>
        <v>222125438.71838054</v>
      </c>
      <c r="J15" s="38">
        <f aca="true" t="shared" si="9" ref="J15:J29">+I15*W15</f>
        <v>228789201.87993196</v>
      </c>
      <c r="K15" s="38">
        <f aca="true" t="shared" si="10" ref="K15:K29">+J15*X15</f>
        <v>235652877.93632993</v>
      </c>
      <c r="L15" s="38">
        <f aca="true" t="shared" si="11" ref="L15:L29">+K15*Y15</f>
        <v>242722464.27441984</v>
      </c>
      <c r="M15" s="38">
        <f aca="true" t="shared" si="12" ref="M15:M29">+L15*Z15</f>
        <v>250004138.20265245</v>
      </c>
      <c r="N15" s="38">
        <f aca="true" t="shared" si="13" ref="N15:N29">+M15*AA15</f>
        <v>257504262.34873202</v>
      </c>
      <c r="P15" s="37">
        <f>1+(0.055)</f>
        <v>1.055</v>
      </c>
      <c r="Q15" s="37">
        <f>1+(0.05)</f>
        <v>1.05</v>
      </c>
      <c r="R15" s="41">
        <f>1+(0.045)</f>
        <v>1.045</v>
      </c>
      <c r="S15" s="37">
        <f>1+(0.04)</f>
        <v>1.04</v>
      </c>
      <c r="T15" s="41">
        <f>1+(0.035)</f>
        <v>1.035</v>
      </c>
      <c r="U15" s="37">
        <f aca="true" t="shared" si="14" ref="U15:AA29">1+(0.03)</f>
        <v>1.03</v>
      </c>
      <c r="V15" s="41">
        <f t="shared" si="14"/>
        <v>1.03</v>
      </c>
      <c r="W15" s="37">
        <f t="shared" si="14"/>
        <v>1.03</v>
      </c>
      <c r="X15" s="41">
        <f t="shared" si="14"/>
        <v>1.03</v>
      </c>
      <c r="Y15" s="37">
        <f t="shared" si="14"/>
        <v>1.03</v>
      </c>
      <c r="Z15" s="37">
        <f t="shared" si="14"/>
        <v>1.03</v>
      </c>
      <c r="AA15" s="37">
        <f t="shared" si="14"/>
        <v>1.03</v>
      </c>
    </row>
    <row r="16" spans="1:27" ht="12.75">
      <c r="A16" s="14" t="s">
        <v>198</v>
      </c>
      <c r="B16" s="59">
        <f>+Ingresos!G16</f>
        <v>0</v>
      </c>
      <c r="C16" s="38">
        <f t="shared" si="3"/>
        <v>0</v>
      </c>
      <c r="D16" s="38">
        <v>0</v>
      </c>
      <c r="E16" s="38">
        <f t="shared" si="4"/>
        <v>0</v>
      </c>
      <c r="F16" s="38">
        <f t="shared" si="5"/>
        <v>0</v>
      </c>
      <c r="G16" s="38">
        <f t="shared" si="6"/>
        <v>0</v>
      </c>
      <c r="H16" s="38">
        <f t="shared" si="7"/>
        <v>0</v>
      </c>
      <c r="I16" s="38">
        <f t="shared" si="8"/>
        <v>0</v>
      </c>
      <c r="J16" s="38">
        <f t="shared" si="9"/>
        <v>0</v>
      </c>
      <c r="K16" s="38">
        <f t="shared" si="10"/>
        <v>0</v>
      </c>
      <c r="L16" s="38">
        <f t="shared" si="11"/>
        <v>0</v>
      </c>
      <c r="M16" s="38">
        <f t="shared" si="12"/>
        <v>0</v>
      </c>
      <c r="N16" s="38">
        <f t="shared" si="13"/>
        <v>0</v>
      </c>
      <c r="P16" s="37">
        <f aca="true" t="shared" si="15" ref="P16:P34">1+(0.055)</f>
        <v>1.055</v>
      </c>
      <c r="Q16" s="37">
        <f aca="true" t="shared" si="16" ref="Q16:Q34">1+(0.05)</f>
        <v>1.05</v>
      </c>
      <c r="R16" s="41">
        <f aca="true" t="shared" si="17" ref="R16:R34">1+(0.045)</f>
        <v>1.045</v>
      </c>
      <c r="S16" s="37">
        <f aca="true" t="shared" si="18" ref="S16:S34">1+(0.04)</f>
        <v>1.04</v>
      </c>
      <c r="T16" s="41">
        <f aca="true" t="shared" si="19" ref="T16:T34">1+(0.035)</f>
        <v>1.035</v>
      </c>
      <c r="U16" s="37">
        <f t="shared" si="14"/>
        <v>1.03</v>
      </c>
      <c r="V16" s="41">
        <f t="shared" si="14"/>
        <v>1.03</v>
      </c>
      <c r="W16" s="37">
        <f t="shared" si="14"/>
        <v>1.03</v>
      </c>
      <c r="X16" s="41">
        <f t="shared" si="14"/>
        <v>1.03</v>
      </c>
      <c r="Y16" s="37">
        <f t="shared" si="14"/>
        <v>1.03</v>
      </c>
      <c r="Z16" s="37">
        <f t="shared" si="14"/>
        <v>1.03</v>
      </c>
      <c r="AA16" s="37">
        <f t="shared" si="14"/>
        <v>1.03</v>
      </c>
    </row>
    <row r="17" spans="1:27" ht="12.75">
      <c r="A17" s="29" t="s">
        <v>31</v>
      </c>
      <c r="B17" s="59">
        <f>+Ingresos!G17</f>
        <v>5204700</v>
      </c>
      <c r="C17" s="38">
        <f t="shared" si="3"/>
        <v>5490958.5</v>
      </c>
      <c r="D17" s="280">
        <f>+'[3]ACTIVA'!$L$21</f>
        <v>5391660</v>
      </c>
      <c r="E17" s="38">
        <f t="shared" si="4"/>
        <v>5634284.699999999</v>
      </c>
      <c r="F17" s="38">
        <f t="shared" si="5"/>
        <v>5859656.0879999995</v>
      </c>
      <c r="G17" s="38">
        <f t="shared" si="6"/>
        <v>6064744.051079999</v>
      </c>
      <c r="H17" s="38">
        <f t="shared" si="7"/>
        <v>6246686.372612399</v>
      </c>
      <c r="I17" s="38">
        <f t="shared" si="8"/>
        <v>6434086.963790772</v>
      </c>
      <c r="J17" s="38">
        <f t="shared" si="9"/>
        <v>6627109.572704495</v>
      </c>
      <c r="K17" s="38">
        <f t="shared" si="10"/>
        <v>6825922.85988563</v>
      </c>
      <c r="L17" s="38">
        <f t="shared" si="11"/>
        <v>7030700.545682199</v>
      </c>
      <c r="M17" s="38">
        <f t="shared" si="12"/>
        <v>7241621.562052665</v>
      </c>
      <c r="N17" s="38">
        <f t="shared" si="13"/>
        <v>7458870.2089142455</v>
      </c>
      <c r="P17" s="37">
        <f t="shared" si="15"/>
        <v>1.055</v>
      </c>
      <c r="Q17" s="37">
        <f t="shared" si="16"/>
        <v>1.05</v>
      </c>
      <c r="R17" s="41">
        <f t="shared" si="17"/>
        <v>1.045</v>
      </c>
      <c r="S17" s="37">
        <f t="shared" si="18"/>
        <v>1.04</v>
      </c>
      <c r="T17" s="41">
        <f t="shared" si="19"/>
        <v>1.035</v>
      </c>
      <c r="U17" s="37">
        <f t="shared" si="14"/>
        <v>1.03</v>
      </c>
      <c r="V17" s="41">
        <f t="shared" si="14"/>
        <v>1.03</v>
      </c>
      <c r="W17" s="37">
        <f t="shared" si="14"/>
        <v>1.03</v>
      </c>
      <c r="X17" s="41">
        <f t="shared" si="14"/>
        <v>1.03</v>
      </c>
      <c r="Y17" s="37">
        <f t="shared" si="14"/>
        <v>1.03</v>
      </c>
      <c r="Z17" s="37">
        <f t="shared" si="14"/>
        <v>1.03</v>
      </c>
      <c r="AA17" s="37">
        <f t="shared" si="14"/>
        <v>1.03</v>
      </c>
    </row>
    <row r="18" spans="1:27" ht="12.75">
      <c r="A18" s="29" t="s">
        <v>32</v>
      </c>
      <c r="B18" s="59">
        <f>+Ingresos!G18</f>
        <v>2982210</v>
      </c>
      <c r="C18" s="38">
        <f t="shared" si="3"/>
        <v>3146231.55</v>
      </c>
      <c r="D18" s="281">
        <f>+'[3]ACTIVA'!$L$23</f>
        <v>3448188</v>
      </c>
      <c r="E18" s="38">
        <f t="shared" si="4"/>
        <v>3603356.46</v>
      </c>
      <c r="F18" s="38">
        <f t="shared" si="5"/>
        <v>3747490.7184</v>
      </c>
      <c r="G18" s="38">
        <f t="shared" si="6"/>
        <v>3878652.8935439996</v>
      </c>
      <c r="H18" s="38">
        <f t="shared" si="7"/>
        <v>3995012.4803503198</v>
      </c>
      <c r="I18" s="38">
        <f t="shared" si="8"/>
        <v>4114862.8547608294</v>
      </c>
      <c r="J18" s="38">
        <f t="shared" si="9"/>
        <v>4238308.740403654</v>
      </c>
      <c r="K18" s="38">
        <f t="shared" si="10"/>
        <v>4365458.002615764</v>
      </c>
      <c r="L18" s="38">
        <f t="shared" si="11"/>
        <v>4496421.742694237</v>
      </c>
      <c r="M18" s="38">
        <f t="shared" si="12"/>
        <v>4631314.394975064</v>
      </c>
      <c r="N18" s="38">
        <f t="shared" si="13"/>
        <v>4770253.826824317</v>
      </c>
      <c r="P18" s="37">
        <f t="shared" si="15"/>
        <v>1.055</v>
      </c>
      <c r="Q18" s="37">
        <f t="shared" si="16"/>
        <v>1.05</v>
      </c>
      <c r="R18" s="41">
        <f t="shared" si="17"/>
        <v>1.045</v>
      </c>
      <c r="S18" s="37">
        <f t="shared" si="18"/>
        <v>1.04</v>
      </c>
      <c r="T18" s="41">
        <f t="shared" si="19"/>
        <v>1.035</v>
      </c>
      <c r="U18" s="37">
        <f t="shared" si="14"/>
        <v>1.03</v>
      </c>
      <c r="V18" s="41">
        <f t="shared" si="14"/>
        <v>1.03</v>
      </c>
      <c r="W18" s="37">
        <f t="shared" si="14"/>
        <v>1.03</v>
      </c>
      <c r="X18" s="41">
        <f t="shared" si="14"/>
        <v>1.03</v>
      </c>
      <c r="Y18" s="37">
        <f t="shared" si="14"/>
        <v>1.03</v>
      </c>
      <c r="Z18" s="37">
        <f t="shared" si="14"/>
        <v>1.03</v>
      </c>
      <c r="AA18" s="37">
        <f t="shared" si="14"/>
        <v>1.03</v>
      </c>
    </row>
    <row r="19" spans="1:27" ht="12.75">
      <c r="A19" s="29" t="s">
        <v>33</v>
      </c>
      <c r="B19" s="59">
        <f>+Ingresos!G19</f>
        <v>110339000</v>
      </c>
      <c r="C19" s="38">
        <f t="shared" si="3"/>
        <v>116407645</v>
      </c>
      <c r="D19" s="281">
        <f>+'[3]ACTIVA'!$L$27</f>
        <v>112411000</v>
      </c>
      <c r="E19" s="38">
        <f t="shared" si="4"/>
        <v>117469494.99999999</v>
      </c>
      <c r="F19" s="38">
        <f t="shared" si="5"/>
        <v>122168274.79999998</v>
      </c>
      <c r="G19" s="38">
        <f t="shared" si="6"/>
        <v>126444164.41799997</v>
      </c>
      <c r="H19" s="38">
        <f t="shared" si="7"/>
        <v>130237489.35053997</v>
      </c>
      <c r="I19" s="38">
        <f t="shared" si="8"/>
        <v>134144614.03105617</v>
      </c>
      <c r="J19" s="38">
        <f t="shared" si="9"/>
        <v>138168952.45198786</v>
      </c>
      <c r="K19" s="38">
        <f t="shared" si="10"/>
        <v>142314021.0255475</v>
      </c>
      <c r="L19" s="38">
        <f t="shared" si="11"/>
        <v>146583441.65631393</v>
      </c>
      <c r="M19" s="38">
        <f t="shared" si="12"/>
        <v>150980944.90600336</v>
      </c>
      <c r="N19" s="38">
        <f t="shared" si="13"/>
        <v>155510373.25318345</v>
      </c>
      <c r="P19" s="37">
        <f t="shared" si="15"/>
        <v>1.055</v>
      </c>
      <c r="Q19" s="37">
        <f t="shared" si="16"/>
        <v>1.05</v>
      </c>
      <c r="R19" s="41">
        <f t="shared" si="17"/>
        <v>1.045</v>
      </c>
      <c r="S19" s="37">
        <f t="shared" si="18"/>
        <v>1.04</v>
      </c>
      <c r="T19" s="41">
        <f t="shared" si="19"/>
        <v>1.035</v>
      </c>
      <c r="U19" s="37">
        <f t="shared" si="14"/>
        <v>1.03</v>
      </c>
      <c r="V19" s="41">
        <f t="shared" si="14"/>
        <v>1.03</v>
      </c>
      <c r="W19" s="37">
        <f t="shared" si="14"/>
        <v>1.03</v>
      </c>
      <c r="X19" s="41">
        <f t="shared" si="14"/>
        <v>1.03</v>
      </c>
      <c r="Y19" s="37">
        <f t="shared" si="14"/>
        <v>1.03</v>
      </c>
      <c r="Z19" s="37">
        <f t="shared" si="14"/>
        <v>1.03</v>
      </c>
      <c r="AA19" s="37">
        <f t="shared" si="14"/>
        <v>1.03</v>
      </c>
    </row>
    <row r="20" spans="1:27" ht="12.75">
      <c r="A20" s="14" t="s">
        <v>34</v>
      </c>
      <c r="B20" s="59">
        <f>+Ingresos!G20</f>
        <v>0</v>
      </c>
      <c r="C20" s="38">
        <f t="shared" si="3"/>
        <v>0</v>
      </c>
      <c r="D20" s="38">
        <v>0</v>
      </c>
      <c r="E20" s="38">
        <f t="shared" si="4"/>
        <v>0</v>
      </c>
      <c r="F20" s="38">
        <f t="shared" si="5"/>
        <v>0</v>
      </c>
      <c r="G20" s="38">
        <f t="shared" si="6"/>
        <v>0</v>
      </c>
      <c r="H20" s="38">
        <f t="shared" si="7"/>
        <v>0</v>
      </c>
      <c r="I20" s="38">
        <f t="shared" si="8"/>
        <v>0</v>
      </c>
      <c r="J20" s="38">
        <f t="shared" si="9"/>
        <v>0</v>
      </c>
      <c r="K20" s="38">
        <f t="shared" si="10"/>
        <v>0</v>
      </c>
      <c r="L20" s="38">
        <f t="shared" si="11"/>
        <v>0</v>
      </c>
      <c r="M20" s="38">
        <f t="shared" si="12"/>
        <v>0</v>
      </c>
      <c r="N20" s="38">
        <f t="shared" si="13"/>
        <v>0</v>
      </c>
      <c r="P20" s="37">
        <f t="shared" si="15"/>
        <v>1.055</v>
      </c>
      <c r="Q20" s="37">
        <f t="shared" si="16"/>
        <v>1.05</v>
      </c>
      <c r="R20" s="41">
        <f t="shared" si="17"/>
        <v>1.045</v>
      </c>
      <c r="S20" s="37">
        <f t="shared" si="18"/>
        <v>1.04</v>
      </c>
      <c r="T20" s="41">
        <f t="shared" si="19"/>
        <v>1.035</v>
      </c>
      <c r="U20" s="37">
        <f t="shared" si="14"/>
        <v>1.03</v>
      </c>
      <c r="V20" s="41">
        <f t="shared" si="14"/>
        <v>1.03</v>
      </c>
      <c r="W20" s="37">
        <f t="shared" si="14"/>
        <v>1.03</v>
      </c>
      <c r="X20" s="41">
        <f t="shared" si="14"/>
        <v>1.03</v>
      </c>
      <c r="Y20" s="37">
        <f t="shared" si="14"/>
        <v>1.03</v>
      </c>
      <c r="Z20" s="37">
        <f t="shared" si="14"/>
        <v>1.03</v>
      </c>
      <c r="AA20" s="37">
        <f t="shared" si="14"/>
        <v>1.03</v>
      </c>
    </row>
    <row r="21" spans="1:27" ht="12.75">
      <c r="A21" s="14" t="s">
        <v>35</v>
      </c>
      <c r="B21" s="59">
        <f>+Ingresos!G21</f>
        <v>0</v>
      </c>
      <c r="C21" s="38">
        <f t="shared" si="3"/>
        <v>0</v>
      </c>
      <c r="D21" s="38">
        <v>0</v>
      </c>
      <c r="E21" s="38">
        <f t="shared" si="4"/>
        <v>0</v>
      </c>
      <c r="F21" s="38">
        <f t="shared" si="5"/>
        <v>0</v>
      </c>
      <c r="G21" s="38">
        <f t="shared" si="6"/>
        <v>0</v>
      </c>
      <c r="H21" s="38">
        <f t="shared" si="7"/>
        <v>0</v>
      </c>
      <c r="I21" s="38">
        <f t="shared" si="8"/>
        <v>0</v>
      </c>
      <c r="J21" s="38">
        <f t="shared" si="9"/>
        <v>0</v>
      </c>
      <c r="K21" s="38">
        <f t="shared" si="10"/>
        <v>0</v>
      </c>
      <c r="L21" s="38">
        <f t="shared" si="11"/>
        <v>0</v>
      </c>
      <c r="M21" s="38">
        <f t="shared" si="12"/>
        <v>0</v>
      </c>
      <c r="N21" s="38">
        <f t="shared" si="13"/>
        <v>0</v>
      </c>
      <c r="P21" s="37">
        <f t="shared" si="15"/>
        <v>1.055</v>
      </c>
      <c r="Q21" s="37">
        <f t="shared" si="16"/>
        <v>1.05</v>
      </c>
      <c r="R21" s="41">
        <f t="shared" si="17"/>
        <v>1.045</v>
      </c>
      <c r="S21" s="37">
        <f t="shared" si="18"/>
        <v>1.04</v>
      </c>
      <c r="T21" s="41">
        <f t="shared" si="19"/>
        <v>1.035</v>
      </c>
      <c r="U21" s="37">
        <f t="shared" si="14"/>
        <v>1.03</v>
      </c>
      <c r="V21" s="41">
        <f t="shared" si="14"/>
        <v>1.03</v>
      </c>
      <c r="W21" s="37">
        <f t="shared" si="14"/>
        <v>1.03</v>
      </c>
      <c r="X21" s="41">
        <f t="shared" si="14"/>
        <v>1.03</v>
      </c>
      <c r="Y21" s="37">
        <f t="shared" si="14"/>
        <v>1.03</v>
      </c>
      <c r="Z21" s="37">
        <f t="shared" si="14"/>
        <v>1.03</v>
      </c>
      <c r="AA21" s="37">
        <f t="shared" si="14"/>
        <v>1.03</v>
      </c>
    </row>
    <row r="22" spans="1:27" ht="12.75">
      <c r="A22" s="29" t="s">
        <v>36</v>
      </c>
      <c r="B22" s="59">
        <f>+Ingresos!G22</f>
        <v>301646</v>
      </c>
      <c r="C22" s="38">
        <f t="shared" si="3"/>
        <v>318236.52999999997</v>
      </c>
      <c r="D22" s="281">
        <f>+'[3]ACTIVA'!$L$29</f>
        <v>1843846</v>
      </c>
      <c r="E22" s="38">
        <f t="shared" si="4"/>
        <v>1926819.0699999998</v>
      </c>
      <c r="F22" s="38">
        <f t="shared" si="5"/>
        <v>2003891.8328</v>
      </c>
      <c r="G22" s="38">
        <f t="shared" si="6"/>
        <v>2074028.0469479999</v>
      </c>
      <c r="H22" s="38">
        <f t="shared" si="7"/>
        <v>2136248.88835644</v>
      </c>
      <c r="I22" s="38">
        <f t="shared" si="8"/>
        <v>2200336.355007133</v>
      </c>
      <c r="J22" s="38">
        <f t="shared" si="9"/>
        <v>2266346.445657347</v>
      </c>
      <c r="K22" s="38">
        <f t="shared" si="10"/>
        <v>2334336.839027067</v>
      </c>
      <c r="L22" s="38">
        <f t="shared" si="11"/>
        <v>2404366.944197879</v>
      </c>
      <c r="M22" s="38">
        <f t="shared" si="12"/>
        <v>2476497.9525238154</v>
      </c>
      <c r="N22" s="38">
        <f t="shared" si="13"/>
        <v>2550792.89109953</v>
      </c>
      <c r="P22" s="37">
        <f t="shared" si="15"/>
        <v>1.055</v>
      </c>
      <c r="Q22" s="37">
        <f t="shared" si="16"/>
        <v>1.05</v>
      </c>
      <c r="R22" s="41">
        <f t="shared" si="17"/>
        <v>1.045</v>
      </c>
      <c r="S22" s="37">
        <f t="shared" si="18"/>
        <v>1.04</v>
      </c>
      <c r="T22" s="41">
        <f t="shared" si="19"/>
        <v>1.035</v>
      </c>
      <c r="U22" s="37">
        <f t="shared" si="14"/>
        <v>1.03</v>
      </c>
      <c r="V22" s="41">
        <f t="shared" si="14"/>
        <v>1.03</v>
      </c>
      <c r="W22" s="37">
        <f t="shared" si="14"/>
        <v>1.03</v>
      </c>
      <c r="X22" s="41">
        <f t="shared" si="14"/>
        <v>1.03</v>
      </c>
      <c r="Y22" s="37">
        <f t="shared" si="14"/>
        <v>1.03</v>
      </c>
      <c r="Z22" s="37">
        <f t="shared" si="14"/>
        <v>1.03</v>
      </c>
      <c r="AA22" s="37">
        <f t="shared" si="14"/>
        <v>1.03</v>
      </c>
    </row>
    <row r="23" spans="1:27" ht="12.75">
      <c r="A23" s="14" t="s">
        <v>37</v>
      </c>
      <c r="B23" s="59">
        <f>+Ingresos!G23</f>
        <v>0</v>
      </c>
      <c r="C23" s="38">
        <f t="shared" si="3"/>
        <v>0</v>
      </c>
      <c r="D23" s="38">
        <v>0</v>
      </c>
      <c r="E23" s="38">
        <f t="shared" si="4"/>
        <v>0</v>
      </c>
      <c r="F23" s="38">
        <f t="shared" si="5"/>
        <v>0</v>
      </c>
      <c r="G23" s="38">
        <f t="shared" si="6"/>
        <v>0</v>
      </c>
      <c r="H23" s="38">
        <f t="shared" si="7"/>
        <v>0</v>
      </c>
      <c r="I23" s="38">
        <f t="shared" si="8"/>
        <v>0</v>
      </c>
      <c r="J23" s="38">
        <f t="shared" si="9"/>
        <v>0</v>
      </c>
      <c r="K23" s="38">
        <f t="shared" si="10"/>
        <v>0</v>
      </c>
      <c r="L23" s="38">
        <f t="shared" si="11"/>
        <v>0</v>
      </c>
      <c r="M23" s="38">
        <f t="shared" si="12"/>
        <v>0</v>
      </c>
      <c r="N23" s="38">
        <f t="shared" si="13"/>
        <v>0</v>
      </c>
      <c r="P23" s="37">
        <f t="shared" si="15"/>
        <v>1.055</v>
      </c>
      <c r="Q23" s="37">
        <f t="shared" si="16"/>
        <v>1.05</v>
      </c>
      <c r="R23" s="41">
        <f t="shared" si="17"/>
        <v>1.045</v>
      </c>
      <c r="S23" s="37">
        <f t="shared" si="18"/>
        <v>1.04</v>
      </c>
      <c r="T23" s="41">
        <f t="shared" si="19"/>
        <v>1.035</v>
      </c>
      <c r="U23" s="37">
        <f t="shared" si="14"/>
        <v>1.03</v>
      </c>
      <c r="V23" s="41">
        <f t="shared" si="14"/>
        <v>1.03</v>
      </c>
      <c r="W23" s="37">
        <f t="shared" si="14"/>
        <v>1.03</v>
      </c>
      <c r="X23" s="41">
        <f t="shared" si="14"/>
        <v>1.03</v>
      </c>
      <c r="Y23" s="37">
        <f t="shared" si="14"/>
        <v>1.03</v>
      </c>
      <c r="Z23" s="37">
        <f t="shared" si="14"/>
        <v>1.03</v>
      </c>
      <c r="AA23" s="37">
        <f t="shared" si="14"/>
        <v>1.03</v>
      </c>
    </row>
    <row r="24" spans="1:27" ht="12.75">
      <c r="A24" s="14" t="s">
        <v>38</v>
      </c>
      <c r="B24" s="59">
        <f>+Ingresos!G24</f>
        <v>0</v>
      </c>
      <c r="C24" s="38">
        <f t="shared" si="3"/>
        <v>0</v>
      </c>
      <c r="D24" s="281">
        <f>+'[3]ACTIVA'!$L$25</f>
        <v>65055</v>
      </c>
      <c r="E24" s="38">
        <f t="shared" si="4"/>
        <v>67982.47499999999</v>
      </c>
      <c r="F24" s="38">
        <f t="shared" si="5"/>
        <v>70701.77399999999</v>
      </c>
      <c r="G24" s="38">
        <f t="shared" si="6"/>
        <v>73176.33608999998</v>
      </c>
      <c r="H24" s="38">
        <f t="shared" si="7"/>
        <v>75371.62617269998</v>
      </c>
      <c r="I24" s="38">
        <f t="shared" si="8"/>
        <v>77632.77495788097</v>
      </c>
      <c r="J24" s="38">
        <f t="shared" si="9"/>
        <v>79961.7582066174</v>
      </c>
      <c r="K24" s="38">
        <f t="shared" si="10"/>
        <v>82360.61095281593</v>
      </c>
      <c r="L24" s="38">
        <f t="shared" si="11"/>
        <v>84831.42928140041</v>
      </c>
      <c r="M24" s="38">
        <f t="shared" si="12"/>
        <v>87376.37215984243</v>
      </c>
      <c r="N24" s="38">
        <f t="shared" si="13"/>
        <v>89997.6633246377</v>
      </c>
      <c r="P24" s="37">
        <f t="shared" si="15"/>
        <v>1.055</v>
      </c>
      <c r="Q24" s="37">
        <f t="shared" si="16"/>
        <v>1.05</v>
      </c>
      <c r="R24" s="41">
        <f t="shared" si="17"/>
        <v>1.045</v>
      </c>
      <c r="S24" s="37">
        <f t="shared" si="18"/>
        <v>1.04</v>
      </c>
      <c r="T24" s="41">
        <f t="shared" si="19"/>
        <v>1.035</v>
      </c>
      <c r="U24" s="37">
        <f t="shared" si="14"/>
        <v>1.03</v>
      </c>
      <c r="V24" s="41">
        <f t="shared" si="14"/>
        <v>1.03</v>
      </c>
      <c r="W24" s="37">
        <f t="shared" si="14"/>
        <v>1.03</v>
      </c>
      <c r="X24" s="41">
        <f t="shared" si="14"/>
        <v>1.03</v>
      </c>
      <c r="Y24" s="37">
        <f t="shared" si="14"/>
        <v>1.03</v>
      </c>
      <c r="Z24" s="37">
        <f t="shared" si="14"/>
        <v>1.03</v>
      </c>
      <c r="AA24" s="37">
        <f t="shared" si="14"/>
        <v>1.03</v>
      </c>
    </row>
    <row r="25" spans="1:27" ht="12.75">
      <c r="A25" s="14" t="s">
        <v>39</v>
      </c>
      <c r="B25" s="59">
        <f>+Ingresos!G25</f>
        <v>0</v>
      </c>
      <c r="C25" s="38">
        <f t="shared" si="3"/>
        <v>0</v>
      </c>
      <c r="D25" s="38">
        <v>0</v>
      </c>
      <c r="E25" s="38">
        <f t="shared" si="4"/>
        <v>0</v>
      </c>
      <c r="F25" s="38">
        <f t="shared" si="5"/>
        <v>0</v>
      </c>
      <c r="G25" s="38">
        <f t="shared" si="6"/>
        <v>0</v>
      </c>
      <c r="H25" s="38">
        <f t="shared" si="7"/>
        <v>0</v>
      </c>
      <c r="I25" s="38">
        <f t="shared" si="8"/>
        <v>0</v>
      </c>
      <c r="J25" s="38">
        <f t="shared" si="9"/>
        <v>0</v>
      </c>
      <c r="K25" s="38">
        <f t="shared" si="10"/>
        <v>0</v>
      </c>
      <c r="L25" s="38">
        <f t="shared" si="11"/>
        <v>0</v>
      </c>
      <c r="M25" s="38">
        <f t="shared" si="12"/>
        <v>0</v>
      </c>
      <c r="N25" s="38">
        <f t="shared" si="13"/>
        <v>0</v>
      </c>
      <c r="P25" s="37">
        <f t="shared" si="15"/>
        <v>1.055</v>
      </c>
      <c r="Q25" s="37">
        <f t="shared" si="16"/>
        <v>1.05</v>
      </c>
      <c r="R25" s="41">
        <f t="shared" si="17"/>
        <v>1.045</v>
      </c>
      <c r="S25" s="37">
        <f t="shared" si="18"/>
        <v>1.04</v>
      </c>
      <c r="T25" s="41">
        <f t="shared" si="19"/>
        <v>1.035</v>
      </c>
      <c r="U25" s="37">
        <f t="shared" si="14"/>
        <v>1.03</v>
      </c>
      <c r="V25" s="41">
        <f t="shared" si="14"/>
        <v>1.03</v>
      </c>
      <c r="W25" s="37">
        <f t="shared" si="14"/>
        <v>1.03</v>
      </c>
      <c r="X25" s="41">
        <f t="shared" si="14"/>
        <v>1.03</v>
      </c>
      <c r="Y25" s="37">
        <f t="shared" si="14"/>
        <v>1.03</v>
      </c>
      <c r="Z25" s="37">
        <f t="shared" si="14"/>
        <v>1.03</v>
      </c>
      <c r="AA25" s="37">
        <f t="shared" si="14"/>
        <v>1.03</v>
      </c>
    </row>
    <row r="26" spans="1:27" ht="12.75">
      <c r="A26" s="14" t="s">
        <v>40</v>
      </c>
      <c r="B26" s="59">
        <f>+Ingresos!G26</f>
        <v>0</v>
      </c>
      <c r="C26" s="38">
        <f t="shared" si="3"/>
        <v>0</v>
      </c>
      <c r="D26" s="38">
        <v>0</v>
      </c>
      <c r="E26" s="38">
        <f t="shared" si="4"/>
        <v>0</v>
      </c>
      <c r="F26" s="38">
        <f t="shared" si="5"/>
        <v>0</v>
      </c>
      <c r="G26" s="38">
        <f t="shared" si="6"/>
        <v>0</v>
      </c>
      <c r="H26" s="38">
        <f t="shared" si="7"/>
        <v>0</v>
      </c>
      <c r="I26" s="38">
        <f t="shared" si="8"/>
        <v>0</v>
      </c>
      <c r="J26" s="38">
        <f t="shared" si="9"/>
        <v>0</v>
      </c>
      <c r="K26" s="38">
        <f t="shared" si="10"/>
        <v>0</v>
      </c>
      <c r="L26" s="38">
        <f t="shared" si="11"/>
        <v>0</v>
      </c>
      <c r="M26" s="38">
        <f t="shared" si="12"/>
        <v>0</v>
      </c>
      <c r="N26" s="38">
        <f t="shared" si="13"/>
        <v>0</v>
      </c>
      <c r="P26" s="37">
        <f t="shared" si="15"/>
        <v>1.055</v>
      </c>
      <c r="Q26" s="37">
        <f t="shared" si="16"/>
        <v>1.05</v>
      </c>
      <c r="R26" s="41">
        <f t="shared" si="17"/>
        <v>1.045</v>
      </c>
      <c r="S26" s="37">
        <f t="shared" si="18"/>
        <v>1.04</v>
      </c>
      <c r="T26" s="41">
        <f t="shared" si="19"/>
        <v>1.035</v>
      </c>
      <c r="U26" s="37">
        <f t="shared" si="14"/>
        <v>1.03</v>
      </c>
      <c r="V26" s="41">
        <f t="shared" si="14"/>
        <v>1.03</v>
      </c>
      <c r="W26" s="37">
        <f t="shared" si="14"/>
        <v>1.03</v>
      </c>
      <c r="X26" s="41">
        <f t="shared" si="14"/>
        <v>1.03</v>
      </c>
      <c r="Y26" s="37">
        <f t="shared" si="14"/>
        <v>1.03</v>
      </c>
      <c r="Z26" s="37">
        <f t="shared" si="14"/>
        <v>1.03</v>
      </c>
      <c r="AA26" s="37">
        <f t="shared" si="14"/>
        <v>1.03</v>
      </c>
    </row>
    <row r="27" spans="1:27" ht="12.75">
      <c r="A27" s="14" t="s">
        <v>0</v>
      </c>
      <c r="B27" s="59">
        <f>+Ingresos!G27</f>
        <v>28177932</v>
      </c>
      <c r="C27" s="38">
        <f t="shared" si="3"/>
        <v>29727718.259999998</v>
      </c>
      <c r="D27" s="38">
        <f>+'[3]ACTIVA'!$L$31+'[3]ACTIVA'!$L$30</f>
        <v>46938690.64</v>
      </c>
      <c r="E27" s="38">
        <f t="shared" si="4"/>
        <v>49050931.7188</v>
      </c>
      <c r="F27" s="38">
        <f t="shared" si="5"/>
        <v>51012968.987552</v>
      </c>
      <c r="G27" s="38">
        <f t="shared" si="6"/>
        <v>52798422.90211632</v>
      </c>
      <c r="H27" s="38">
        <f t="shared" si="7"/>
        <v>54382375.589179814</v>
      </c>
      <c r="I27" s="38">
        <f t="shared" si="8"/>
        <v>56013846.856855206</v>
      </c>
      <c r="J27" s="38">
        <f t="shared" si="9"/>
        <v>57694262.26256087</v>
      </c>
      <c r="K27" s="38">
        <f t="shared" si="10"/>
        <v>59425090.130437694</v>
      </c>
      <c r="L27" s="38">
        <f t="shared" si="11"/>
        <v>61207842.834350824</v>
      </c>
      <c r="M27" s="38">
        <f t="shared" si="12"/>
        <v>63044078.11938135</v>
      </c>
      <c r="N27" s="38">
        <f t="shared" si="13"/>
        <v>64935400.4629628</v>
      </c>
      <c r="P27" s="37">
        <f t="shared" si="15"/>
        <v>1.055</v>
      </c>
      <c r="Q27" s="37">
        <f t="shared" si="16"/>
        <v>1.05</v>
      </c>
      <c r="R27" s="41">
        <f t="shared" si="17"/>
        <v>1.045</v>
      </c>
      <c r="S27" s="37">
        <f t="shared" si="18"/>
        <v>1.04</v>
      </c>
      <c r="T27" s="41">
        <f t="shared" si="19"/>
        <v>1.035</v>
      </c>
      <c r="U27" s="37">
        <f t="shared" si="14"/>
        <v>1.03</v>
      </c>
      <c r="V27" s="41">
        <f t="shared" si="14"/>
        <v>1.03</v>
      </c>
      <c r="W27" s="37">
        <f t="shared" si="14"/>
        <v>1.03</v>
      </c>
      <c r="X27" s="41">
        <f t="shared" si="14"/>
        <v>1.03</v>
      </c>
      <c r="Y27" s="37">
        <f t="shared" si="14"/>
        <v>1.03</v>
      </c>
      <c r="Z27" s="37">
        <f t="shared" si="14"/>
        <v>1.03</v>
      </c>
      <c r="AA27" s="37">
        <f t="shared" si="14"/>
        <v>1.03</v>
      </c>
    </row>
    <row r="28" spans="1:27" ht="12.75">
      <c r="A28" s="14" t="s">
        <v>41</v>
      </c>
      <c r="B28" s="59">
        <f>+Ingresos!G28</f>
        <v>0</v>
      </c>
      <c r="C28" s="38">
        <f t="shared" si="3"/>
        <v>0</v>
      </c>
      <c r="D28" s="38">
        <v>0</v>
      </c>
      <c r="E28" s="38">
        <f t="shared" si="4"/>
        <v>0</v>
      </c>
      <c r="F28" s="38">
        <f t="shared" si="5"/>
        <v>0</v>
      </c>
      <c r="G28" s="38">
        <f t="shared" si="6"/>
        <v>0</v>
      </c>
      <c r="H28" s="38">
        <f t="shared" si="7"/>
        <v>0</v>
      </c>
      <c r="I28" s="38">
        <f t="shared" si="8"/>
        <v>0</v>
      </c>
      <c r="J28" s="38">
        <f t="shared" si="9"/>
        <v>0</v>
      </c>
      <c r="K28" s="38">
        <f t="shared" si="10"/>
        <v>0</v>
      </c>
      <c r="L28" s="38">
        <f t="shared" si="11"/>
        <v>0</v>
      </c>
      <c r="M28" s="38">
        <f t="shared" si="12"/>
        <v>0</v>
      </c>
      <c r="N28" s="38">
        <f t="shared" si="13"/>
        <v>0</v>
      </c>
      <c r="P28" s="37">
        <f t="shared" si="15"/>
        <v>1.055</v>
      </c>
      <c r="Q28" s="37">
        <f t="shared" si="16"/>
        <v>1.05</v>
      </c>
      <c r="R28" s="41">
        <f t="shared" si="17"/>
        <v>1.045</v>
      </c>
      <c r="S28" s="37">
        <f t="shared" si="18"/>
        <v>1.04</v>
      </c>
      <c r="T28" s="41">
        <f t="shared" si="19"/>
        <v>1.035</v>
      </c>
      <c r="U28" s="37">
        <f t="shared" si="14"/>
        <v>1.03</v>
      </c>
      <c r="V28" s="41">
        <f t="shared" si="14"/>
        <v>1.03</v>
      </c>
      <c r="W28" s="37">
        <f t="shared" si="14"/>
        <v>1.03</v>
      </c>
      <c r="X28" s="41">
        <f t="shared" si="14"/>
        <v>1.03</v>
      </c>
      <c r="Y28" s="37">
        <f t="shared" si="14"/>
        <v>1.03</v>
      </c>
      <c r="Z28" s="37">
        <f t="shared" si="14"/>
        <v>1.03</v>
      </c>
      <c r="AA28" s="37">
        <f t="shared" si="14"/>
        <v>1.03</v>
      </c>
    </row>
    <row r="29" spans="1:27" ht="12.75">
      <c r="A29" s="15" t="s">
        <v>204</v>
      </c>
      <c r="B29" s="59">
        <f>+Ingresos!G29</f>
        <v>60420907</v>
      </c>
      <c r="C29" s="38">
        <f t="shared" si="3"/>
        <v>63744056.885</v>
      </c>
      <c r="D29" s="38">
        <f>+'[3]ACTIVA'!$L$24</f>
        <v>1760216</v>
      </c>
      <c r="E29" s="38">
        <f t="shared" si="4"/>
        <v>1839425.72</v>
      </c>
      <c r="F29" s="38">
        <f t="shared" si="5"/>
        <v>1913002.7488</v>
      </c>
      <c r="G29" s="38">
        <f t="shared" si="6"/>
        <v>1979957.8450079998</v>
      </c>
      <c r="H29" s="38">
        <f t="shared" si="7"/>
        <v>2039356.5803582398</v>
      </c>
      <c r="I29" s="38">
        <f t="shared" si="8"/>
        <v>2100537.277768987</v>
      </c>
      <c r="J29" s="38">
        <f t="shared" si="9"/>
        <v>2163553.396102057</v>
      </c>
      <c r="K29" s="38">
        <f t="shared" si="10"/>
        <v>2228459.9979851185</v>
      </c>
      <c r="L29" s="38">
        <f t="shared" si="11"/>
        <v>2295313.7979246723</v>
      </c>
      <c r="M29" s="38">
        <f t="shared" si="12"/>
        <v>2364173.2118624123</v>
      </c>
      <c r="N29" s="38">
        <f t="shared" si="13"/>
        <v>2435098.4082182846</v>
      </c>
      <c r="P29" s="37">
        <f t="shared" si="15"/>
        <v>1.055</v>
      </c>
      <c r="Q29" s="37">
        <f t="shared" si="16"/>
        <v>1.05</v>
      </c>
      <c r="R29" s="41">
        <f t="shared" si="17"/>
        <v>1.045</v>
      </c>
      <c r="S29" s="37">
        <f t="shared" si="18"/>
        <v>1.04</v>
      </c>
      <c r="T29" s="41">
        <f t="shared" si="19"/>
        <v>1.035</v>
      </c>
      <c r="U29" s="37">
        <f t="shared" si="14"/>
        <v>1.03</v>
      </c>
      <c r="V29" s="41">
        <f t="shared" si="14"/>
        <v>1.03</v>
      </c>
      <c r="W29" s="37">
        <f t="shared" si="14"/>
        <v>1.03</v>
      </c>
      <c r="X29" s="41">
        <f t="shared" si="14"/>
        <v>1.03</v>
      </c>
      <c r="Y29" s="37">
        <f t="shared" si="14"/>
        <v>1.03</v>
      </c>
      <c r="Z29" s="37">
        <f t="shared" si="14"/>
        <v>1.03</v>
      </c>
      <c r="AA29" s="37">
        <f t="shared" si="14"/>
        <v>1.03</v>
      </c>
    </row>
    <row r="30" spans="1:27" ht="12.75">
      <c r="A30" s="124" t="s">
        <v>42</v>
      </c>
      <c r="B30" s="137">
        <f aca="true" t="shared" si="20" ref="B30:L30">SUM(B31:B34)+B35+B59+B63</f>
        <v>2257303524.15</v>
      </c>
      <c r="C30" s="137">
        <f t="shared" si="20"/>
        <v>2425301340.6080003</v>
      </c>
      <c r="D30" s="137">
        <f t="shared" si="20"/>
        <v>2907373904.83</v>
      </c>
      <c r="E30" s="137">
        <f t="shared" si="20"/>
        <v>2974831277.8641</v>
      </c>
      <c r="F30" s="137">
        <f t="shared" si="20"/>
        <v>3182514593.005587</v>
      </c>
      <c r="G30" s="137">
        <f t="shared" si="20"/>
        <v>3388800972.2695904</v>
      </c>
      <c r="H30" s="137">
        <f t="shared" si="20"/>
        <v>3591531763.8995585</v>
      </c>
      <c r="I30" s="137">
        <f t="shared" si="20"/>
        <v>3806408485.026139</v>
      </c>
      <c r="J30" s="137">
        <f t="shared" si="20"/>
        <v>4034159353.8790917</v>
      </c>
      <c r="K30" s="137">
        <f t="shared" si="20"/>
        <v>4275556265.655763</v>
      </c>
      <c r="L30" s="137">
        <f t="shared" si="20"/>
        <v>4531417412.655353</v>
      </c>
      <c r="M30" s="137">
        <f>SUM(M31:M34)+M35+M59+M63</f>
        <v>4802610061.606725</v>
      </c>
      <c r="N30" s="137">
        <f>SUM(N31:N34)+N35+N59+N63</f>
        <v>5090053497.620941</v>
      </c>
      <c r="P30" s="191"/>
      <c r="Q30" s="191"/>
      <c r="R30" s="202"/>
      <c r="S30" s="191"/>
      <c r="T30" s="202"/>
      <c r="U30" s="191"/>
      <c r="V30" s="202"/>
      <c r="W30" s="191"/>
      <c r="X30" s="202"/>
      <c r="Y30" s="191"/>
      <c r="Z30" s="191"/>
      <c r="AA30" s="191"/>
    </row>
    <row r="31" spans="1:27" ht="12.75">
      <c r="A31" s="14" t="s">
        <v>43</v>
      </c>
      <c r="B31" s="59">
        <f>+Ingresos!G31</f>
        <v>212858</v>
      </c>
      <c r="C31" s="38">
        <f>+B31*P31</f>
        <v>224565.18999999997</v>
      </c>
      <c r="D31" s="38">
        <f>+'[3]ACTIVA'!$L$48</f>
        <v>21684</v>
      </c>
      <c r="E31" s="38">
        <f aca="true" t="shared" si="21" ref="E31:N34">+D31*R31</f>
        <v>22659.78</v>
      </c>
      <c r="F31" s="38">
        <f t="shared" si="21"/>
        <v>23566.1712</v>
      </c>
      <c r="G31" s="38">
        <f t="shared" si="21"/>
        <v>24390.987192</v>
      </c>
      <c r="H31" s="38">
        <f t="shared" si="21"/>
        <v>25122.71680776</v>
      </c>
      <c r="I31" s="38">
        <f t="shared" si="21"/>
        <v>25876.3983119928</v>
      </c>
      <c r="J31" s="38">
        <f t="shared" si="21"/>
        <v>26652.690261352585</v>
      </c>
      <c r="K31" s="38">
        <f t="shared" si="21"/>
        <v>27452.270969193163</v>
      </c>
      <c r="L31" s="38">
        <f t="shared" si="21"/>
        <v>28275.83909826896</v>
      </c>
      <c r="M31" s="38">
        <f t="shared" si="21"/>
        <v>29124.11427121703</v>
      </c>
      <c r="N31" s="38">
        <f t="shared" si="21"/>
        <v>29997.837699353542</v>
      </c>
      <c r="P31" s="37">
        <f t="shared" si="15"/>
        <v>1.055</v>
      </c>
      <c r="Q31" s="37">
        <f t="shared" si="16"/>
        <v>1.05</v>
      </c>
      <c r="R31" s="41">
        <f t="shared" si="17"/>
        <v>1.045</v>
      </c>
      <c r="S31" s="37">
        <f t="shared" si="18"/>
        <v>1.04</v>
      </c>
      <c r="T31" s="41">
        <f t="shared" si="19"/>
        <v>1.035</v>
      </c>
      <c r="U31" s="37">
        <f aca="true" t="shared" si="22" ref="U31:AA34">1+(0.03)</f>
        <v>1.03</v>
      </c>
      <c r="V31" s="41">
        <f t="shared" si="22"/>
        <v>1.03</v>
      </c>
      <c r="W31" s="37">
        <f t="shared" si="22"/>
        <v>1.03</v>
      </c>
      <c r="X31" s="41">
        <f t="shared" si="22"/>
        <v>1.03</v>
      </c>
      <c r="Y31" s="37">
        <f t="shared" si="22"/>
        <v>1.03</v>
      </c>
      <c r="Z31" s="37">
        <f t="shared" si="22"/>
        <v>1.03</v>
      </c>
      <c r="AA31" s="37">
        <f t="shared" si="22"/>
        <v>1.03</v>
      </c>
    </row>
    <row r="32" spans="1:27" ht="12.75">
      <c r="A32" s="14" t="s">
        <v>44</v>
      </c>
      <c r="B32" s="59">
        <f>+Ingresos!G32</f>
        <v>568500</v>
      </c>
      <c r="C32" s="38">
        <f>+B32*P32</f>
        <v>599767.5</v>
      </c>
      <c r="D32" s="38">
        <f>+'[3]ACTIVA'!$L$36</f>
        <v>180000</v>
      </c>
      <c r="E32" s="38">
        <f t="shared" si="21"/>
        <v>188100</v>
      </c>
      <c r="F32" s="38">
        <f t="shared" si="21"/>
        <v>195624</v>
      </c>
      <c r="G32" s="38">
        <f t="shared" si="21"/>
        <v>202470.84</v>
      </c>
      <c r="H32" s="38">
        <f t="shared" si="21"/>
        <v>208544.9652</v>
      </c>
      <c r="I32" s="38">
        <f t="shared" si="21"/>
        <v>214801.314156</v>
      </c>
      <c r="J32" s="38">
        <f t="shared" si="21"/>
        <v>221245.35358068</v>
      </c>
      <c r="K32" s="38">
        <f t="shared" si="21"/>
        <v>227882.71418810042</v>
      </c>
      <c r="L32" s="38">
        <f t="shared" si="21"/>
        <v>234719.19561374345</v>
      </c>
      <c r="M32" s="38">
        <f t="shared" si="21"/>
        <v>241760.77148215575</v>
      </c>
      <c r="N32" s="38">
        <f t="shared" si="21"/>
        <v>249013.5946266204</v>
      </c>
      <c r="P32" s="37">
        <f t="shared" si="15"/>
        <v>1.055</v>
      </c>
      <c r="Q32" s="37">
        <f t="shared" si="16"/>
        <v>1.05</v>
      </c>
      <c r="R32" s="41">
        <f t="shared" si="17"/>
        <v>1.045</v>
      </c>
      <c r="S32" s="37">
        <f t="shared" si="18"/>
        <v>1.04</v>
      </c>
      <c r="T32" s="41">
        <f t="shared" si="19"/>
        <v>1.035</v>
      </c>
      <c r="U32" s="37">
        <f t="shared" si="22"/>
        <v>1.03</v>
      </c>
      <c r="V32" s="41">
        <f t="shared" si="22"/>
        <v>1.03</v>
      </c>
      <c r="W32" s="37">
        <f t="shared" si="22"/>
        <v>1.03</v>
      </c>
      <c r="X32" s="41">
        <f t="shared" si="22"/>
        <v>1.03</v>
      </c>
      <c r="Y32" s="37">
        <f t="shared" si="22"/>
        <v>1.03</v>
      </c>
      <c r="Z32" s="37">
        <f t="shared" si="22"/>
        <v>1.03</v>
      </c>
      <c r="AA32" s="37">
        <f t="shared" si="22"/>
        <v>1.03</v>
      </c>
    </row>
    <row r="33" spans="1:27" ht="12.75">
      <c r="A33" s="14" t="s">
        <v>45</v>
      </c>
      <c r="B33" s="59">
        <f>+Ingresos!G33</f>
        <v>9407186</v>
      </c>
      <c r="C33" s="38">
        <f>+B33*P33</f>
        <v>9924581.229999999</v>
      </c>
      <c r="D33" s="38">
        <f>+'[3]ACTIVA'!$L$58</f>
        <v>17497656</v>
      </c>
      <c r="E33" s="38">
        <f t="shared" si="21"/>
        <v>18285050.52</v>
      </c>
      <c r="F33" s="38">
        <f t="shared" si="21"/>
        <v>19016452.5408</v>
      </c>
      <c r="G33" s="38">
        <f t="shared" si="21"/>
        <v>19682028.379728</v>
      </c>
      <c r="H33" s="38">
        <f t="shared" si="21"/>
        <v>20272489.23111984</v>
      </c>
      <c r="I33" s="38">
        <f t="shared" si="21"/>
        <v>20880663.908053435</v>
      </c>
      <c r="J33" s="38">
        <f t="shared" si="21"/>
        <v>21507083.82529504</v>
      </c>
      <c r="K33" s="38">
        <f t="shared" si="21"/>
        <v>22152296.34005389</v>
      </c>
      <c r="L33" s="38">
        <f t="shared" si="21"/>
        <v>22816865.230255507</v>
      </c>
      <c r="M33" s="38">
        <f t="shared" si="21"/>
        <v>23501371.187163174</v>
      </c>
      <c r="N33" s="38">
        <f t="shared" si="21"/>
        <v>24206412.32277807</v>
      </c>
      <c r="P33" s="37">
        <f t="shared" si="15"/>
        <v>1.055</v>
      </c>
      <c r="Q33" s="37">
        <f t="shared" si="16"/>
        <v>1.05</v>
      </c>
      <c r="R33" s="41">
        <f t="shared" si="17"/>
        <v>1.045</v>
      </c>
      <c r="S33" s="37">
        <f t="shared" si="18"/>
        <v>1.04</v>
      </c>
      <c r="T33" s="41">
        <f t="shared" si="19"/>
        <v>1.035</v>
      </c>
      <c r="U33" s="37">
        <f t="shared" si="22"/>
        <v>1.03</v>
      </c>
      <c r="V33" s="41">
        <f t="shared" si="22"/>
        <v>1.03</v>
      </c>
      <c r="W33" s="37">
        <f t="shared" si="22"/>
        <v>1.03</v>
      </c>
      <c r="X33" s="41">
        <f t="shared" si="22"/>
        <v>1.03</v>
      </c>
      <c r="Y33" s="37">
        <f t="shared" si="22"/>
        <v>1.03</v>
      </c>
      <c r="Z33" s="37">
        <f t="shared" si="22"/>
        <v>1.03</v>
      </c>
      <c r="AA33" s="37">
        <f t="shared" si="22"/>
        <v>1.03</v>
      </c>
    </row>
    <row r="34" spans="1:27" ht="12.75">
      <c r="A34" s="14" t="s">
        <v>46</v>
      </c>
      <c r="B34" s="59">
        <f>+Ingresos!G34</f>
        <v>0</v>
      </c>
      <c r="C34" s="38">
        <f>+B34*P34</f>
        <v>0</v>
      </c>
      <c r="D34" s="38">
        <v>0</v>
      </c>
      <c r="E34" s="38">
        <f t="shared" si="21"/>
        <v>0</v>
      </c>
      <c r="F34" s="38">
        <f t="shared" si="21"/>
        <v>0</v>
      </c>
      <c r="G34" s="38">
        <f t="shared" si="21"/>
        <v>0</v>
      </c>
      <c r="H34" s="38">
        <f t="shared" si="21"/>
        <v>0</v>
      </c>
      <c r="I34" s="38">
        <f t="shared" si="21"/>
        <v>0</v>
      </c>
      <c r="J34" s="38">
        <f t="shared" si="21"/>
        <v>0</v>
      </c>
      <c r="K34" s="38">
        <f t="shared" si="21"/>
        <v>0</v>
      </c>
      <c r="L34" s="38">
        <f t="shared" si="21"/>
        <v>0</v>
      </c>
      <c r="M34" s="38">
        <f t="shared" si="21"/>
        <v>0</v>
      </c>
      <c r="N34" s="38">
        <f t="shared" si="21"/>
        <v>0</v>
      </c>
      <c r="P34" s="37">
        <f t="shared" si="15"/>
        <v>1.055</v>
      </c>
      <c r="Q34" s="37">
        <f t="shared" si="16"/>
        <v>1.05</v>
      </c>
      <c r="R34" s="41">
        <f t="shared" si="17"/>
        <v>1.045</v>
      </c>
      <c r="S34" s="37">
        <f t="shared" si="18"/>
        <v>1.04</v>
      </c>
      <c r="T34" s="41">
        <f t="shared" si="19"/>
        <v>1.035</v>
      </c>
      <c r="U34" s="37">
        <f t="shared" si="22"/>
        <v>1.03</v>
      </c>
      <c r="V34" s="41">
        <f t="shared" si="22"/>
        <v>1.03</v>
      </c>
      <c r="W34" s="37">
        <f t="shared" si="22"/>
        <v>1.03</v>
      </c>
      <c r="X34" s="41">
        <f t="shared" si="22"/>
        <v>1.03</v>
      </c>
      <c r="Y34" s="37">
        <f t="shared" si="22"/>
        <v>1.03</v>
      </c>
      <c r="Z34" s="37">
        <f t="shared" si="22"/>
        <v>1.03</v>
      </c>
      <c r="AA34" s="37">
        <f t="shared" si="22"/>
        <v>1.03</v>
      </c>
    </row>
    <row r="35" spans="1:27" ht="12.75">
      <c r="A35" s="126" t="s">
        <v>47</v>
      </c>
      <c r="B35" s="92">
        <f aca="true" t="shared" si="23" ref="B35:L35">+B36+B38+B51+B55</f>
        <v>2095389659.08</v>
      </c>
      <c r="C35" s="92">
        <f t="shared" si="23"/>
        <v>2254482212.9591503</v>
      </c>
      <c r="D35" s="92">
        <f t="shared" si="23"/>
        <v>2795505057.56</v>
      </c>
      <c r="E35" s="92">
        <f t="shared" si="23"/>
        <v>2855574094.7852</v>
      </c>
      <c r="F35" s="92">
        <f t="shared" si="23"/>
        <v>3055464281.420164</v>
      </c>
      <c r="G35" s="92">
        <f t="shared" si="23"/>
        <v>3254069459.712475</v>
      </c>
      <c r="H35" s="92">
        <f t="shared" si="23"/>
        <v>3449313627.2952237</v>
      </c>
      <c r="I35" s="92">
        <f t="shared" si="23"/>
        <v>3656272444.9329376</v>
      </c>
      <c r="J35" s="92">
        <f t="shared" si="23"/>
        <v>3875648791.628914</v>
      </c>
      <c r="K35" s="92">
        <f t="shared" si="23"/>
        <v>4108187719.126649</v>
      </c>
      <c r="L35" s="92">
        <f t="shared" si="23"/>
        <v>4354678982.274248</v>
      </c>
      <c r="M35" s="92">
        <f>+M36+M38+M51+M55</f>
        <v>4615959721.210703</v>
      </c>
      <c r="N35" s="92">
        <f>+N36+N38+N51+N55</f>
        <v>4892917304.483346</v>
      </c>
      <c r="P35" s="191"/>
      <c r="Q35" s="191"/>
      <c r="R35" s="202"/>
      <c r="S35" s="191"/>
      <c r="T35" s="202"/>
      <c r="U35" s="191"/>
      <c r="V35" s="202"/>
      <c r="W35" s="191"/>
      <c r="X35" s="202"/>
      <c r="Y35" s="191"/>
      <c r="Z35" s="191"/>
      <c r="AA35" s="191"/>
    </row>
    <row r="36" spans="1:27" ht="12.75">
      <c r="A36" s="15" t="s">
        <v>48</v>
      </c>
      <c r="B36" s="63">
        <f aca="true" t="shared" si="24" ref="B36:N36">SUM(B37)</f>
        <v>861588244</v>
      </c>
      <c r="C36" s="81">
        <f t="shared" si="24"/>
        <v>930515303.5200001</v>
      </c>
      <c r="D36" s="81">
        <f t="shared" si="24"/>
        <v>381217662</v>
      </c>
      <c r="E36" s="81">
        <f t="shared" si="24"/>
        <v>432722664</v>
      </c>
      <c r="F36" s="81">
        <f t="shared" si="24"/>
        <v>463013250.48</v>
      </c>
      <c r="G36" s="81">
        <f t="shared" si="24"/>
        <v>493109111.7612</v>
      </c>
      <c r="H36" s="81">
        <f t="shared" si="24"/>
        <v>522695658.46687204</v>
      </c>
      <c r="I36" s="81">
        <f t="shared" si="24"/>
        <v>554057397.9748844</v>
      </c>
      <c r="J36" s="81">
        <f t="shared" si="24"/>
        <v>587300841.8533775</v>
      </c>
      <c r="K36" s="81">
        <f t="shared" si="24"/>
        <v>622538892.3645802</v>
      </c>
      <c r="L36" s="81">
        <f t="shared" si="24"/>
        <v>659891225.906455</v>
      </c>
      <c r="M36" s="81">
        <f t="shared" si="24"/>
        <v>699484699.4608424</v>
      </c>
      <c r="N36" s="81">
        <f t="shared" si="24"/>
        <v>741453781.4284929</v>
      </c>
      <c r="P36" s="191"/>
      <c r="Q36" s="191"/>
      <c r="R36" s="202"/>
      <c r="S36" s="191"/>
      <c r="T36" s="202"/>
      <c r="U36" s="191"/>
      <c r="V36" s="202"/>
      <c r="W36" s="191"/>
      <c r="X36" s="202"/>
      <c r="Y36" s="191"/>
      <c r="Z36" s="191"/>
      <c r="AA36" s="191"/>
    </row>
    <row r="37" spans="1:27" ht="12.75">
      <c r="A37" s="15" t="s">
        <v>205</v>
      </c>
      <c r="B37" s="59">
        <f>+Ingresos!G37</f>
        <v>861588244</v>
      </c>
      <c r="C37" s="38">
        <f>+B37*P37</f>
        <v>930515303.5200001</v>
      </c>
      <c r="D37" s="38">
        <f>+'[3]ACTIVA'!$L$51+'[3]ACTIVA'!$L$52</f>
        <v>381217662</v>
      </c>
      <c r="E37" s="38">
        <v>432722664</v>
      </c>
      <c r="F37" s="38">
        <f aca="true" t="shared" si="25" ref="F37:N37">+E37*S37</f>
        <v>463013250.48</v>
      </c>
      <c r="G37" s="38">
        <f t="shared" si="25"/>
        <v>493109111.7612</v>
      </c>
      <c r="H37" s="38">
        <f t="shared" si="25"/>
        <v>522695658.46687204</v>
      </c>
      <c r="I37" s="38">
        <f t="shared" si="25"/>
        <v>554057397.9748844</v>
      </c>
      <c r="J37" s="38">
        <f t="shared" si="25"/>
        <v>587300841.8533775</v>
      </c>
      <c r="K37" s="38">
        <f t="shared" si="25"/>
        <v>622538892.3645802</v>
      </c>
      <c r="L37" s="38">
        <f t="shared" si="25"/>
        <v>659891225.906455</v>
      </c>
      <c r="M37" s="38">
        <f t="shared" si="25"/>
        <v>699484699.4608424</v>
      </c>
      <c r="N37" s="38">
        <f t="shared" si="25"/>
        <v>741453781.4284929</v>
      </c>
      <c r="P37" s="37">
        <f>1+(0.055+0.025)</f>
        <v>1.08</v>
      </c>
      <c r="Q37" s="37">
        <f>1+(0.05+0.025)</f>
        <v>1.075</v>
      </c>
      <c r="R37" s="41">
        <f>1+(0.045+0.025)</f>
        <v>1.07</v>
      </c>
      <c r="S37" s="37">
        <f>1+(0.04+0.03)</f>
        <v>1.07</v>
      </c>
      <c r="T37" s="41">
        <f>1+(0.035+0.03)</f>
        <v>1.065</v>
      </c>
      <c r="U37" s="37">
        <f aca="true" t="shared" si="26" ref="U37:AA37">1+(0.03+0.03)</f>
        <v>1.06</v>
      </c>
      <c r="V37" s="41">
        <f t="shared" si="26"/>
        <v>1.06</v>
      </c>
      <c r="W37" s="37">
        <f t="shared" si="26"/>
        <v>1.06</v>
      </c>
      <c r="X37" s="41">
        <f t="shared" si="26"/>
        <v>1.06</v>
      </c>
      <c r="Y37" s="37">
        <f t="shared" si="26"/>
        <v>1.06</v>
      </c>
      <c r="Z37" s="37">
        <f t="shared" si="26"/>
        <v>1.06</v>
      </c>
      <c r="AA37" s="37">
        <f t="shared" si="26"/>
        <v>1.06</v>
      </c>
    </row>
    <row r="38" spans="1:27" ht="12.75">
      <c r="A38" s="126" t="s">
        <v>49</v>
      </c>
      <c r="B38" s="92">
        <f aca="true" t="shared" si="27" ref="B38:L38">SUM(B39+B42+B48+B49+B50)</f>
        <v>892256661.1899999</v>
      </c>
      <c r="C38" s="92">
        <f t="shared" si="27"/>
        <v>963637194.0852</v>
      </c>
      <c r="D38" s="92">
        <f t="shared" si="27"/>
        <v>1892618075.2</v>
      </c>
      <c r="E38" s="92">
        <f t="shared" si="27"/>
        <v>1864665258</v>
      </c>
      <c r="F38" s="92">
        <f t="shared" si="27"/>
        <v>1995191826.06</v>
      </c>
      <c r="G38" s="92">
        <f t="shared" si="27"/>
        <v>2124879294.7539</v>
      </c>
      <c r="H38" s="92">
        <f t="shared" si="27"/>
        <v>2252372052.439134</v>
      </c>
      <c r="I38" s="92">
        <f t="shared" si="27"/>
        <v>2387514375.5854826</v>
      </c>
      <c r="J38" s="92">
        <f t="shared" si="27"/>
        <v>2530765238.1206117</v>
      </c>
      <c r="K38" s="92">
        <f t="shared" si="27"/>
        <v>2682611152.407849</v>
      </c>
      <c r="L38" s="92">
        <f t="shared" si="27"/>
        <v>2843567821.55232</v>
      </c>
      <c r="M38" s="92">
        <f>SUM(M39+M42+M48+M49+M50)</f>
        <v>3014181890.845459</v>
      </c>
      <c r="N38" s="92">
        <f>SUM(N39+N42+N48+N49+N50)</f>
        <v>3195032804.296187</v>
      </c>
      <c r="P38" s="191"/>
      <c r="Q38" s="191"/>
      <c r="R38" s="202"/>
      <c r="S38" s="191"/>
      <c r="T38" s="202"/>
      <c r="U38" s="191"/>
      <c r="V38" s="202"/>
      <c r="W38" s="191"/>
      <c r="X38" s="202"/>
      <c r="Y38" s="191"/>
      <c r="Z38" s="191"/>
      <c r="AA38" s="191"/>
    </row>
    <row r="39" spans="1:27" ht="12.75">
      <c r="A39" s="126" t="s">
        <v>50</v>
      </c>
      <c r="B39" s="92">
        <f aca="true" t="shared" si="28" ref="B39:L39">SUM(B40:B41)</f>
        <v>90808752</v>
      </c>
      <c r="C39" s="92">
        <f t="shared" si="28"/>
        <v>98073452.16000001</v>
      </c>
      <c r="D39" s="92">
        <f t="shared" si="28"/>
        <v>94942099</v>
      </c>
      <c r="E39" s="92">
        <f t="shared" si="28"/>
        <v>114009634</v>
      </c>
      <c r="F39" s="92">
        <f t="shared" si="28"/>
        <v>121990308.38000001</v>
      </c>
      <c r="G39" s="92">
        <f t="shared" si="28"/>
        <v>129919678.4247</v>
      </c>
      <c r="H39" s="92">
        <f t="shared" si="28"/>
        <v>137714859.13018203</v>
      </c>
      <c r="I39" s="92">
        <f t="shared" si="28"/>
        <v>145977750.67799297</v>
      </c>
      <c r="J39" s="92">
        <f t="shared" si="28"/>
        <v>154736415.71867254</v>
      </c>
      <c r="K39" s="92">
        <f t="shared" si="28"/>
        <v>164020600.6617929</v>
      </c>
      <c r="L39" s="92">
        <f t="shared" si="28"/>
        <v>173861836.70150048</v>
      </c>
      <c r="M39" s="92">
        <f>SUM(M40:M41)</f>
        <v>184293546.9035905</v>
      </c>
      <c r="N39" s="92">
        <f>SUM(N40:N41)</f>
        <v>195351159.71780595</v>
      </c>
      <c r="P39" s="191"/>
      <c r="Q39" s="191"/>
      <c r="R39" s="202"/>
      <c r="S39" s="191"/>
      <c r="T39" s="202"/>
      <c r="U39" s="191"/>
      <c r="V39" s="202"/>
      <c r="W39" s="191"/>
      <c r="X39" s="202"/>
      <c r="Y39" s="191"/>
      <c r="Z39" s="191"/>
      <c r="AA39" s="191"/>
    </row>
    <row r="40" spans="1:27" ht="12.75">
      <c r="A40" s="14" t="s">
        <v>206</v>
      </c>
      <c r="B40" s="59">
        <f>+Ingresos!G40</f>
        <v>0</v>
      </c>
      <c r="C40" s="38">
        <f>+B40*P40</f>
        <v>0</v>
      </c>
      <c r="D40" s="38">
        <v>0</v>
      </c>
      <c r="E40" s="38">
        <f aca="true" t="shared" si="29" ref="E40:N40">+D40*R40</f>
        <v>0</v>
      </c>
      <c r="F40" s="38">
        <f t="shared" si="29"/>
        <v>0</v>
      </c>
      <c r="G40" s="38">
        <f t="shared" si="29"/>
        <v>0</v>
      </c>
      <c r="H40" s="38">
        <f t="shared" si="29"/>
        <v>0</v>
      </c>
      <c r="I40" s="38">
        <f t="shared" si="29"/>
        <v>0</v>
      </c>
      <c r="J40" s="38">
        <f t="shared" si="29"/>
        <v>0</v>
      </c>
      <c r="K40" s="38">
        <f t="shared" si="29"/>
        <v>0</v>
      </c>
      <c r="L40" s="38">
        <f t="shared" si="29"/>
        <v>0</v>
      </c>
      <c r="M40" s="38">
        <f t="shared" si="29"/>
        <v>0</v>
      </c>
      <c r="N40" s="38">
        <f t="shared" si="29"/>
        <v>0</v>
      </c>
      <c r="P40" s="37">
        <f>1+(0.055+0.025)</f>
        <v>1.08</v>
      </c>
      <c r="Q40" s="37">
        <f>1+(0.05+0.025)</f>
        <v>1.075</v>
      </c>
      <c r="R40" s="41">
        <f>1+(0.045+0.025)</f>
        <v>1.07</v>
      </c>
      <c r="S40" s="37">
        <f>1+(0.04+0.03)</f>
        <v>1.07</v>
      </c>
      <c r="T40" s="41">
        <f>1+(0.035+0.03)</f>
        <v>1.065</v>
      </c>
      <c r="U40" s="37">
        <f aca="true" t="shared" si="30" ref="U40:AA41">1+(0.03+0.03)</f>
        <v>1.06</v>
      </c>
      <c r="V40" s="41">
        <f t="shared" si="30"/>
        <v>1.06</v>
      </c>
      <c r="W40" s="37">
        <f t="shared" si="30"/>
        <v>1.06</v>
      </c>
      <c r="X40" s="41">
        <f t="shared" si="30"/>
        <v>1.06</v>
      </c>
      <c r="Y40" s="37">
        <f t="shared" si="30"/>
        <v>1.06</v>
      </c>
      <c r="Z40" s="37">
        <f t="shared" si="30"/>
        <v>1.06</v>
      </c>
      <c r="AA40" s="37">
        <f t="shared" si="30"/>
        <v>1.06</v>
      </c>
    </row>
    <row r="41" spans="1:27" ht="12.75">
      <c r="A41" s="14" t="s">
        <v>207</v>
      </c>
      <c r="B41" s="59">
        <f>+Ingresos!G41</f>
        <v>90808752</v>
      </c>
      <c r="C41" s="38">
        <f>+B41*P41</f>
        <v>98073452.16000001</v>
      </c>
      <c r="D41" s="38">
        <f>+'[3]ACTIVA'!$L$70</f>
        <v>94942099</v>
      </c>
      <c r="E41" s="38">
        <v>114009634</v>
      </c>
      <c r="F41" s="38">
        <f aca="true" t="shared" si="31" ref="F41:N41">+E41*S41</f>
        <v>121990308.38000001</v>
      </c>
      <c r="G41" s="38">
        <f t="shared" si="31"/>
        <v>129919678.4247</v>
      </c>
      <c r="H41" s="38">
        <f t="shared" si="31"/>
        <v>137714859.13018203</v>
      </c>
      <c r="I41" s="38">
        <f t="shared" si="31"/>
        <v>145977750.67799297</v>
      </c>
      <c r="J41" s="38">
        <f t="shared" si="31"/>
        <v>154736415.71867254</v>
      </c>
      <c r="K41" s="38">
        <f t="shared" si="31"/>
        <v>164020600.6617929</v>
      </c>
      <c r="L41" s="38">
        <f t="shared" si="31"/>
        <v>173861836.70150048</v>
      </c>
      <c r="M41" s="38">
        <f t="shared" si="31"/>
        <v>184293546.9035905</v>
      </c>
      <c r="N41" s="38">
        <f t="shared" si="31"/>
        <v>195351159.71780595</v>
      </c>
      <c r="P41" s="37">
        <f>1+(0.055+0.025)</f>
        <v>1.08</v>
      </c>
      <c r="Q41" s="37">
        <f>1+(0.05+0.025)</f>
        <v>1.075</v>
      </c>
      <c r="R41" s="41">
        <f>1+(0.045+0.025)</f>
        <v>1.07</v>
      </c>
      <c r="S41" s="37">
        <f>1+(0.04+0.03)</f>
        <v>1.07</v>
      </c>
      <c r="T41" s="41">
        <f>1+(0.035+0.03)</f>
        <v>1.065</v>
      </c>
      <c r="U41" s="37">
        <f t="shared" si="30"/>
        <v>1.06</v>
      </c>
      <c r="V41" s="41">
        <f t="shared" si="30"/>
        <v>1.06</v>
      </c>
      <c r="W41" s="37">
        <f t="shared" si="30"/>
        <v>1.06</v>
      </c>
      <c r="X41" s="41">
        <f t="shared" si="30"/>
        <v>1.06</v>
      </c>
      <c r="Y41" s="37">
        <f t="shared" si="30"/>
        <v>1.06</v>
      </c>
      <c r="Z41" s="37">
        <f t="shared" si="30"/>
        <v>1.06</v>
      </c>
      <c r="AA41" s="37">
        <f t="shared" si="30"/>
        <v>1.06</v>
      </c>
    </row>
    <row r="42" spans="1:27" ht="12.75">
      <c r="A42" s="126" t="s">
        <v>51</v>
      </c>
      <c r="B42" s="92">
        <f aca="true" t="shared" si="32" ref="B42:L42">SUM(B43:B47)</f>
        <v>770337337.1899999</v>
      </c>
      <c r="C42" s="92">
        <f t="shared" si="32"/>
        <v>831964324.1652</v>
      </c>
      <c r="D42" s="92">
        <f t="shared" si="32"/>
        <v>873699418.2</v>
      </c>
      <c r="E42" s="92">
        <f t="shared" si="32"/>
        <v>785370115</v>
      </c>
      <c r="F42" s="92">
        <f t="shared" si="32"/>
        <v>840346023.05</v>
      </c>
      <c r="G42" s="92">
        <f t="shared" si="32"/>
        <v>894968514.54825</v>
      </c>
      <c r="H42" s="92">
        <f t="shared" si="32"/>
        <v>948666625.4211451</v>
      </c>
      <c r="I42" s="92">
        <f t="shared" si="32"/>
        <v>1005586622.9464138</v>
      </c>
      <c r="J42" s="92">
        <f t="shared" si="32"/>
        <v>1065921820.3231987</v>
      </c>
      <c r="K42" s="92">
        <f t="shared" si="32"/>
        <v>1129877129.5425906</v>
      </c>
      <c r="L42" s="92">
        <f t="shared" si="32"/>
        <v>1197669757.315146</v>
      </c>
      <c r="M42" s="92">
        <f>SUM(M43:M47)</f>
        <v>1269529942.7540548</v>
      </c>
      <c r="N42" s="92">
        <f>SUM(N43:N47)</f>
        <v>1345701739.3192983</v>
      </c>
      <c r="P42" s="191"/>
      <c r="Q42" s="191"/>
      <c r="R42" s="202"/>
      <c r="S42" s="191"/>
      <c r="T42" s="202"/>
      <c r="U42" s="191"/>
      <c r="V42" s="202"/>
      <c r="W42" s="191"/>
      <c r="X42" s="202"/>
      <c r="Y42" s="191"/>
      <c r="Z42" s="191"/>
      <c r="AA42" s="191"/>
    </row>
    <row r="43" spans="1:27" ht="12.75">
      <c r="A43" s="14" t="s">
        <v>208</v>
      </c>
      <c r="B43" s="59">
        <f>+Ingresos!G43</f>
        <v>708452685.39</v>
      </c>
      <c r="C43" s="38">
        <f aca="true" t="shared" si="33" ref="C43:C50">+B43*P43</f>
        <v>765128900.2212</v>
      </c>
      <c r="D43" s="38">
        <f>+'[3]ACTIVA'!$L$109+'[3]ACTIVA'!$L$110</f>
        <v>783099500.2</v>
      </c>
      <c r="E43" s="38">
        <v>737716116</v>
      </c>
      <c r="F43" s="38">
        <f aca="true" t="shared" si="34" ref="F43:N50">+E43*S43</f>
        <v>789356244.12</v>
      </c>
      <c r="G43" s="38">
        <f t="shared" si="34"/>
        <v>840664399.9878</v>
      </c>
      <c r="H43" s="38">
        <f t="shared" si="34"/>
        <v>891104263.987068</v>
      </c>
      <c r="I43" s="38">
        <f t="shared" si="34"/>
        <v>944570519.8262922</v>
      </c>
      <c r="J43" s="38">
        <f t="shared" si="34"/>
        <v>1001244751.0158697</v>
      </c>
      <c r="K43" s="38">
        <f t="shared" si="34"/>
        <v>1061319436.0768219</v>
      </c>
      <c r="L43" s="38">
        <f t="shared" si="34"/>
        <v>1124998602.2414312</v>
      </c>
      <c r="M43" s="38">
        <f t="shared" si="34"/>
        <v>1192498518.3759172</v>
      </c>
      <c r="N43" s="38">
        <f t="shared" si="34"/>
        <v>1264048429.4784722</v>
      </c>
      <c r="P43" s="37">
        <f aca="true" t="shared" si="35" ref="P43:P50">1+(0.055+0.025)</f>
        <v>1.08</v>
      </c>
      <c r="Q43" s="37">
        <f aca="true" t="shared" si="36" ref="Q43:Q50">1+(0.05+0.025)</f>
        <v>1.075</v>
      </c>
      <c r="R43" s="41">
        <f aca="true" t="shared" si="37" ref="R43:R50">1+(0.045+0.025)</f>
        <v>1.07</v>
      </c>
      <c r="S43" s="37">
        <f aca="true" t="shared" si="38" ref="S43:S50">1+(0.04+0.03)</f>
        <v>1.07</v>
      </c>
      <c r="T43" s="41">
        <f aca="true" t="shared" si="39" ref="T43:T50">1+(0.035+0.03)</f>
        <v>1.065</v>
      </c>
      <c r="U43" s="37">
        <f aca="true" t="shared" si="40" ref="U43:AA50">1+(0.03+0.03)</f>
        <v>1.06</v>
      </c>
      <c r="V43" s="41">
        <f t="shared" si="40"/>
        <v>1.06</v>
      </c>
      <c r="W43" s="37">
        <f t="shared" si="40"/>
        <v>1.06</v>
      </c>
      <c r="X43" s="41">
        <f t="shared" si="40"/>
        <v>1.06</v>
      </c>
      <c r="Y43" s="37">
        <f t="shared" si="40"/>
        <v>1.06</v>
      </c>
      <c r="Z43" s="37">
        <f t="shared" si="40"/>
        <v>1.06</v>
      </c>
      <c r="AA43" s="37">
        <f t="shared" si="40"/>
        <v>1.06</v>
      </c>
    </row>
    <row r="44" spans="1:27" ht="12.75">
      <c r="A44" s="14" t="s">
        <v>209</v>
      </c>
      <c r="B44" s="59">
        <f>+Ingresos!G44</f>
        <v>0</v>
      </c>
      <c r="C44" s="38">
        <f t="shared" si="33"/>
        <v>0</v>
      </c>
      <c r="D44" s="38">
        <v>0</v>
      </c>
      <c r="E44" s="38">
        <f>+D44*R44</f>
        <v>0</v>
      </c>
      <c r="F44" s="38">
        <f t="shared" si="34"/>
        <v>0</v>
      </c>
      <c r="G44" s="38">
        <f t="shared" si="34"/>
        <v>0</v>
      </c>
      <c r="H44" s="38">
        <f t="shared" si="34"/>
        <v>0</v>
      </c>
      <c r="I44" s="38">
        <f t="shared" si="34"/>
        <v>0</v>
      </c>
      <c r="J44" s="38">
        <f t="shared" si="34"/>
        <v>0</v>
      </c>
      <c r="K44" s="38">
        <f t="shared" si="34"/>
        <v>0</v>
      </c>
      <c r="L44" s="38">
        <f t="shared" si="34"/>
        <v>0</v>
      </c>
      <c r="M44" s="38">
        <f t="shared" si="34"/>
        <v>0</v>
      </c>
      <c r="N44" s="38">
        <f t="shared" si="34"/>
        <v>0</v>
      </c>
      <c r="P44" s="37">
        <f t="shared" si="35"/>
        <v>1.08</v>
      </c>
      <c r="Q44" s="37">
        <f t="shared" si="36"/>
        <v>1.075</v>
      </c>
      <c r="R44" s="41">
        <f t="shared" si="37"/>
        <v>1.07</v>
      </c>
      <c r="S44" s="37">
        <f t="shared" si="38"/>
        <v>1.07</v>
      </c>
      <c r="T44" s="41">
        <f t="shared" si="39"/>
        <v>1.065</v>
      </c>
      <c r="U44" s="37">
        <f t="shared" si="40"/>
        <v>1.06</v>
      </c>
      <c r="V44" s="41">
        <f t="shared" si="40"/>
        <v>1.06</v>
      </c>
      <c r="W44" s="37">
        <f t="shared" si="40"/>
        <v>1.06</v>
      </c>
      <c r="X44" s="41">
        <f t="shared" si="40"/>
        <v>1.06</v>
      </c>
      <c r="Y44" s="37">
        <f t="shared" si="40"/>
        <v>1.06</v>
      </c>
      <c r="Z44" s="37">
        <f t="shared" si="40"/>
        <v>1.06</v>
      </c>
      <c r="AA44" s="37">
        <f t="shared" si="40"/>
        <v>1.06</v>
      </c>
    </row>
    <row r="45" spans="1:27" ht="12.75">
      <c r="A45" s="14" t="s">
        <v>210</v>
      </c>
      <c r="B45" s="59">
        <f>+Ingresos!G45</f>
        <v>61884651.8</v>
      </c>
      <c r="C45" s="38">
        <f t="shared" si="33"/>
        <v>66835423.944</v>
      </c>
      <c r="D45" s="38">
        <f>+'[3]ACTIVA'!$L$107</f>
        <v>90599918</v>
      </c>
      <c r="E45" s="38">
        <v>47653999</v>
      </c>
      <c r="F45" s="38">
        <f t="shared" si="34"/>
        <v>50989778.93</v>
      </c>
      <c r="G45" s="38">
        <f t="shared" si="34"/>
        <v>54304114.560449995</v>
      </c>
      <c r="H45" s="38">
        <f t="shared" si="34"/>
        <v>57562361.434076995</v>
      </c>
      <c r="I45" s="38">
        <f t="shared" si="34"/>
        <v>61016103.12012162</v>
      </c>
      <c r="J45" s="38">
        <f t="shared" si="34"/>
        <v>64677069.307328925</v>
      </c>
      <c r="K45" s="38">
        <f t="shared" si="34"/>
        <v>68557693.46576867</v>
      </c>
      <c r="L45" s="38">
        <f t="shared" si="34"/>
        <v>72671155.0737148</v>
      </c>
      <c r="M45" s="38">
        <f t="shared" si="34"/>
        <v>77031424.37813768</v>
      </c>
      <c r="N45" s="38">
        <f t="shared" si="34"/>
        <v>81653309.84082595</v>
      </c>
      <c r="P45" s="37">
        <f t="shared" si="35"/>
        <v>1.08</v>
      </c>
      <c r="Q45" s="37">
        <f t="shared" si="36"/>
        <v>1.075</v>
      </c>
      <c r="R45" s="41">
        <f t="shared" si="37"/>
        <v>1.07</v>
      </c>
      <c r="S45" s="37">
        <f t="shared" si="38"/>
        <v>1.07</v>
      </c>
      <c r="T45" s="41">
        <f t="shared" si="39"/>
        <v>1.065</v>
      </c>
      <c r="U45" s="37">
        <f t="shared" si="40"/>
        <v>1.06</v>
      </c>
      <c r="V45" s="41">
        <f t="shared" si="40"/>
        <v>1.06</v>
      </c>
      <c r="W45" s="37">
        <f t="shared" si="40"/>
        <v>1.06</v>
      </c>
      <c r="X45" s="41">
        <f t="shared" si="40"/>
        <v>1.06</v>
      </c>
      <c r="Y45" s="37">
        <f t="shared" si="40"/>
        <v>1.06</v>
      </c>
      <c r="Z45" s="37">
        <f t="shared" si="40"/>
        <v>1.06</v>
      </c>
      <c r="AA45" s="37">
        <f t="shared" si="40"/>
        <v>1.06</v>
      </c>
    </row>
    <row r="46" spans="1:27" ht="12.75">
      <c r="A46" s="14" t="s">
        <v>211</v>
      </c>
      <c r="B46" s="59">
        <f>+Ingresos!G46</f>
        <v>0</v>
      </c>
      <c r="C46" s="38">
        <f t="shared" si="33"/>
        <v>0</v>
      </c>
      <c r="D46" s="38">
        <v>0</v>
      </c>
      <c r="E46" s="38">
        <f>+D46*R46</f>
        <v>0</v>
      </c>
      <c r="F46" s="38">
        <f t="shared" si="34"/>
        <v>0</v>
      </c>
      <c r="G46" s="38">
        <f t="shared" si="34"/>
        <v>0</v>
      </c>
      <c r="H46" s="38">
        <f t="shared" si="34"/>
        <v>0</v>
      </c>
      <c r="I46" s="38">
        <f t="shared" si="34"/>
        <v>0</v>
      </c>
      <c r="J46" s="38">
        <f t="shared" si="34"/>
        <v>0</v>
      </c>
      <c r="K46" s="38">
        <f t="shared" si="34"/>
        <v>0</v>
      </c>
      <c r="L46" s="38">
        <f t="shared" si="34"/>
        <v>0</v>
      </c>
      <c r="M46" s="38">
        <f t="shared" si="34"/>
        <v>0</v>
      </c>
      <c r="N46" s="38">
        <f t="shared" si="34"/>
        <v>0</v>
      </c>
      <c r="P46" s="37">
        <f t="shared" si="35"/>
        <v>1.08</v>
      </c>
      <c r="Q46" s="37">
        <f t="shared" si="36"/>
        <v>1.075</v>
      </c>
      <c r="R46" s="41">
        <f t="shared" si="37"/>
        <v>1.07</v>
      </c>
      <c r="S46" s="37">
        <f t="shared" si="38"/>
        <v>1.07</v>
      </c>
      <c r="T46" s="41">
        <f t="shared" si="39"/>
        <v>1.065</v>
      </c>
      <c r="U46" s="37">
        <f t="shared" si="40"/>
        <v>1.06</v>
      </c>
      <c r="V46" s="41">
        <f t="shared" si="40"/>
        <v>1.06</v>
      </c>
      <c r="W46" s="37">
        <f t="shared" si="40"/>
        <v>1.06</v>
      </c>
      <c r="X46" s="41">
        <f t="shared" si="40"/>
        <v>1.06</v>
      </c>
      <c r="Y46" s="37">
        <f t="shared" si="40"/>
        <v>1.06</v>
      </c>
      <c r="Z46" s="37">
        <f t="shared" si="40"/>
        <v>1.06</v>
      </c>
      <c r="AA46" s="37">
        <f t="shared" si="40"/>
        <v>1.06</v>
      </c>
    </row>
    <row r="47" spans="1:27" ht="12.75">
      <c r="A47" s="14" t="s">
        <v>212</v>
      </c>
      <c r="B47" s="59">
        <f>+Ingresos!G47</f>
        <v>0</v>
      </c>
      <c r="C47" s="38">
        <f t="shared" si="33"/>
        <v>0</v>
      </c>
      <c r="D47" s="38">
        <v>0</v>
      </c>
      <c r="E47" s="38">
        <f>+D47*R47</f>
        <v>0</v>
      </c>
      <c r="F47" s="38">
        <f t="shared" si="34"/>
        <v>0</v>
      </c>
      <c r="G47" s="38">
        <f t="shared" si="34"/>
        <v>0</v>
      </c>
      <c r="H47" s="38">
        <f t="shared" si="34"/>
        <v>0</v>
      </c>
      <c r="I47" s="38">
        <f t="shared" si="34"/>
        <v>0</v>
      </c>
      <c r="J47" s="38">
        <f t="shared" si="34"/>
        <v>0</v>
      </c>
      <c r="K47" s="38">
        <f t="shared" si="34"/>
        <v>0</v>
      </c>
      <c r="L47" s="38">
        <f t="shared" si="34"/>
        <v>0</v>
      </c>
      <c r="M47" s="38">
        <f t="shared" si="34"/>
        <v>0</v>
      </c>
      <c r="N47" s="38">
        <f t="shared" si="34"/>
        <v>0</v>
      </c>
      <c r="P47" s="37">
        <f t="shared" si="35"/>
        <v>1.08</v>
      </c>
      <c r="Q47" s="37">
        <f t="shared" si="36"/>
        <v>1.075</v>
      </c>
      <c r="R47" s="41">
        <f t="shared" si="37"/>
        <v>1.07</v>
      </c>
      <c r="S47" s="37">
        <f t="shared" si="38"/>
        <v>1.07</v>
      </c>
      <c r="T47" s="41">
        <f t="shared" si="39"/>
        <v>1.065</v>
      </c>
      <c r="U47" s="37">
        <f t="shared" si="40"/>
        <v>1.06</v>
      </c>
      <c r="V47" s="41">
        <f t="shared" si="40"/>
        <v>1.06</v>
      </c>
      <c r="W47" s="37">
        <f t="shared" si="40"/>
        <v>1.06</v>
      </c>
      <c r="X47" s="41">
        <f t="shared" si="40"/>
        <v>1.06</v>
      </c>
      <c r="Y47" s="37">
        <f t="shared" si="40"/>
        <v>1.06</v>
      </c>
      <c r="Z47" s="37">
        <f t="shared" si="40"/>
        <v>1.06</v>
      </c>
      <c r="AA47" s="37">
        <f t="shared" si="40"/>
        <v>1.06</v>
      </c>
    </row>
    <row r="48" spans="1:27" ht="12.75">
      <c r="A48" s="15" t="s">
        <v>213</v>
      </c>
      <c r="B48" s="59">
        <f>+Ingresos!G48</f>
        <v>0</v>
      </c>
      <c r="C48" s="38">
        <f t="shared" si="33"/>
        <v>0</v>
      </c>
      <c r="D48" s="38">
        <f>+'[3]ACTIVA'!$L$53</f>
        <v>882246588</v>
      </c>
      <c r="E48" s="38">
        <f>538810524+32326250+43101671+292813824+37252921</f>
        <v>944305190</v>
      </c>
      <c r="F48" s="38">
        <f t="shared" si="34"/>
        <v>1010406553.3000001</v>
      </c>
      <c r="G48" s="38">
        <f t="shared" si="34"/>
        <v>1076082979.2645001</v>
      </c>
      <c r="H48" s="38">
        <f t="shared" si="34"/>
        <v>1140647958.0203702</v>
      </c>
      <c r="I48" s="38">
        <f t="shared" si="34"/>
        <v>1209086835.5015926</v>
      </c>
      <c r="J48" s="38">
        <f t="shared" si="34"/>
        <v>1281632045.6316884</v>
      </c>
      <c r="K48" s="38">
        <f t="shared" si="34"/>
        <v>1358529968.3695898</v>
      </c>
      <c r="L48" s="38">
        <f t="shared" si="34"/>
        <v>1440041766.4717653</v>
      </c>
      <c r="M48" s="38">
        <f t="shared" si="34"/>
        <v>1526444272.4600713</v>
      </c>
      <c r="N48" s="38">
        <f t="shared" si="34"/>
        <v>1618030928.8076756</v>
      </c>
      <c r="P48" s="37">
        <f t="shared" si="35"/>
        <v>1.08</v>
      </c>
      <c r="Q48" s="37">
        <f t="shared" si="36"/>
        <v>1.075</v>
      </c>
      <c r="R48" s="41">
        <f t="shared" si="37"/>
        <v>1.07</v>
      </c>
      <c r="S48" s="37">
        <f t="shared" si="38"/>
        <v>1.07</v>
      </c>
      <c r="T48" s="41">
        <f t="shared" si="39"/>
        <v>1.065</v>
      </c>
      <c r="U48" s="37">
        <f t="shared" si="40"/>
        <v>1.06</v>
      </c>
      <c r="V48" s="41">
        <f t="shared" si="40"/>
        <v>1.06</v>
      </c>
      <c r="W48" s="37">
        <f t="shared" si="40"/>
        <v>1.06</v>
      </c>
      <c r="X48" s="41">
        <f t="shared" si="40"/>
        <v>1.06</v>
      </c>
      <c r="Y48" s="37">
        <f t="shared" si="40"/>
        <v>1.06</v>
      </c>
      <c r="Z48" s="37">
        <f t="shared" si="40"/>
        <v>1.06</v>
      </c>
      <c r="AA48" s="37">
        <f t="shared" si="40"/>
        <v>1.06</v>
      </c>
    </row>
    <row r="49" spans="1:27" ht="12.75">
      <c r="A49" s="15" t="s">
        <v>230</v>
      </c>
      <c r="B49" s="59">
        <f>+Ingresos!G49</f>
        <v>31110572</v>
      </c>
      <c r="C49" s="38">
        <f t="shared" si="33"/>
        <v>33599417.760000005</v>
      </c>
      <c r="D49" s="38">
        <f>+'[3]ACTIVA'!$L$72</f>
        <v>41729970</v>
      </c>
      <c r="E49" s="38">
        <v>20980319</v>
      </c>
      <c r="F49" s="38">
        <f t="shared" si="34"/>
        <v>22448941.330000002</v>
      </c>
      <c r="G49" s="38">
        <f t="shared" si="34"/>
        <v>23908122.51645</v>
      </c>
      <c r="H49" s="38">
        <f t="shared" si="34"/>
        <v>25342609.867437</v>
      </c>
      <c r="I49" s="38">
        <f t="shared" si="34"/>
        <v>26863166.45948322</v>
      </c>
      <c r="J49" s="38">
        <f t="shared" si="34"/>
        <v>28474956.447052214</v>
      </c>
      <c r="K49" s="38">
        <f t="shared" si="34"/>
        <v>30183453.833875347</v>
      </c>
      <c r="L49" s="38">
        <f t="shared" si="34"/>
        <v>31994461.06390787</v>
      </c>
      <c r="M49" s="38">
        <f t="shared" si="34"/>
        <v>33914128.727742344</v>
      </c>
      <c r="N49" s="38">
        <f t="shared" si="34"/>
        <v>35948976.45140689</v>
      </c>
      <c r="P49" s="37">
        <f t="shared" si="35"/>
        <v>1.08</v>
      </c>
      <c r="Q49" s="37">
        <f t="shared" si="36"/>
        <v>1.075</v>
      </c>
      <c r="R49" s="41">
        <f t="shared" si="37"/>
        <v>1.07</v>
      </c>
      <c r="S49" s="37">
        <f t="shared" si="38"/>
        <v>1.07</v>
      </c>
      <c r="T49" s="41">
        <f t="shared" si="39"/>
        <v>1.065</v>
      </c>
      <c r="U49" s="37">
        <f t="shared" si="40"/>
        <v>1.06</v>
      </c>
      <c r="V49" s="41">
        <f t="shared" si="40"/>
        <v>1.06</v>
      </c>
      <c r="W49" s="37">
        <f t="shared" si="40"/>
        <v>1.06</v>
      </c>
      <c r="X49" s="41">
        <f t="shared" si="40"/>
        <v>1.06</v>
      </c>
      <c r="Y49" s="37">
        <f t="shared" si="40"/>
        <v>1.06</v>
      </c>
      <c r="Z49" s="37">
        <f t="shared" si="40"/>
        <v>1.06</v>
      </c>
      <c r="AA49" s="37">
        <f t="shared" si="40"/>
        <v>1.06</v>
      </c>
    </row>
    <row r="50" spans="1:27" ht="12.75">
      <c r="A50" s="15" t="s">
        <v>231</v>
      </c>
      <c r="B50" s="59">
        <f>+Ingresos!G50</f>
        <v>0</v>
      </c>
      <c r="C50" s="38">
        <f t="shared" si="33"/>
        <v>0</v>
      </c>
      <c r="D50" s="38">
        <v>0</v>
      </c>
      <c r="E50" s="38">
        <f>+D50*R50</f>
        <v>0</v>
      </c>
      <c r="F50" s="38">
        <f t="shared" si="34"/>
        <v>0</v>
      </c>
      <c r="G50" s="38">
        <f t="shared" si="34"/>
        <v>0</v>
      </c>
      <c r="H50" s="38">
        <f t="shared" si="34"/>
        <v>0</v>
      </c>
      <c r="I50" s="38">
        <f t="shared" si="34"/>
        <v>0</v>
      </c>
      <c r="J50" s="38">
        <f t="shared" si="34"/>
        <v>0</v>
      </c>
      <c r="K50" s="38">
        <f t="shared" si="34"/>
        <v>0</v>
      </c>
      <c r="L50" s="38">
        <f t="shared" si="34"/>
        <v>0</v>
      </c>
      <c r="M50" s="38">
        <f t="shared" si="34"/>
        <v>0</v>
      </c>
      <c r="N50" s="38">
        <f t="shared" si="34"/>
        <v>0</v>
      </c>
      <c r="P50" s="37">
        <f t="shared" si="35"/>
        <v>1.08</v>
      </c>
      <c r="Q50" s="37">
        <f t="shared" si="36"/>
        <v>1.075</v>
      </c>
      <c r="R50" s="41">
        <f t="shared" si="37"/>
        <v>1.07</v>
      </c>
      <c r="S50" s="37">
        <f t="shared" si="38"/>
        <v>1.07</v>
      </c>
      <c r="T50" s="41">
        <f t="shared" si="39"/>
        <v>1.065</v>
      </c>
      <c r="U50" s="37">
        <f t="shared" si="40"/>
        <v>1.06</v>
      </c>
      <c r="V50" s="41">
        <f t="shared" si="40"/>
        <v>1.06</v>
      </c>
      <c r="W50" s="37">
        <f t="shared" si="40"/>
        <v>1.06</v>
      </c>
      <c r="X50" s="41">
        <f t="shared" si="40"/>
        <v>1.06</v>
      </c>
      <c r="Y50" s="37">
        <f t="shared" si="40"/>
        <v>1.06</v>
      </c>
      <c r="Z50" s="37">
        <f t="shared" si="40"/>
        <v>1.06</v>
      </c>
      <c r="AA50" s="37">
        <f t="shared" si="40"/>
        <v>1.06</v>
      </c>
    </row>
    <row r="51" spans="1:27" ht="12.75">
      <c r="A51" s="126" t="s">
        <v>214</v>
      </c>
      <c r="B51" s="92">
        <f aca="true" t="shared" si="41" ref="B51:L51">SUM(B52:B54)</f>
        <v>341544753.89</v>
      </c>
      <c r="C51" s="92">
        <f t="shared" si="41"/>
        <v>360329715.35395</v>
      </c>
      <c r="D51" s="92">
        <f t="shared" si="41"/>
        <v>521669320.36</v>
      </c>
      <c r="E51" s="92">
        <f t="shared" si="41"/>
        <v>558186172.7852</v>
      </c>
      <c r="F51" s="92">
        <f t="shared" si="41"/>
        <v>597259204.8801641</v>
      </c>
      <c r="G51" s="92">
        <f t="shared" si="41"/>
        <v>636081053.1973747</v>
      </c>
      <c r="H51" s="92">
        <f t="shared" si="41"/>
        <v>674245916.3892173</v>
      </c>
      <c r="I51" s="92">
        <f t="shared" si="41"/>
        <v>714700671.3725704</v>
      </c>
      <c r="J51" s="92">
        <f t="shared" si="41"/>
        <v>757582711.6549246</v>
      </c>
      <c r="K51" s="92">
        <f t="shared" si="41"/>
        <v>803037674.3542202</v>
      </c>
      <c r="L51" s="92">
        <f t="shared" si="41"/>
        <v>851219934.8154734</v>
      </c>
      <c r="M51" s="92">
        <f>SUM(M52:M54)</f>
        <v>902293130.9044018</v>
      </c>
      <c r="N51" s="92">
        <f>SUM(N52:N54)</f>
        <v>956430718.758666</v>
      </c>
      <c r="P51" s="191"/>
      <c r="Q51" s="191"/>
      <c r="R51" s="202"/>
      <c r="S51" s="191"/>
      <c r="T51" s="202"/>
      <c r="U51" s="191"/>
      <c r="V51" s="202"/>
      <c r="W51" s="191"/>
      <c r="X51" s="202"/>
      <c r="Y51" s="191"/>
      <c r="Z51" s="191"/>
      <c r="AA51" s="191"/>
    </row>
    <row r="52" spans="1:27" ht="12.75">
      <c r="A52" s="14" t="s">
        <v>52</v>
      </c>
      <c r="B52" s="59">
        <f>+Ingresos!G52</f>
        <v>40481165.39</v>
      </c>
      <c r="C52" s="38">
        <f>+B52*P52</f>
        <v>42707629.48645</v>
      </c>
      <c r="D52" s="38">
        <f>+'[3]ACTIVA'!$L$112</f>
        <v>16503454.26</v>
      </c>
      <c r="E52" s="38">
        <f aca="true" t="shared" si="42" ref="E52:N54">+D52*R52</f>
        <v>17658696.0582</v>
      </c>
      <c r="F52" s="38">
        <f t="shared" si="42"/>
        <v>18894804.782274004</v>
      </c>
      <c r="G52" s="38">
        <f t="shared" si="42"/>
        <v>20122967.09312181</v>
      </c>
      <c r="H52" s="38">
        <f t="shared" si="42"/>
        <v>21330345.11870912</v>
      </c>
      <c r="I52" s="38">
        <f t="shared" si="42"/>
        <v>22610165.82583167</v>
      </c>
      <c r="J52" s="38">
        <f t="shared" si="42"/>
        <v>23966775.775381573</v>
      </c>
      <c r="K52" s="38">
        <f t="shared" si="42"/>
        <v>25404782.32190447</v>
      </c>
      <c r="L52" s="38">
        <f t="shared" si="42"/>
        <v>26929069.261218738</v>
      </c>
      <c r="M52" s="38">
        <f t="shared" si="42"/>
        <v>28544813.41689186</v>
      </c>
      <c r="N52" s="38">
        <f t="shared" si="42"/>
        <v>30257502.221905377</v>
      </c>
      <c r="P52" s="37">
        <f>1+(0.055)</f>
        <v>1.055</v>
      </c>
      <c r="Q52" s="37">
        <f>1+(0.05+0.025)</f>
        <v>1.075</v>
      </c>
      <c r="R52" s="41">
        <f>1+(0.045+0.025)</f>
        <v>1.07</v>
      </c>
      <c r="S52" s="37">
        <f>1+(0.04+0.03)</f>
        <v>1.07</v>
      </c>
      <c r="T52" s="41">
        <f>1+(0.035+0.03)</f>
        <v>1.065</v>
      </c>
      <c r="U52" s="37">
        <f aca="true" t="shared" si="43" ref="U52:AA54">1+(0.03+0.03)</f>
        <v>1.06</v>
      </c>
      <c r="V52" s="41">
        <f t="shared" si="43"/>
        <v>1.06</v>
      </c>
      <c r="W52" s="37">
        <f t="shared" si="43"/>
        <v>1.06</v>
      </c>
      <c r="X52" s="41">
        <f t="shared" si="43"/>
        <v>1.06</v>
      </c>
      <c r="Y52" s="37">
        <f t="shared" si="43"/>
        <v>1.06</v>
      </c>
      <c r="Z52" s="37">
        <f t="shared" si="43"/>
        <v>1.06</v>
      </c>
      <c r="AA52" s="37">
        <f t="shared" si="43"/>
        <v>1.06</v>
      </c>
    </row>
    <row r="53" spans="1:27" ht="12.75">
      <c r="A53" s="14" t="s">
        <v>53</v>
      </c>
      <c r="B53" s="59">
        <f>+Ingresos!G53</f>
        <v>301063588.5</v>
      </c>
      <c r="C53" s="38">
        <f>+B53*P53</f>
        <v>317622085.8675</v>
      </c>
      <c r="D53" s="38">
        <f>+'[3]ACTIVA'!$L$111</f>
        <v>494483145</v>
      </c>
      <c r="E53" s="38">
        <f t="shared" si="42"/>
        <v>529096965.15000004</v>
      </c>
      <c r="F53" s="38">
        <f t="shared" si="42"/>
        <v>566133752.7105001</v>
      </c>
      <c r="G53" s="38">
        <f t="shared" si="42"/>
        <v>602932446.6366826</v>
      </c>
      <c r="H53" s="38">
        <f t="shared" si="42"/>
        <v>639108393.4348836</v>
      </c>
      <c r="I53" s="38">
        <f t="shared" si="42"/>
        <v>677454897.0409766</v>
      </c>
      <c r="J53" s="38">
        <f t="shared" si="42"/>
        <v>718102190.8634353</v>
      </c>
      <c r="K53" s="38">
        <f t="shared" si="42"/>
        <v>761188322.3152415</v>
      </c>
      <c r="L53" s="38">
        <f t="shared" si="42"/>
        <v>806859621.654156</v>
      </c>
      <c r="M53" s="38">
        <f t="shared" si="42"/>
        <v>855271198.9534054</v>
      </c>
      <c r="N53" s="38">
        <f t="shared" si="42"/>
        <v>906587470.8906097</v>
      </c>
      <c r="P53" s="37">
        <f>1+(0.055)</f>
        <v>1.055</v>
      </c>
      <c r="Q53" s="37">
        <f>1+(0.05+0.025)</f>
        <v>1.075</v>
      </c>
      <c r="R53" s="41">
        <f>1+(0.045+0.025)</f>
        <v>1.07</v>
      </c>
      <c r="S53" s="37">
        <f>1+(0.04+0.03)</f>
        <v>1.07</v>
      </c>
      <c r="T53" s="41">
        <f>1+(0.035+0.03)</f>
        <v>1.065</v>
      </c>
      <c r="U53" s="37">
        <f t="shared" si="43"/>
        <v>1.06</v>
      </c>
      <c r="V53" s="41">
        <f t="shared" si="43"/>
        <v>1.06</v>
      </c>
      <c r="W53" s="37">
        <f t="shared" si="43"/>
        <v>1.06</v>
      </c>
      <c r="X53" s="41">
        <f t="shared" si="43"/>
        <v>1.06</v>
      </c>
      <c r="Y53" s="37">
        <f t="shared" si="43"/>
        <v>1.06</v>
      </c>
      <c r="Z53" s="37">
        <f t="shared" si="43"/>
        <v>1.06</v>
      </c>
      <c r="AA53" s="37">
        <f t="shared" si="43"/>
        <v>1.06</v>
      </c>
    </row>
    <row r="54" spans="1:27" ht="12.75">
      <c r="A54" s="14" t="s">
        <v>54</v>
      </c>
      <c r="B54" s="59">
        <f>+Ingresos!G54</f>
        <v>0</v>
      </c>
      <c r="C54" s="38">
        <f>+B54*P54</f>
        <v>0</v>
      </c>
      <c r="D54" s="38">
        <f>+'[3]ACTIVA'!$L$113</f>
        <v>10682721.1</v>
      </c>
      <c r="E54" s="38">
        <f t="shared" si="42"/>
        <v>11430511.577</v>
      </c>
      <c r="F54" s="38">
        <f t="shared" si="42"/>
        <v>12230647.38739</v>
      </c>
      <c r="G54" s="38">
        <f t="shared" si="42"/>
        <v>13025639.46757035</v>
      </c>
      <c r="H54" s="38">
        <f t="shared" si="42"/>
        <v>13807177.835624572</v>
      </c>
      <c r="I54" s="38">
        <f t="shared" si="42"/>
        <v>14635608.505762046</v>
      </c>
      <c r="J54" s="38">
        <f t="shared" si="42"/>
        <v>15513745.01610777</v>
      </c>
      <c r="K54" s="38">
        <f t="shared" si="42"/>
        <v>16444569.717074236</v>
      </c>
      <c r="L54" s="38">
        <f t="shared" si="42"/>
        <v>17431243.900098693</v>
      </c>
      <c r="M54" s="38">
        <f t="shared" si="42"/>
        <v>18477118.534104615</v>
      </c>
      <c r="N54" s="38">
        <f t="shared" si="42"/>
        <v>19585745.646150894</v>
      </c>
      <c r="P54" s="37">
        <f>1+(0.055)</f>
        <v>1.055</v>
      </c>
      <c r="Q54" s="37">
        <f>1+(0.05+0.025)</f>
        <v>1.075</v>
      </c>
      <c r="R54" s="41">
        <f>1+(0.045+0.025)</f>
        <v>1.07</v>
      </c>
      <c r="S54" s="37">
        <f>1+(0.04+0.03)</f>
        <v>1.07</v>
      </c>
      <c r="T54" s="41">
        <f>1+(0.035+0.03)</f>
        <v>1.065</v>
      </c>
      <c r="U54" s="37">
        <f t="shared" si="43"/>
        <v>1.06</v>
      </c>
      <c r="V54" s="41">
        <f t="shared" si="43"/>
        <v>1.06</v>
      </c>
      <c r="W54" s="37">
        <f t="shared" si="43"/>
        <v>1.06</v>
      </c>
      <c r="X54" s="41">
        <f t="shared" si="43"/>
        <v>1.06</v>
      </c>
      <c r="Y54" s="37">
        <f t="shared" si="43"/>
        <v>1.06</v>
      </c>
      <c r="Z54" s="37">
        <f t="shared" si="43"/>
        <v>1.06</v>
      </c>
      <c r="AA54" s="37">
        <f t="shared" si="43"/>
        <v>1.06</v>
      </c>
    </row>
    <row r="55" spans="1:27" ht="12.75">
      <c r="A55" s="126" t="s">
        <v>55</v>
      </c>
      <c r="B55" s="92">
        <f aca="true" t="shared" si="44" ref="B55:L55">SUM(B56:B58)</f>
        <v>0</v>
      </c>
      <c r="C55" s="92">
        <f t="shared" si="44"/>
        <v>0</v>
      </c>
      <c r="D55" s="92">
        <f t="shared" si="44"/>
        <v>0</v>
      </c>
      <c r="E55" s="92">
        <f t="shared" si="44"/>
        <v>0</v>
      </c>
      <c r="F55" s="92">
        <f t="shared" si="44"/>
        <v>0</v>
      </c>
      <c r="G55" s="92">
        <f t="shared" si="44"/>
        <v>0</v>
      </c>
      <c r="H55" s="92">
        <f t="shared" si="44"/>
        <v>0</v>
      </c>
      <c r="I55" s="92">
        <f t="shared" si="44"/>
        <v>0</v>
      </c>
      <c r="J55" s="92">
        <f t="shared" si="44"/>
        <v>0</v>
      </c>
      <c r="K55" s="92">
        <f t="shared" si="44"/>
        <v>0</v>
      </c>
      <c r="L55" s="92">
        <f t="shared" si="44"/>
        <v>0</v>
      </c>
      <c r="M55" s="92">
        <f>SUM(M56:M58)</f>
        <v>0</v>
      </c>
      <c r="N55" s="92">
        <f>SUM(N56:N58)</f>
        <v>0</v>
      </c>
      <c r="P55" s="191"/>
      <c r="Q55" s="191"/>
      <c r="R55" s="202"/>
      <c r="S55" s="191"/>
      <c r="T55" s="202"/>
      <c r="U55" s="191"/>
      <c r="V55" s="202"/>
      <c r="W55" s="191"/>
      <c r="X55" s="202"/>
      <c r="Y55" s="191"/>
      <c r="Z55" s="191"/>
      <c r="AA55" s="191"/>
    </row>
    <row r="56" spans="1:27" ht="12.75">
      <c r="A56" s="14" t="s">
        <v>1</v>
      </c>
      <c r="B56" s="59">
        <f>+Ingresos!C56</f>
        <v>0</v>
      </c>
      <c r="C56" s="38">
        <f>+B56*P56</f>
        <v>0</v>
      </c>
      <c r="D56" s="38">
        <v>0</v>
      </c>
      <c r="E56" s="38">
        <f aca="true" t="shared" si="45" ref="E56:N58">+D56*R56</f>
        <v>0</v>
      </c>
      <c r="F56" s="38">
        <f t="shared" si="45"/>
        <v>0</v>
      </c>
      <c r="G56" s="38">
        <f t="shared" si="45"/>
        <v>0</v>
      </c>
      <c r="H56" s="38">
        <f t="shared" si="45"/>
        <v>0</v>
      </c>
      <c r="I56" s="38">
        <f t="shared" si="45"/>
        <v>0</v>
      </c>
      <c r="J56" s="38">
        <f t="shared" si="45"/>
        <v>0</v>
      </c>
      <c r="K56" s="38">
        <f t="shared" si="45"/>
        <v>0</v>
      </c>
      <c r="L56" s="38">
        <f t="shared" si="45"/>
        <v>0</v>
      </c>
      <c r="M56" s="38">
        <f t="shared" si="45"/>
        <v>0</v>
      </c>
      <c r="N56" s="38">
        <f t="shared" si="45"/>
        <v>0</v>
      </c>
      <c r="P56" s="37">
        <f>1+(0.055)</f>
        <v>1.055</v>
      </c>
      <c r="Q56" s="37">
        <f>1+(0.05+0.025)</f>
        <v>1.075</v>
      </c>
      <c r="R56" s="41">
        <f>1+(0.045+0.025)</f>
        <v>1.07</v>
      </c>
      <c r="S56" s="37">
        <f>1+(0.04+0.03)</f>
        <v>1.07</v>
      </c>
      <c r="T56" s="41">
        <f>1+(0.035+0.03)</f>
        <v>1.065</v>
      </c>
      <c r="U56" s="37">
        <f aca="true" t="shared" si="46" ref="U56:AA58">1+(0.03+0.03)</f>
        <v>1.06</v>
      </c>
      <c r="V56" s="41">
        <f t="shared" si="46"/>
        <v>1.06</v>
      </c>
      <c r="W56" s="37">
        <f t="shared" si="46"/>
        <v>1.06</v>
      </c>
      <c r="X56" s="41">
        <f t="shared" si="46"/>
        <v>1.06</v>
      </c>
      <c r="Y56" s="37">
        <f t="shared" si="46"/>
        <v>1.06</v>
      </c>
      <c r="Z56" s="37">
        <f t="shared" si="46"/>
        <v>1.06</v>
      </c>
      <c r="AA56" s="37">
        <f t="shared" si="46"/>
        <v>1.06</v>
      </c>
    </row>
    <row r="57" spans="1:27" ht="12.75">
      <c r="A57" s="14" t="s">
        <v>305</v>
      </c>
      <c r="B57" s="59">
        <f>+Ingresos!B57</f>
        <v>0</v>
      </c>
      <c r="C57" s="38">
        <f>+B57*P57</f>
        <v>0</v>
      </c>
      <c r="D57" s="38">
        <v>0</v>
      </c>
      <c r="E57" s="38">
        <f t="shared" si="45"/>
        <v>0</v>
      </c>
      <c r="F57" s="38">
        <f t="shared" si="45"/>
        <v>0</v>
      </c>
      <c r="G57" s="38">
        <f t="shared" si="45"/>
        <v>0</v>
      </c>
      <c r="H57" s="38">
        <f t="shared" si="45"/>
        <v>0</v>
      </c>
      <c r="I57" s="38">
        <f t="shared" si="45"/>
        <v>0</v>
      </c>
      <c r="J57" s="38">
        <f t="shared" si="45"/>
        <v>0</v>
      </c>
      <c r="K57" s="38">
        <f t="shared" si="45"/>
        <v>0</v>
      </c>
      <c r="L57" s="38">
        <f t="shared" si="45"/>
        <v>0</v>
      </c>
      <c r="M57" s="38">
        <f t="shared" si="45"/>
        <v>0</v>
      </c>
      <c r="N57" s="38">
        <f t="shared" si="45"/>
        <v>0</v>
      </c>
      <c r="P57" s="37">
        <f>1+(0.055)</f>
        <v>1.055</v>
      </c>
      <c r="Q57" s="37">
        <f>1+(0.05+0.025)</f>
        <v>1.075</v>
      </c>
      <c r="R57" s="41">
        <f>1+(0.045+0.025)</f>
        <v>1.07</v>
      </c>
      <c r="S57" s="37">
        <f>1+(0.04+0.03)</f>
        <v>1.07</v>
      </c>
      <c r="T57" s="41">
        <f>1+(0.035+0.03)</f>
        <v>1.065</v>
      </c>
      <c r="U57" s="37">
        <f t="shared" si="46"/>
        <v>1.06</v>
      </c>
      <c r="V57" s="41">
        <f t="shared" si="46"/>
        <v>1.06</v>
      </c>
      <c r="W57" s="37">
        <f t="shared" si="46"/>
        <v>1.06</v>
      </c>
      <c r="X57" s="41">
        <f t="shared" si="46"/>
        <v>1.06</v>
      </c>
      <c r="Y57" s="37">
        <f t="shared" si="46"/>
        <v>1.06</v>
      </c>
      <c r="Z57" s="37">
        <f t="shared" si="46"/>
        <v>1.06</v>
      </c>
      <c r="AA57" s="37">
        <f t="shared" si="46"/>
        <v>1.06</v>
      </c>
    </row>
    <row r="58" spans="1:27" ht="12.75">
      <c r="A58" s="14" t="s">
        <v>56</v>
      </c>
      <c r="B58" s="59">
        <f>+Ingresos!C58</f>
        <v>0</v>
      </c>
      <c r="C58" s="38">
        <f>+B58*P58</f>
        <v>0</v>
      </c>
      <c r="D58" s="38">
        <v>0</v>
      </c>
      <c r="E58" s="38">
        <f t="shared" si="45"/>
        <v>0</v>
      </c>
      <c r="F58" s="38">
        <f t="shared" si="45"/>
        <v>0</v>
      </c>
      <c r="G58" s="38">
        <f t="shared" si="45"/>
        <v>0</v>
      </c>
      <c r="H58" s="38">
        <f t="shared" si="45"/>
        <v>0</v>
      </c>
      <c r="I58" s="38">
        <f t="shared" si="45"/>
        <v>0</v>
      </c>
      <c r="J58" s="38">
        <f t="shared" si="45"/>
        <v>0</v>
      </c>
      <c r="K58" s="38">
        <f t="shared" si="45"/>
        <v>0</v>
      </c>
      <c r="L58" s="38">
        <f t="shared" si="45"/>
        <v>0</v>
      </c>
      <c r="M58" s="38">
        <f t="shared" si="45"/>
        <v>0</v>
      </c>
      <c r="N58" s="38">
        <f t="shared" si="45"/>
        <v>0</v>
      </c>
      <c r="P58" s="37">
        <f>1+(0.055)</f>
        <v>1.055</v>
      </c>
      <c r="Q58" s="37">
        <f>1+(0.05+0.025)</f>
        <v>1.075</v>
      </c>
      <c r="R58" s="41">
        <f>1+(0.045+0.025)</f>
        <v>1.07</v>
      </c>
      <c r="S58" s="37">
        <f>1+(0.04+0.03)</f>
        <v>1.07</v>
      </c>
      <c r="T58" s="41">
        <f>1+(0.035+0.03)</f>
        <v>1.065</v>
      </c>
      <c r="U58" s="37">
        <f t="shared" si="46"/>
        <v>1.06</v>
      </c>
      <c r="V58" s="41">
        <f t="shared" si="46"/>
        <v>1.06</v>
      </c>
      <c r="W58" s="37">
        <f t="shared" si="46"/>
        <v>1.06</v>
      </c>
      <c r="X58" s="41">
        <f t="shared" si="46"/>
        <v>1.06</v>
      </c>
      <c r="Y58" s="37">
        <f t="shared" si="46"/>
        <v>1.06</v>
      </c>
      <c r="Z58" s="37">
        <f t="shared" si="46"/>
        <v>1.06</v>
      </c>
      <c r="AA58" s="37">
        <f t="shared" si="46"/>
        <v>1.06</v>
      </c>
    </row>
    <row r="59" spans="1:27" ht="12.75">
      <c r="A59" s="126" t="s">
        <v>215</v>
      </c>
      <c r="B59" s="92">
        <f aca="true" t="shared" si="47" ref="B59:L59">SUM(B60:B62)</f>
        <v>131497028.07</v>
      </c>
      <c r="C59" s="92">
        <f t="shared" si="47"/>
        <v>138729364.61384997</v>
      </c>
      <c r="D59" s="92">
        <f t="shared" si="47"/>
        <v>55950701.62</v>
      </c>
      <c r="E59" s="92">
        <f t="shared" si="47"/>
        <v>59867250.7334</v>
      </c>
      <c r="F59" s="92">
        <f t="shared" si="47"/>
        <v>64057958.284738004</v>
      </c>
      <c r="G59" s="92">
        <f t="shared" si="47"/>
        <v>68221725.57324597</v>
      </c>
      <c r="H59" s="92">
        <f t="shared" si="47"/>
        <v>72315029.10764073</v>
      </c>
      <c r="I59" s="92">
        <f t="shared" si="47"/>
        <v>76653930.85409918</v>
      </c>
      <c r="J59" s="92">
        <f t="shared" si="47"/>
        <v>81253166.70534514</v>
      </c>
      <c r="K59" s="92">
        <f t="shared" si="47"/>
        <v>86128356.70766585</v>
      </c>
      <c r="L59" s="92">
        <f t="shared" si="47"/>
        <v>91296058.11012581</v>
      </c>
      <c r="M59" s="92">
        <f>SUM(M60:M62)</f>
        <v>96773821.59673336</v>
      </c>
      <c r="N59" s="92">
        <f>SUM(N60:N62)</f>
        <v>102580250.89253737</v>
      </c>
      <c r="P59" s="191"/>
      <c r="Q59" s="191"/>
      <c r="R59" s="202"/>
      <c r="S59" s="191"/>
      <c r="T59" s="202"/>
      <c r="U59" s="191"/>
      <c r="V59" s="202"/>
      <c r="W59" s="191"/>
      <c r="X59" s="202"/>
      <c r="Y59" s="191"/>
      <c r="Z59" s="191"/>
      <c r="AA59" s="191"/>
    </row>
    <row r="60" spans="1:27" ht="12.75">
      <c r="A60" s="14" t="s">
        <v>216</v>
      </c>
      <c r="B60" s="59">
        <f>+Ingresos!G60</f>
        <v>0</v>
      </c>
      <c r="C60" s="38">
        <f>+B60*P60</f>
        <v>0</v>
      </c>
      <c r="D60" s="38">
        <v>0</v>
      </c>
      <c r="E60" s="38">
        <f aca="true" t="shared" si="48" ref="E60:N63">+D60*R60</f>
        <v>0</v>
      </c>
      <c r="F60" s="38">
        <f t="shared" si="48"/>
        <v>0</v>
      </c>
      <c r="G60" s="38">
        <f t="shared" si="48"/>
        <v>0</v>
      </c>
      <c r="H60" s="38">
        <f t="shared" si="48"/>
        <v>0</v>
      </c>
      <c r="I60" s="38">
        <f t="shared" si="48"/>
        <v>0</v>
      </c>
      <c r="J60" s="38">
        <f t="shared" si="48"/>
        <v>0</v>
      </c>
      <c r="K60" s="38">
        <f t="shared" si="48"/>
        <v>0</v>
      </c>
      <c r="L60" s="38">
        <f t="shared" si="48"/>
        <v>0</v>
      </c>
      <c r="M60" s="38">
        <f t="shared" si="48"/>
        <v>0</v>
      </c>
      <c r="N60" s="38">
        <f t="shared" si="48"/>
        <v>0</v>
      </c>
      <c r="P60" s="37">
        <f>1+(0.055)</f>
        <v>1.055</v>
      </c>
      <c r="Q60" s="37">
        <f>1+(0.05+0.025)</f>
        <v>1.075</v>
      </c>
      <c r="R60" s="41">
        <f>1+(0.045+0.025)</f>
        <v>1.07</v>
      </c>
      <c r="S60" s="37">
        <f>1+(0.04+0.03)</f>
        <v>1.07</v>
      </c>
      <c r="T60" s="41">
        <f>1+(0.035+0.03)</f>
        <v>1.065</v>
      </c>
      <c r="U60" s="37">
        <f aca="true" t="shared" si="49" ref="U60:AA63">1+(0.03+0.03)</f>
        <v>1.06</v>
      </c>
      <c r="V60" s="41">
        <f t="shared" si="49"/>
        <v>1.06</v>
      </c>
      <c r="W60" s="37">
        <f t="shared" si="49"/>
        <v>1.06</v>
      </c>
      <c r="X60" s="41">
        <f t="shared" si="49"/>
        <v>1.06</v>
      </c>
      <c r="Y60" s="37">
        <f t="shared" si="49"/>
        <v>1.06</v>
      </c>
      <c r="Z60" s="37">
        <f t="shared" si="49"/>
        <v>1.06</v>
      </c>
      <c r="AA60" s="37">
        <f t="shared" si="49"/>
        <v>1.06</v>
      </c>
    </row>
    <row r="61" spans="1:27" ht="12.75">
      <c r="A61" s="14" t="s">
        <v>217</v>
      </c>
      <c r="B61" s="59">
        <f>+Ingresos!G61</f>
        <v>3297166</v>
      </c>
      <c r="C61" s="38">
        <f>+B61*P61</f>
        <v>3478510.13</v>
      </c>
      <c r="D61" s="38">
        <f>+'[3]ACTIVA'!$L$98</f>
        <v>12754000</v>
      </c>
      <c r="E61" s="38">
        <f t="shared" si="48"/>
        <v>13646780</v>
      </c>
      <c r="F61" s="38">
        <f t="shared" si="48"/>
        <v>14602054.600000001</v>
      </c>
      <c r="G61" s="38">
        <f t="shared" si="48"/>
        <v>15551188.149</v>
      </c>
      <c r="H61" s="38">
        <f t="shared" si="48"/>
        <v>16484259.437940001</v>
      </c>
      <c r="I61" s="38">
        <f t="shared" si="48"/>
        <v>17473315.004216403</v>
      </c>
      <c r="J61" s="38">
        <f t="shared" si="48"/>
        <v>18521713.90446939</v>
      </c>
      <c r="K61" s="38">
        <f t="shared" si="48"/>
        <v>19633016.738737553</v>
      </c>
      <c r="L61" s="38">
        <f t="shared" si="48"/>
        <v>20810997.743061807</v>
      </c>
      <c r="M61" s="38">
        <f t="shared" si="48"/>
        <v>22059657.607645515</v>
      </c>
      <c r="N61" s="38">
        <f t="shared" si="48"/>
        <v>23383237.064104248</v>
      </c>
      <c r="P61" s="37">
        <f>1+(0.055)</f>
        <v>1.055</v>
      </c>
      <c r="Q61" s="37">
        <f>1+(0.05+0.025)</f>
        <v>1.075</v>
      </c>
      <c r="R61" s="41">
        <f>1+(0.045+0.025)</f>
        <v>1.07</v>
      </c>
      <c r="S61" s="37">
        <f>1+(0.04+0.03)</f>
        <v>1.07</v>
      </c>
      <c r="T61" s="41">
        <f>1+(0.035+0.03)</f>
        <v>1.065</v>
      </c>
      <c r="U61" s="37">
        <f t="shared" si="49"/>
        <v>1.06</v>
      </c>
      <c r="V61" s="41">
        <f t="shared" si="49"/>
        <v>1.06</v>
      </c>
      <c r="W61" s="37">
        <f t="shared" si="49"/>
        <v>1.06</v>
      </c>
      <c r="X61" s="41">
        <f t="shared" si="49"/>
        <v>1.06</v>
      </c>
      <c r="Y61" s="37">
        <f t="shared" si="49"/>
        <v>1.06</v>
      </c>
      <c r="Z61" s="37">
        <f t="shared" si="49"/>
        <v>1.06</v>
      </c>
      <c r="AA61" s="37">
        <f t="shared" si="49"/>
        <v>1.06</v>
      </c>
    </row>
    <row r="62" spans="1:27" ht="12.75">
      <c r="A62" s="14" t="s">
        <v>218</v>
      </c>
      <c r="B62" s="59">
        <f>+Ingresos!G62</f>
        <v>128199862.07</v>
      </c>
      <c r="C62" s="38">
        <f>+B62*P62</f>
        <v>135250854.48384997</v>
      </c>
      <c r="D62" s="38">
        <f>+'[3]ACTIVA'!$L$101+'[3]ACTIVA'!$L$115+'[3]ACTIVA'!$L$116+'[3]ACTIVA'!$L$121+'[3]ACTIVA'!$L$122+'[3]ACTIVA'!$L$128+'[3]ACTIVA'!$L$133</f>
        <v>43196701.62</v>
      </c>
      <c r="E62" s="38">
        <f t="shared" si="48"/>
        <v>46220470.7334</v>
      </c>
      <c r="F62" s="38">
        <f t="shared" si="48"/>
        <v>49455903.684738</v>
      </c>
      <c r="G62" s="38">
        <f t="shared" si="48"/>
        <v>52670537.42424597</v>
      </c>
      <c r="H62" s="38">
        <f t="shared" si="48"/>
        <v>55830769.66970073</v>
      </c>
      <c r="I62" s="38">
        <f t="shared" si="48"/>
        <v>59180615.849882774</v>
      </c>
      <c r="J62" s="38">
        <f t="shared" si="48"/>
        <v>62731452.800875746</v>
      </c>
      <c r="K62" s="38">
        <f t="shared" si="48"/>
        <v>66495339.96892829</v>
      </c>
      <c r="L62" s="38">
        <f t="shared" si="48"/>
        <v>70485060.367064</v>
      </c>
      <c r="M62" s="38">
        <f t="shared" si="48"/>
        <v>74714163.98908785</v>
      </c>
      <c r="N62" s="38">
        <f t="shared" si="48"/>
        <v>79197013.82843313</v>
      </c>
      <c r="P62" s="37">
        <f>1+(0.055)</f>
        <v>1.055</v>
      </c>
      <c r="Q62" s="37">
        <f>1+(0.05+0.025)</f>
        <v>1.075</v>
      </c>
      <c r="R62" s="41">
        <f>1+(0.045+0.025)</f>
        <v>1.07</v>
      </c>
      <c r="S62" s="37">
        <f>1+(0.04+0.03)</f>
        <v>1.07</v>
      </c>
      <c r="T62" s="41">
        <f>1+(0.035+0.03)</f>
        <v>1.065</v>
      </c>
      <c r="U62" s="37">
        <f t="shared" si="49"/>
        <v>1.06</v>
      </c>
      <c r="V62" s="41">
        <f t="shared" si="49"/>
        <v>1.06</v>
      </c>
      <c r="W62" s="37">
        <f t="shared" si="49"/>
        <v>1.06</v>
      </c>
      <c r="X62" s="41">
        <f t="shared" si="49"/>
        <v>1.06</v>
      </c>
      <c r="Y62" s="37">
        <f t="shared" si="49"/>
        <v>1.06</v>
      </c>
      <c r="Z62" s="37">
        <f t="shared" si="49"/>
        <v>1.06</v>
      </c>
      <c r="AA62" s="37">
        <f t="shared" si="49"/>
        <v>1.06</v>
      </c>
    </row>
    <row r="63" spans="1:27" ht="13.5" thickBot="1">
      <c r="A63" s="15" t="s">
        <v>57</v>
      </c>
      <c r="B63" s="59">
        <f>+Ingresos!G63</f>
        <v>20228293</v>
      </c>
      <c r="C63" s="38">
        <f>+B63*P63</f>
        <v>21340849.115</v>
      </c>
      <c r="D63" s="38">
        <f>+'[3]ACTIVA'!$L$34+'[3]ACTIVA'!$L$35+'[3]ACTIVA'!$L$37+'[3]ACTIVA'!$L$38+'[3]ACTIVA'!$L$39+'[3]ACTIVA'!$L$42+'[3]ACTIVA'!$L$43+'[3]ACTIVA'!$L$44+'[3]ACTIVA'!$L$45+'[3]ACTIVA'!$L$60+'[3]ACTIVA'!$L$40</f>
        <v>38218805.65</v>
      </c>
      <c r="E63" s="38">
        <f t="shared" si="48"/>
        <v>40894122.0455</v>
      </c>
      <c r="F63" s="38">
        <f t="shared" si="48"/>
        <v>43756710.588685006</v>
      </c>
      <c r="G63" s="38">
        <f t="shared" si="48"/>
        <v>46600896.77694953</v>
      </c>
      <c r="H63" s="38">
        <f t="shared" si="48"/>
        <v>49396950.58356651</v>
      </c>
      <c r="I63" s="38">
        <f t="shared" si="48"/>
        <v>52360767.618580505</v>
      </c>
      <c r="J63" s="38">
        <f t="shared" si="48"/>
        <v>55502413.67569534</v>
      </c>
      <c r="K63" s="38">
        <f t="shared" si="48"/>
        <v>58832558.49623706</v>
      </c>
      <c r="L63" s="38">
        <f t="shared" si="48"/>
        <v>62362512.00601129</v>
      </c>
      <c r="M63" s="38">
        <f t="shared" si="48"/>
        <v>66104262.726371974</v>
      </c>
      <c r="N63" s="38">
        <f t="shared" si="48"/>
        <v>70070518.4899543</v>
      </c>
      <c r="P63" s="37">
        <f>1+(0.055)</f>
        <v>1.055</v>
      </c>
      <c r="Q63" s="37">
        <f>1+(0.05+0.025)</f>
        <v>1.075</v>
      </c>
      <c r="R63" s="41">
        <f>1+(0.045+0.025)</f>
        <v>1.07</v>
      </c>
      <c r="S63" s="37">
        <f>1+(0.04+0.03)</f>
        <v>1.07</v>
      </c>
      <c r="T63" s="41">
        <f>1+(0.035+0.03)</f>
        <v>1.065</v>
      </c>
      <c r="U63" s="37">
        <f t="shared" si="49"/>
        <v>1.06</v>
      </c>
      <c r="V63" s="41">
        <f t="shared" si="49"/>
        <v>1.06</v>
      </c>
      <c r="W63" s="37">
        <f t="shared" si="49"/>
        <v>1.06</v>
      </c>
      <c r="X63" s="41">
        <f t="shared" si="49"/>
        <v>1.06</v>
      </c>
      <c r="Y63" s="37">
        <f t="shared" si="49"/>
        <v>1.06</v>
      </c>
      <c r="Z63" s="37">
        <f t="shared" si="49"/>
        <v>1.06</v>
      </c>
      <c r="AA63" s="37">
        <f t="shared" si="49"/>
        <v>1.06</v>
      </c>
    </row>
    <row r="64" spans="1:27" ht="13.5" thickBot="1">
      <c r="A64" s="21" t="s">
        <v>58</v>
      </c>
      <c r="B64" s="53">
        <f aca="true" t="shared" si="50" ref="B64:J64">+B65+B66+B67+B68+B73+B81+B82+B83+B86+B87+B88</f>
        <v>341338630</v>
      </c>
      <c r="C64" s="53">
        <f t="shared" si="50"/>
        <v>356063622.26</v>
      </c>
      <c r="D64" s="53">
        <f t="shared" si="50"/>
        <v>1674214416.3400002</v>
      </c>
      <c r="E64" s="53">
        <f t="shared" si="50"/>
        <v>1745392362.8086998</v>
      </c>
      <c r="F64" s="53">
        <f t="shared" si="50"/>
        <v>166422557.39759547</v>
      </c>
      <c r="G64" s="53">
        <f t="shared" si="50"/>
        <v>169005575.07361037</v>
      </c>
      <c r="H64" s="53">
        <f t="shared" si="50"/>
        <v>171576051.17134815</v>
      </c>
      <c r="I64" s="53">
        <f t="shared" si="50"/>
        <v>174132658.41691905</v>
      </c>
      <c r="J64" s="53">
        <f t="shared" si="50"/>
        <v>175130549.75661558</v>
      </c>
      <c r="K64" s="53">
        <f>+K65+K66+K67+K68+K73+K81+K82+K83+K86+K87+K88</f>
        <v>175709313.0007492</v>
      </c>
      <c r="L64" s="53">
        <f>+L65+L66+L67+L68+L73+L81+L82+L83+L86+L87+L88</f>
        <v>176297274.680829</v>
      </c>
      <c r="M64" s="53">
        <f>+M65+M66+M67+M68+M73+M81+M82+M83+M86+M87+M88</f>
        <v>176894884.12697577</v>
      </c>
      <c r="N64" s="53">
        <f>+N65+N66+N67+N68+N73+N81+N82+N83+N86+N87+N88</f>
        <v>177502615.2410074</v>
      </c>
      <c r="P64" s="191"/>
      <c r="Q64" s="191"/>
      <c r="R64" s="202"/>
      <c r="S64" s="191"/>
      <c r="T64" s="202"/>
      <c r="U64" s="191"/>
      <c r="V64" s="202"/>
      <c r="W64" s="191"/>
      <c r="X64" s="202"/>
      <c r="Y64" s="191"/>
      <c r="Z64" s="191"/>
      <c r="AA64" s="191"/>
    </row>
    <row r="65" spans="1:27" ht="12.75">
      <c r="A65" s="15" t="s">
        <v>59</v>
      </c>
      <c r="B65" s="59">
        <f>+Ingresos!G65</f>
        <v>0</v>
      </c>
      <c r="C65" s="38">
        <f>+B65*P65</f>
        <v>0</v>
      </c>
      <c r="D65" s="38">
        <v>0</v>
      </c>
      <c r="E65" s="38">
        <f aca="true" t="shared" si="51" ref="E65:N67">+D65*R65</f>
        <v>0</v>
      </c>
      <c r="F65" s="38">
        <f t="shared" si="51"/>
        <v>0</v>
      </c>
      <c r="G65" s="38">
        <f t="shared" si="51"/>
        <v>0</v>
      </c>
      <c r="H65" s="38">
        <f t="shared" si="51"/>
        <v>0</v>
      </c>
      <c r="I65" s="38">
        <f t="shared" si="51"/>
        <v>0</v>
      </c>
      <c r="J65" s="38">
        <f t="shared" si="51"/>
        <v>0</v>
      </c>
      <c r="K65" s="38">
        <f t="shared" si="51"/>
        <v>0</v>
      </c>
      <c r="L65" s="38">
        <f t="shared" si="51"/>
        <v>0</v>
      </c>
      <c r="M65" s="38">
        <f t="shared" si="51"/>
        <v>0</v>
      </c>
      <c r="N65" s="38">
        <f t="shared" si="51"/>
        <v>0</v>
      </c>
      <c r="P65" s="37">
        <f>1+(0.055)</f>
        <v>1.055</v>
      </c>
      <c r="Q65" s="37">
        <f>1+(0.05+0.025)</f>
        <v>1.075</v>
      </c>
      <c r="R65" s="41">
        <f>1+(0.045+0.025)</f>
        <v>1.07</v>
      </c>
      <c r="S65" s="37">
        <f>1+(0.04+0.03)</f>
        <v>1.07</v>
      </c>
      <c r="T65" s="41">
        <f>1+(0.035+0.03)</f>
        <v>1.065</v>
      </c>
      <c r="U65" s="37">
        <f aca="true" t="shared" si="52" ref="U65:AA65">1+(0.03+0.03)</f>
        <v>1.06</v>
      </c>
      <c r="V65" s="41">
        <f t="shared" si="52"/>
        <v>1.06</v>
      </c>
      <c r="W65" s="37">
        <f t="shared" si="52"/>
        <v>1.06</v>
      </c>
      <c r="X65" s="41">
        <f t="shared" si="52"/>
        <v>1.06</v>
      </c>
      <c r="Y65" s="37">
        <f t="shared" si="52"/>
        <v>1.06</v>
      </c>
      <c r="Z65" s="37">
        <f t="shared" si="52"/>
        <v>1.06</v>
      </c>
      <c r="AA65" s="37">
        <f t="shared" si="52"/>
        <v>1.06</v>
      </c>
    </row>
    <row r="66" spans="1:27" ht="12.75">
      <c r="A66" s="15" t="s">
        <v>235</v>
      </c>
      <c r="B66" s="59">
        <f>+Ingresos!G66</f>
        <v>59019000</v>
      </c>
      <c r="C66" s="38">
        <f>+B66*P66</f>
        <v>62265045</v>
      </c>
      <c r="D66" s="38">
        <v>0</v>
      </c>
      <c r="E66" s="38">
        <f t="shared" si="51"/>
        <v>0</v>
      </c>
      <c r="F66" s="38">
        <f t="shared" si="51"/>
        <v>0</v>
      </c>
      <c r="G66" s="38">
        <f t="shared" si="51"/>
        <v>0</v>
      </c>
      <c r="H66" s="38">
        <f t="shared" si="51"/>
        <v>0</v>
      </c>
      <c r="I66" s="38">
        <f t="shared" si="51"/>
        <v>0</v>
      </c>
      <c r="J66" s="38">
        <f t="shared" si="51"/>
        <v>0</v>
      </c>
      <c r="K66" s="38">
        <f t="shared" si="51"/>
        <v>0</v>
      </c>
      <c r="L66" s="38">
        <f t="shared" si="51"/>
        <v>0</v>
      </c>
      <c r="M66" s="38">
        <f t="shared" si="51"/>
        <v>0</v>
      </c>
      <c r="N66" s="38">
        <f t="shared" si="51"/>
        <v>0</v>
      </c>
      <c r="P66" s="37">
        <f>1+(0.055)</f>
        <v>1.055</v>
      </c>
      <c r="Q66" s="37">
        <f>1+(0.05+0.025)</f>
        <v>1.075</v>
      </c>
      <c r="R66" s="34">
        <f aca="true" t="shared" si="53" ref="R66:AA66">1+(0.05+0.025)</f>
        <v>1.075</v>
      </c>
      <c r="S66" s="37">
        <f t="shared" si="53"/>
        <v>1.075</v>
      </c>
      <c r="T66" s="34">
        <f t="shared" si="53"/>
        <v>1.075</v>
      </c>
      <c r="U66" s="37">
        <f t="shared" si="53"/>
        <v>1.075</v>
      </c>
      <c r="V66" s="34">
        <f t="shared" si="53"/>
        <v>1.075</v>
      </c>
      <c r="W66" s="37">
        <f t="shared" si="53"/>
        <v>1.075</v>
      </c>
      <c r="X66" s="34">
        <f t="shared" si="53"/>
        <v>1.075</v>
      </c>
      <c r="Y66" s="37">
        <f t="shared" si="53"/>
        <v>1.075</v>
      </c>
      <c r="Z66" s="37">
        <f t="shared" si="53"/>
        <v>1.075</v>
      </c>
      <c r="AA66" s="37">
        <f t="shared" si="53"/>
        <v>1.075</v>
      </c>
    </row>
    <row r="67" spans="1:27" ht="12.75">
      <c r="A67" s="15" t="s">
        <v>234</v>
      </c>
      <c r="B67" s="59">
        <f>+Ingresos!G67</f>
        <v>12410804</v>
      </c>
      <c r="C67" s="38">
        <f>+B67*P67</f>
        <v>13093398.219999999</v>
      </c>
      <c r="D67" s="38">
        <f>+'[3]ACTIVA'!$L$95</f>
        <v>1946931</v>
      </c>
      <c r="E67" s="38">
        <f t="shared" si="51"/>
        <v>2054012.2049999998</v>
      </c>
      <c r="F67" s="38">
        <f t="shared" si="51"/>
        <v>2166982.8762749997</v>
      </c>
      <c r="G67" s="38">
        <f t="shared" si="51"/>
        <v>2286166.9344701245</v>
      </c>
      <c r="H67" s="38">
        <f t="shared" si="51"/>
        <v>2411906.115865981</v>
      </c>
      <c r="I67" s="38">
        <f t="shared" si="51"/>
        <v>2544560.95223861</v>
      </c>
      <c r="J67" s="38">
        <f t="shared" si="51"/>
        <v>2684511.804611733</v>
      </c>
      <c r="K67" s="38">
        <f t="shared" si="51"/>
        <v>2832159.953865378</v>
      </c>
      <c r="L67" s="38">
        <f t="shared" si="51"/>
        <v>2987928.751327974</v>
      </c>
      <c r="M67" s="38">
        <f t="shared" si="51"/>
        <v>3152264.832651012</v>
      </c>
      <c r="N67" s="38">
        <f t="shared" si="51"/>
        <v>3325639.3984468174</v>
      </c>
      <c r="P67" s="37">
        <f>1+(0.055)</f>
        <v>1.055</v>
      </c>
      <c r="Q67" s="37">
        <f aca="true" t="shared" si="54" ref="Q67:AA67">1+(0.055)</f>
        <v>1.055</v>
      </c>
      <c r="R67" s="41">
        <f t="shared" si="54"/>
        <v>1.055</v>
      </c>
      <c r="S67" s="37">
        <f t="shared" si="54"/>
        <v>1.055</v>
      </c>
      <c r="T67" s="41">
        <f t="shared" si="54"/>
        <v>1.055</v>
      </c>
      <c r="U67" s="37">
        <f t="shared" si="54"/>
        <v>1.055</v>
      </c>
      <c r="V67" s="41">
        <f t="shared" si="54"/>
        <v>1.055</v>
      </c>
      <c r="W67" s="37">
        <f t="shared" si="54"/>
        <v>1.055</v>
      </c>
      <c r="X67" s="41">
        <f t="shared" si="54"/>
        <v>1.055</v>
      </c>
      <c r="Y67" s="37">
        <f t="shared" si="54"/>
        <v>1.055</v>
      </c>
      <c r="Z67" s="37">
        <f t="shared" si="54"/>
        <v>1.055</v>
      </c>
      <c r="AA67" s="37">
        <f t="shared" si="54"/>
        <v>1.055</v>
      </c>
    </row>
    <row r="68" spans="1:27" ht="12.75">
      <c r="A68" s="124" t="s">
        <v>61</v>
      </c>
      <c r="B68" s="137">
        <f aca="true" t="shared" si="55" ref="B68:J68">+B69+B72</f>
        <v>0</v>
      </c>
      <c r="C68" s="137">
        <f t="shared" si="55"/>
        <v>0</v>
      </c>
      <c r="D68" s="137">
        <f t="shared" si="55"/>
        <v>0</v>
      </c>
      <c r="E68" s="137">
        <f t="shared" si="55"/>
        <v>0</v>
      </c>
      <c r="F68" s="137">
        <f t="shared" si="55"/>
        <v>0</v>
      </c>
      <c r="G68" s="137">
        <f t="shared" si="55"/>
        <v>0</v>
      </c>
      <c r="H68" s="137">
        <f t="shared" si="55"/>
        <v>0</v>
      </c>
      <c r="I68" s="137">
        <f t="shared" si="55"/>
        <v>0</v>
      </c>
      <c r="J68" s="137">
        <f t="shared" si="55"/>
        <v>0</v>
      </c>
      <c r="K68" s="137">
        <f>+K69+K72</f>
        <v>0</v>
      </c>
      <c r="L68" s="137">
        <f>+L69+L72</f>
        <v>0</v>
      </c>
      <c r="M68" s="137">
        <f>+M69+M72</f>
        <v>0</v>
      </c>
      <c r="N68" s="137">
        <f>+N69+N72</f>
        <v>0</v>
      </c>
      <c r="P68" s="191"/>
      <c r="Q68" s="191"/>
      <c r="R68" s="202"/>
      <c r="S68" s="191"/>
      <c r="T68" s="202"/>
      <c r="U68" s="191"/>
      <c r="V68" s="202"/>
      <c r="W68" s="191"/>
      <c r="X68" s="202"/>
      <c r="Y68" s="191"/>
      <c r="Z68" s="191"/>
      <c r="AA68" s="191"/>
    </row>
    <row r="69" spans="1:27" ht="12.75">
      <c r="A69" s="15" t="s">
        <v>62</v>
      </c>
      <c r="B69" s="63">
        <f aca="true" t="shared" si="56" ref="B69:L69">SUM(B70:B71)</f>
        <v>0</v>
      </c>
      <c r="C69" s="81">
        <f t="shared" si="56"/>
        <v>0</v>
      </c>
      <c r="D69" s="81">
        <f t="shared" si="56"/>
        <v>0</v>
      </c>
      <c r="E69" s="81">
        <f t="shared" si="56"/>
        <v>0</v>
      </c>
      <c r="F69" s="81">
        <f t="shared" si="56"/>
        <v>0</v>
      </c>
      <c r="G69" s="81">
        <f t="shared" si="56"/>
        <v>0</v>
      </c>
      <c r="H69" s="81">
        <f t="shared" si="56"/>
        <v>0</v>
      </c>
      <c r="I69" s="81">
        <f t="shared" si="56"/>
        <v>0</v>
      </c>
      <c r="J69" s="81">
        <f t="shared" si="56"/>
        <v>0</v>
      </c>
      <c r="K69" s="81">
        <f t="shared" si="56"/>
        <v>0</v>
      </c>
      <c r="L69" s="81">
        <f t="shared" si="56"/>
        <v>0</v>
      </c>
      <c r="M69" s="81">
        <f>SUM(M70:M71)</f>
        <v>0</v>
      </c>
      <c r="N69" s="81">
        <f>SUM(N70:N71)</f>
        <v>0</v>
      </c>
      <c r="P69" s="191"/>
      <c r="Q69" s="191"/>
      <c r="R69" s="202"/>
      <c r="S69" s="191"/>
      <c r="T69" s="202"/>
      <c r="U69" s="191"/>
      <c r="V69" s="202"/>
      <c r="W69" s="191"/>
      <c r="X69" s="202"/>
      <c r="Y69" s="191"/>
      <c r="Z69" s="191"/>
      <c r="AA69" s="191"/>
    </row>
    <row r="70" spans="1:27" ht="12.75">
      <c r="A70" s="15" t="s">
        <v>63</v>
      </c>
      <c r="B70" s="59">
        <f>+Ingresos!G70</f>
        <v>0</v>
      </c>
      <c r="C70" s="38">
        <f>+B70*P70</f>
        <v>0</v>
      </c>
      <c r="D70" s="38">
        <v>0</v>
      </c>
      <c r="E70" s="38">
        <f aca="true" t="shared" si="57" ref="E70:N72">+D70*R70</f>
        <v>0</v>
      </c>
      <c r="F70" s="38">
        <f t="shared" si="57"/>
        <v>0</v>
      </c>
      <c r="G70" s="38">
        <f t="shared" si="57"/>
        <v>0</v>
      </c>
      <c r="H70" s="38">
        <f t="shared" si="57"/>
        <v>0</v>
      </c>
      <c r="I70" s="38">
        <f t="shared" si="57"/>
        <v>0</v>
      </c>
      <c r="J70" s="38">
        <f t="shared" si="57"/>
        <v>0</v>
      </c>
      <c r="K70" s="38">
        <f t="shared" si="57"/>
        <v>0</v>
      </c>
      <c r="L70" s="38">
        <f t="shared" si="57"/>
        <v>0</v>
      </c>
      <c r="M70" s="38">
        <f t="shared" si="57"/>
        <v>0</v>
      </c>
      <c r="N70" s="38">
        <f t="shared" si="57"/>
        <v>0</v>
      </c>
      <c r="P70" s="191"/>
      <c r="Q70" s="191"/>
      <c r="R70" s="202"/>
      <c r="S70" s="191"/>
      <c r="T70" s="202"/>
      <c r="U70" s="191"/>
      <c r="V70" s="202"/>
      <c r="W70" s="191"/>
      <c r="X70" s="202"/>
      <c r="Y70" s="191"/>
      <c r="Z70" s="191"/>
      <c r="AA70" s="191"/>
    </row>
    <row r="71" spans="1:27" ht="12.75">
      <c r="A71" s="15" t="s">
        <v>219</v>
      </c>
      <c r="B71" s="59">
        <f>+Ingresos!G71</f>
        <v>0</v>
      </c>
      <c r="C71" s="38">
        <f>+B71*P71</f>
        <v>0</v>
      </c>
      <c r="D71" s="38">
        <v>0</v>
      </c>
      <c r="E71" s="38">
        <f t="shared" si="57"/>
        <v>0</v>
      </c>
      <c r="F71" s="38">
        <f t="shared" si="57"/>
        <v>0</v>
      </c>
      <c r="G71" s="38">
        <f t="shared" si="57"/>
        <v>0</v>
      </c>
      <c r="H71" s="38">
        <f t="shared" si="57"/>
        <v>0</v>
      </c>
      <c r="I71" s="38">
        <f t="shared" si="57"/>
        <v>0</v>
      </c>
      <c r="J71" s="38">
        <f t="shared" si="57"/>
        <v>0</v>
      </c>
      <c r="K71" s="38">
        <f t="shared" si="57"/>
        <v>0</v>
      </c>
      <c r="L71" s="38">
        <f t="shared" si="57"/>
        <v>0</v>
      </c>
      <c r="M71" s="38">
        <f t="shared" si="57"/>
        <v>0</v>
      </c>
      <c r="N71" s="38">
        <f t="shared" si="57"/>
        <v>0</v>
      </c>
      <c r="P71" s="191"/>
      <c r="Q71" s="191"/>
      <c r="R71" s="202"/>
      <c r="S71" s="191"/>
      <c r="T71" s="202"/>
      <c r="U71" s="191"/>
      <c r="V71" s="202"/>
      <c r="W71" s="191"/>
      <c r="X71" s="202"/>
      <c r="Y71" s="191"/>
      <c r="Z71" s="191"/>
      <c r="AA71" s="191"/>
    </row>
    <row r="72" spans="1:27" ht="12.75">
      <c r="A72" s="15" t="s">
        <v>220</v>
      </c>
      <c r="B72" s="59">
        <f>+Ingresos!G72</f>
        <v>0</v>
      </c>
      <c r="C72" s="38">
        <f>+B72*P72</f>
        <v>0</v>
      </c>
      <c r="D72" s="38">
        <v>0</v>
      </c>
      <c r="E72" s="38">
        <f t="shared" si="57"/>
        <v>0</v>
      </c>
      <c r="F72" s="38">
        <f t="shared" si="57"/>
        <v>0</v>
      </c>
      <c r="G72" s="38">
        <f t="shared" si="57"/>
        <v>0</v>
      </c>
      <c r="H72" s="38">
        <f t="shared" si="57"/>
        <v>0</v>
      </c>
      <c r="I72" s="38">
        <f t="shared" si="57"/>
        <v>0</v>
      </c>
      <c r="J72" s="38">
        <f t="shared" si="57"/>
        <v>0</v>
      </c>
      <c r="K72" s="38">
        <f t="shared" si="57"/>
        <v>0</v>
      </c>
      <c r="L72" s="38">
        <f t="shared" si="57"/>
        <v>0</v>
      </c>
      <c r="M72" s="38">
        <f t="shared" si="57"/>
        <v>0</v>
      </c>
      <c r="N72" s="38">
        <f t="shared" si="57"/>
        <v>0</v>
      </c>
      <c r="P72" s="191"/>
      <c r="Q72" s="191"/>
      <c r="R72" s="202"/>
      <c r="S72" s="191"/>
      <c r="T72" s="202"/>
      <c r="U72" s="191"/>
      <c r="V72" s="202"/>
      <c r="W72" s="191"/>
      <c r="X72" s="202"/>
      <c r="Y72" s="191"/>
      <c r="Z72" s="191"/>
      <c r="AA72" s="191"/>
    </row>
    <row r="73" spans="1:27" ht="12.75">
      <c r="A73" s="125" t="s">
        <v>64</v>
      </c>
      <c r="B73" s="137">
        <f aca="true" t="shared" si="58" ref="B73:L73">SUM(B74:B80)</f>
        <v>248726885</v>
      </c>
      <c r="C73" s="137">
        <f t="shared" si="58"/>
        <v>258675960.40000004</v>
      </c>
      <c r="D73" s="137">
        <f t="shared" si="58"/>
        <v>1651138525.6200001</v>
      </c>
      <c r="E73" s="137">
        <f t="shared" si="58"/>
        <v>1721681166.8906999</v>
      </c>
      <c r="F73" s="137">
        <f t="shared" si="58"/>
        <v>142165247.13406047</v>
      </c>
      <c r="G73" s="137">
        <f t="shared" si="58"/>
        <v>144297725.84107137</v>
      </c>
      <c r="H73" s="137">
        <f t="shared" si="58"/>
        <v>146462191.72868744</v>
      </c>
      <c r="I73" s="137">
        <f t="shared" si="58"/>
        <v>148659124.60461774</v>
      </c>
      <c r="J73" s="137">
        <f t="shared" si="58"/>
        <v>149402420.2276408</v>
      </c>
      <c r="K73" s="137">
        <f t="shared" si="58"/>
        <v>149775926.2782099</v>
      </c>
      <c r="L73" s="137">
        <f t="shared" si="58"/>
        <v>150150366.09390542</v>
      </c>
      <c r="M73" s="137">
        <f>SUM(M74:M80)</f>
        <v>150525742.00914016</v>
      </c>
      <c r="N73" s="137">
        <f>SUM(N74:N80)</f>
        <v>150902056.364163</v>
      </c>
      <c r="P73" s="191"/>
      <c r="Q73" s="191"/>
      <c r="R73" s="202"/>
      <c r="S73" s="191"/>
      <c r="T73" s="202"/>
      <c r="U73" s="191"/>
      <c r="V73" s="202"/>
      <c r="W73" s="191"/>
      <c r="X73" s="202"/>
      <c r="Y73" s="191"/>
      <c r="Z73" s="191"/>
      <c r="AA73" s="191"/>
    </row>
    <row r="74" spans="1:27" ht="12.75">
      <c r="A74" s="15" t="s">
        <v>65</v>
      </c>
      <c r="B74" s="59">
        <f>+Ingresos!G74</f>
        <v>110994701</v>
      </c>
      <c r="C74" s="38">
        <f aca="true" t="shared" si="59" ref="C74:C82">+B74*P74</f>
        <v>115434489.04</v>
      </c>
      <c r="D74" s="38">
        <v>558113619</v>
      </c>
      <c r="E74" s="38">
        <f>957769606+623847278</f>
        <v>1581616884</v>
      </c>
      <c r="F74" s="38">
        <v>0</v>
      </c>
      <c r="G74" s="38">
        <f aca="true" t="shared" si="60" ref="G74:G82">+F74*T74</f>
        <v>0</v>
      </c>
      <c r="H74" s="38">
        <f aca="true" t="shared" si="61" ref="H74:H82">+G74*U74</f>
        <v>0</v>
      </c>
      <c r="I74" s="38">
        <f aca="true" t="shared" si="62" ref="I74:I82">+H74*V74</f>
        <v>0</v>
      </c>
      <c r="J74" s="38">
        <f aca="true" t="shared" si="63" ref="J74:J82">+I74*W74</f>
        <v>0</v>
      </c>
      <c r="K74" s="38">
        <f aca="true" t="shared" si="64" ref="K74:K82">+J74*X74</f>
        <v>0</v>
      </c>
      <c r="L74" s="38">
        <f aca="true" t="shared" si="65" ref="L74:L82">+K74*Y74</f>
        <v>0</v>
      </c>
      <c r="M74" s="38">
        <f aca="true" t="shared" si="66" ref="M74:M82">+L74*Z74</f>
        <v>0</v>
      </c>
      <c r="N74" s="38">
        <f aca="true" t="shared" si="67" ref="N74:N82">+M74*AA74</f>
        <v>0</v>
      </c>
      <c r="P74" s="37">
        <f>1+(0.04)</f>
        <v>1.04</v>
      </c>
      <c r="Q74" s="37">
        <f>1+(0.03)</f>
        <v>1.03</v>
      </c>
      <c r="R74" s="41">
        <f>1+(0.025)</f>
        <v>1.025</v>
      </c>
      <c r="S74" s="37">
        <f>1+(0.02)</f>
        <v>1.02</v>
      </c>
      <c r="T74" s="41">
        <f>1+(0.015)</f>
        <v>1.015</v>
      </c>
      <c r="U74" s="37">
        <f>1+(0.0125)</f>
        <v>1.0125</v>
      </c>
      <c r="V74" s="41">
        <f>1+(0.01)</f>
        <v>1.01</v>
      </c>
      <c r="W74" s="37">
        <f>1+(0.005)</f>
        <v>1.005</v>
      </c>
      <c r="X74" s="41">
        <f>1+(0.0025)</f>
        <v>1.0025</v>
      </c>
      <c r="Y74" s="37">
        <f aca="true" t="shared" si="68" ref="Y74:AA82">1+(0.0025)</f>
        <v>1.0025</v>
      </c>
      <c r="Z74" s="37">
        <f t="shared" si="68"/>
        <v>1.0025</v>
      </c>
      <c r="AA74" s="37">
        <f t="shared" si="68"/>
        <v>1.0025</v>
      </c>
    </row>
    <row r="75" spans="1:27" ht="12.75">
      <c r="A75" s="15" t="s">
        <v>66</v>
      </c>
      <c r="B75" s="59">
        <f>+Ingresos!G75</f>
        <v>62245337</v>
      </c>
      <c r="C75" s="38">
        <f t="shared" si="59"/>
        <v>64735150.480000004</v>
      </c>
      <c r="D75" s="38">
        <f>+'[3]ACTIVA'!$L$20+'[3]ACTIVA'!$L$26+'[3]ACTIVA'!$L$41+'[3]ACTIVA'!$L$46+'[3]ACTIVA'!$L$124+'[3]ACTIVA'!$L$130+'[3]ACTIVA'!$L$135</f>
        <v>137994367.38</v>
      </c>
      <c r="E75" s="38">
        <f aca="true" t="shared" si="69" ref="E75:F77">+D75*R75</f>
        <v>140064282.89069998</v>
      </c>
      <c r="F75" s="38">
        <f t="shared" si="69"/>
        <v>142165247.13406047</v>
      </c>
      <c r="G75" s="38">
        <f t="shared" si="60"/>
        <v>144297725.84107137</v>
      </c>
      <c r="H75" s="38">
        <f t="shared" si="61"/>
        <v>146462191.72868744</v>
      </c>
      <c r="I75" s="38">
        <f t="shared" si="62"/>
        <v>148659124.60461774</v>
      </c>
      <c r="J75" s="38">
        <f t="shared" si="63"/>
        <v>149402420.2276408</v>
      </c>
      <c r="K75" s="38">
        <f t="shared" si="64"/>
        <v>149775926.2782099</v>
      </c>
      <c r="L75" s="38">
        <f t="shared" si="65"/>
        <v>150150366.09390542</v>
      </c>
      <c r="M75" s="38">
        <f t="shared" si="66"/>
        <v>150525742.00914016</v>
      </c>
      <c r="N75" s="38">
        <f t="shared" si="67"/>
        <v>150902056.364163</v>
      </c>
      <c r="P75" s="37">
        <f aca="true" t="shared" si="70" ref="P75:P82">1+(0.04)</f>
        <v>1.04</v>
      </c>
      <c r="Q75" s="37">
        <f>1+(0.015)</f>
        <v>1.015</v>
      </c>
      <c r="R75" s="34">
        <f>1+(0.015)</f>
        <v>1.015</v>
      </c>
      <c r="S75" s="37">
        <f>1+(0.015)</f>
        <v>1.015</v>
      </c>
      <c r="T75" s="34">
        <f>1+(0.015)</f>
        <v>1.015</v>
      </c>
      <c r="U75" s="37">
        <f>1+(0.015)</f>
        <v>1.015</v>
      </c>
      <c r="V75" s="34">
        <f>1+(0.015)</f>
        <v>1.015</v>
      </c>
      <c r="W75" s="37">
        <f aca="true" t="shared" si="71" ref="W75:W82">1+(0.005)</f>
        <v>1.005</v>
      </c>
      <c r="X75" s="41">
        <f aca="true" t="shared" si="72" ref="X75:X82">1+(0.0025)</f>
        <v>1.0025</v>
      </c>
      <c r="Y75" s="37">
        <f t="shared" si="68"/>
        <v>1.0025</v>
      </c>
      <c r="Z75" s="37">
        <f t="shared" si="68"/>
        <v>1.0025</v>
      </c>
      <c r="AA75" s="37">
        <f t="shared" si="68"/>
        <v>1.0025</v>
      </c>
    </row>
    <row r="76" spans="1:27" ht="12.75">
      <c r="A76" s="15" t="s">
        <v>221</v>
      </c>
      <c r="B76" s="59">
        <f>+Ingresos!G76</f>
        <v>6631566</v>
      </c>
      <c r="C76" s="38">
        <f t="shared" si="59"/>
        <v>6896828.640000001</v>
      </c>
      <c r="D76" s="38">
        <v>0</v>
      </c>
      <c r="E76" s="38">
        <f t="shared" si="69"/>
        <v>0</v>
      </c>
      <c r="F76" s="38">
        <f t="shared" si="69"/>
        <v>0</v>
      </c>
      <c r="G76" s="38">
        <f t="shared" si="60"/>
        <v>0</v>
      </c>
      <c r="H76" s="38">
        <f t="shared" si="61"/>
        <v>0</v>
      </c>
      <c r="I76" s="38">
        <f t="shared" si="62"/>
        <v>0</v>
      </c>
      <c r="J76" s="38">
        <f t="shared" si="63"/>
        <v>0</v>
      </c>
      <c r="K76" s="38">
        <f t="shared" si="64"/>
        <v>0</v>
      </c>
      <c r="L76" s="38">
        <f t="shared" si="65"/>
        <v>0</v>
      </c>
      <c r="M76" s="38">
        <f t="shared" si="66"/>
        <v>0</v>
      </c>
      <c r="N76" s="38">
        <f t="shared" si="67"/>
        <v>0</v>
      </c>
      <c r="P76" s="37">
        <f t="shared" si="70"/>
        <v>1.04</v>
      </c>
      <c r="Q76" s="37">
        <f aca="true" t="shared" si="73" ref="Q76:Q82">1+(0.03)</f>
        <v>1.03</v>
      </c>
      <c r="R76" s="41">
        <f aca="true" t="shared" si="74" ref="R76:R82">1+(0.025)</f>
        <v>1.025</v>
      </c>
      <c r="S76" s="37">
        <f aca="true" t="shared" si="75" ref="S76:S82">1+(0.02)</f>
        <v>1.02</v>
      </c>
      <c r="T76" s="41">
        <f aca="true" t="shared" si="76" ref="T76:T82">1+(0.015)</f>
        <v>1.015</v>
      </c>
      <c r="U76" s="37">
        <f aca="true" t="shared" si="77" ref="U76:U82">1+(0.0125)</f>
        <v>1.0125</v>
      </c>
      <c r="V76" s="41">
        <f aca="true" t="shared" si="78" ref="V76:V82">1+(0.01)</f>
        <v>1.01</v>
      </c>
      <c r="W76" s="37">
        <f t="shared" si="71"/>
        <v>1.005</v>
      </c>
      <c r="X76" s="41">
        <f t="shared" si="72"/>
        <v>1.0025</v>
      </c>
      <c r="Y76" s="37">
        <f t="shared" si="68"/>
        <v>1.0025</v>
      </c>
      <c r="Z76" s="37">
        <f t="shared" si="68"/>
        <v>1.0025</v>
      </c>
      <c r="AA76" s="37">
        <f t="shared" si="68"/>
        <v>1.0025</v>
      </c>
    </row>
    <row r="77" spans="1:27" ht="12.75">
      <c r="A77" s="15" t="s">
        <v>67</v>
      </c>
      <c r="B77" s="59">
        <f>+Ingresos!G77</f>
        <v>0</v>
      </c>
      <c r="C77" s="38">
        <f t="shared" si="59"/>
        <v>0</v>
      </c>
      <c r="D77" s="38">
        <f>+'[3]ACTIVA'!$L$137</f>
        <v>604165167.06</v>
      </c>
      <c r="E77" s="38">
        <f t="shared" si="69"/>
        <v>0</v>
      </c>
      <c r="F77" s="38">
        <f t="shared" si="69"/>
        <v>0</v>
      </c>
      <c r="G77" s="38">
        <f t="shared" si="60"/>
        <v>0</v>
      </c>
      <c r="H77" s="38">
        <f t="shared" si="61"/>
        <v>0</v>
      </c>
      <c r="I77" s="38">
        <f t="shared" si="62"/>
        <v>0</v>
      </c>
      <c r="J77" s="38">
        <f t="shared" si="63"/>
        <v>0</v>
      </c>
      <c r="K77" s="38">
        <f t="shared" si="64"/>
        <v>0</v>
      </c>
      <c r="L77" s="38">
        <f t="shared" si="65"/>
        <v>0</v>
      </c>
      <c r="M77" s="38">
        <f t="shared" si="66"/>
        <v>0</v>
      </c>
      <c r="N77" s="38">
        <f t="shared" si="67"/>
        <v>0</v>
      </c>
      <c r="P77" s="37">
        <f t="shared" si="70"/>
        <v>1.04</v>
      </c>
      <c r="Q77" s="37">
        <v>0</v>
      </c>
      <c r="R77" s="41">
        <v>0</v>
      </c>
      <c r="S77" s="37">
        <v>0</v>
      </c>
      <c r="T77" s="41">
        <v>0</v>
      </c>
      <c r="U77" s="37">
        <v>0</v>
      </c>
      <c r="V77" s="41">
        <v>0</v>
      </c>
      <c r="W77" s="37">
        <v>0</v>
      </c>
      <c r="X77" s="41">
        <v>0</v>
      </c>
      <c r="Y77" s="37">
        <v>0</v>
      </c>
      <c r="Z77" s="37">
        <v>1</v>
      </c>
      <c r="AA77" s="37">
        <v>2</v>
      </c>
    </row>
    <row r="78" spans="1:27" ht="12.75">
      <c r="A78" s="15" t="s">
        <v>68</v>
      </c>
      <c r="B78" s="59">
        <f>+Ingresos!G78</f>
        <v>4501081</v>
      </c>
      <c r="C78" s="38">
        <f t="shared" si="59"/>
        <v>4681124.24</v>
      </c>
      <c r="D78" s="38">
        <f>+'[3]ACTIVA'!$L$136+'[3]ACTIVA'!$L$131+'[3]ACTIVA'!$L$125+'[3]ACTIVA'!$L$118+'[3]ACTIVA'!$L$99+'[3]ACTIVA'!$L$96+'[3]ACTIVA'!$L$73+'[3]ACTIVA'!$L$71+'[3]ACTIVA'!$L$66+'[3]ACTIVA'!$L$65+'[3]ACTIVA'!$L$64+'[3]ACTIVA'!$L$56+'[3]ACTIVA'!$L$55+'[3]ACTIVA'!$L$54</f>
        <v>350865372.18</v>
      </c>
      <c r="E78" s="38">
        <v>0</v>
      </c>
      <c r="F78" s="38">
        <f>+E78*S78</f>
        <v>0</v>
      </c>
      <c r="G78" s="38">
        <f t="shared" si="60"/>
        <v>0</v>
      </c>
      <c r="H78" s="38">
        <f t="shared" si="61"/>
        <v>0</v>
      </c>
      <c r="I78" s="38">
        <f t="shared" si="62"/>
        <v>0</v>
      </c>
      <c r="J78" s="38">
        <f t="shared" si="63"/>
        <v>0</v>
      </c>
      <c r="K78" s="38">
        <f t="shared" si="64"/>
        <v>0</v>
      </c>
      <c r="L78" s="38">
        <f t="shared" si="65"/>
        <v>0</v>
      </c>
      <c r="M78" s="38">
        <f t="shared" si="66"/>
        <v>0</v>
      </c>
      <c r="N78" s="38">
        <f t="shared" si="67"/>
        <v>0</v>
      </c>
      <c r="P78" s="37">
        <f t="shared" si="70"/>
        <v>1.04</v>
      </c>
      <c r="Q78" s="37">
        <f t="shared" si="73"/>
        <v>1.03</v>
      </c>
      <c r="R78" s="41">
        <f t="shared" si="74"/>
        <v>1.025</v>
      </c>
      <c r="S78" s="37">
        <f t="shared" si="75"/>
        <v>1.02</v>
      </c>
      <c r="T78" s="41">
        <f t="shared" si="76"/>
        <v>1.015</v>
      </c>
      <c r="U78" s="37">
        <f t="shared" si="77"/>
        <v>1.0125</v>
      </c>
      <c r="V78" s="41">
        <f t="shared" si="78"/>
        <v>1.01</v>
      </c>
      <c r="W78" s="37">
        <f t="shared" si="71"/>
        <v>1.005</v>
      </c>
      <c r="X78" s="41">
        <f t="shared" si="72"/>
        <v>1.0025</v>
      </c>
      <c r="Y78" s="37">
        <f t="shared" si="68"/>
        <v>1.0025</v>
      </c>
      <c r="Z78" s="37">
        <f t="shared" si="68"/>
        <v>1.0025</v>
      </c>
      <c r="AA78" s="37">
        <f t="shared" si="68"/>
        <v>1.0025</v>
      </c>
    </row>
    <row r="79" spans="1:27" ht="12.75">
      <c r="A79" s="15" t="s">
        <v>69</v>
      </c>
      <c r="B79" s="59">
        <f>+Ingresos!G79</f>
        <v>0</v>
      </c>
      <c r="C79" s="38">
        <f t="shared" si="59"/>
        <v>0</v>
      </c>
      <c r="D79" s="38">
        <v>0</v>
      </c>
      <c r="E79" s="38">
        <f>+D79*R79</f>
        <v>0</v>
      </c>
      <c r="F79" s="38">
        <f>+E79*S79</f>
        <v>0</v>
      </c>
      <c r="G79" s="38">
        <f t="shared" si="60"/>
        <v>0</v>
      </c>
      <c r="H79" s="38">
        <f t="shared" si="61"/>
        <v>0</v>
      </c>
      <c r="I79" s="38">
        <f t="shared" si="62"/>
        <v>0</v>
      </c>
      <c r="J79" s="38">
        <f t="shared" si="63"/>
        <v>0</v>
      </c>
      <c r="K79" s="38">
        <f t="shared" si="64"/>
        <v>0</v>
      </c>
      <c r="L79" s="38">
        <f t="shared" si="65"/>
        <v>0</v>
      </c>
      <c r="M79" s="38">
        <f t="shared" si="66"/>
        <v>0</v>
      </c>
      <c r="N79" s="38">
        <f t="shared" si="67"/>
        <v>0</v>
      </c>
      <c r="P79" s="37">
        <f t="shared" si="70"/>
        <v>1.04</v>
      </c>
      <c r="Q79" s="37">
        <f t="shared" si="73"/>
        <v>1.03</v>
      </c>
      <c r="R79" s="41">
        <f t="shared" si="74"/>
        <v>1.025</v>
      </c>
      <c r="S79" s="37">
        <f t="shared" si="75"/>
        <v>1.02</v>
      </c>
      <c r="T79" s="41">
        <f t="shared" si="76"/>
        <v>1.015</v>
      </c>
      <c r="U79" s="37">
        <f t="shared" si="77"/>
        <v>1.0125</v>
      </c>
      <c r="V79" s="41">
        <f t="shared" si="78"/>
        <v>1.01</v>
      </c>
      <c r="W79" s="37">
        <f t="shared" si="71"/>
        <v>1.005</v>
      </c>
      <c r="X79" s="41">
        <f t="shared" si="72"/>
        <v>1.0025</v>
      </c>
      <c r="Y79" s="37">
        <f t="shared" si="68"/>
        <v>1.0025</v>
      </c>
      <c r="Z79" s="37">
        <f t="shared" si="68"/>
        <v>1.0025</v>
      </c>
      <c r="AA79" s="37">
        <f t="shared" si="68"/>
        <v>1.0025</v>
      </c>
    </row>
    <row r="80" spans="1:27" ht="12.75">
      <c r="A80" s="15" t="s">
        <v>70</v>
      </c>
      <c r="B80" s="59">
        <f>+Ingresos!G80</f>
        <v>64354200</v>
      </c>
      <c r="C80" s="38">
        <f t="shared" si="59"/>
        <v>66928368</v>
      </c>
      <c r="D80" s="38">
        <v>0</v>
      </c>
      <c r="E80" s="38">
        <f>+D80*R80</f>
        <v>0</v>
      </c>
      <c r="F80" s="38">
        <f>+E80*S80</f>
        <v>0</v>
      </c>
      <c r="G80" s="38">
        <f t="shared" si="60"/>
        <v>0</v>
      </c>
      <c r="H80" s="38">
        <f t="shared" si="61"/>
        <v>0</v>
      </c>
      <c r="I80" s="38">
        <f t="shared" si="62"/>
        <v>0</v>
      </c>
      <c r="J80" s="38">
        <f t="shared" si="63"/>
        <v>0</v>
      </c>
      <c r="K80" s="38">
        <f t="shared" si="64"/>
        <v>0</v>
      </c>
      <c r="L80" s="38">
        <f t="shared" si="65"/>
        <v>0</v>
      </c>
      <c r="M80" s="38">
        <f t="shared" si="66"/>
        <v>0</v>
      </c>
      <c r="N80" s="38">
        <f t="shared" si="67"/>
        <v>0</v>
      </c>
      <c r="P80" s="37">
        <f t="shared" si="70"/>
        <v>1.04</v>
      </c>
      <c r="Q80" s="37">
        <v>0.95</v>
      </c>
      <c r="R80" s="41">
        <v>0.94</v>
      </c>
      <c r="S80" s="37">
        <v>0.95</v>
      </c>
      <c r="T80" s="41">
        <v>0.93</v>
      </c>
      <c r="U80" s="37">
        <v>0.93</v>
      </c>
      <c r="V80" s="41">
        <v>0.93</v>
      </c>
      <c r="W80" s="37">
        <v>0.92</v>
      </c>
      <c r="X80" s="41">
        <v>0.92</v>
      </c>
      <c r="Y80" s="37">
        <v>0.92</v>
      </c>
      <c r="Z80" s="37">
        <v>1.92</v>
      </c>
      <c r="AA80" s="37">
        <v>2.92</v>
      </c>
    </row>
    <row r="81" spans="1:27" ht="12.75">
      <c r="A81" s="15" t="s">
        <v>71</v>
      </c>
      <c r="B81" s="59">
        <f>+Ingresos!G81</f>
        <v>20730482</v>
      </c>
      <c r="C81" s="38">
        <f t="shared" si="59"/>
        <v>21559701.28</v>
      </c>
      <c r="D81" s="38">
        <f>+'[3]ACTIVA'!$L$62+'[3]ACTIVA'!$L$63+'[3]ACTIVA'!$L$126</f>
        <v>21128959.72</v>
      </c>
      <c r="E81" s="38">
        <f>+D81*R81</f>
        <v>21657183.712999996</v>
      </c>
      <c r="F81" s="38">
        <f>+E81*S81</f>
        <v>22090327.387259997</v>
      </c>
      <c r="G81" s="38">
        <f t="shared" si="60"/>
        <v>22421682.298068896</v>
      </c>
      <c r="H81" s="38">
        <f t="shared" si="61"/>
        <v>22701953.326794755</v>
      </c>
      <c r="I81" s="38">
        <f t="shared" si="62"/>
        <v>22928972.860062703</v>
      </c>
      <c r="J81" s="38">
        <f t="shared" si="63"/>
        <v>23043617.724363014</v>
      </c>
      <c r="K81" s="38">
        <f t="shared" si="64"/>
        <v>23101226.76867392</v>
      </c>
      <c r="L81" s="38">
        <f t="shared" si="65"/>
        <v>23158979.835595604</v>
      </c>
      <c r="M81" s="38">
        <f t="shared" si="66"/>
        <v>23216877.285184592</v>
      </c>
      <c r="N81" s="38">
        <f t="shared" si="67"/>
        <v>23274919.478397552</v>
      </c>
      <c r="P81" s="37">
        <f t="shared" si="70"/>
        <v>1.04</v>
      </c>
      <c r="Q81" s="37">
        <f t="shared" si="73"/>
        <v>1.03</v>
      </c>
      <c r="R81" s="41">
        <f t="shared" si="74"/>
        <v>1.025</v>
      </c>
      <c r="S81" s="37">
        <f t="shared" si="75"/>
        <v>1.02</v>
      </c>
      <c r="T81" s="41">
        <f t="shared" si="76"/>
        <v>1.015</v>
      </c>
      <c r="U81" s="37">
        <f t="shared" si="77"/>
        <v>1.0125</v>
      </c>
      <c r="V81" s="41">
        <f t="shared" si="78"/>
        <v>1.01</v>
      </c>
      <c r="W81" s="37">
        <f t="shared" si="71"/>
        <v>1.005</v>
      </c>
      <c r="X81" s="41">
        <f t="shared" si="72"/>
        <v>1.0025</v>
      </c>
      <c r="Y81" s="37">
        <f t="shared" si="68"/>
        <v>1.0025</v>
      </c>
      <c r="Z81" s="37">
        <f t="shared" si="68"/>
        <v>1.0025</v>
      </c>
      <c r="AA81" s="37">
        <f t="shared" si="68"/>
        <v>1.0025</v>
      </c>
    </row>
    <row r="82" spans="1:27" ht="12.75">
      <c r="A82" s="15" t="s">
        <v>72</v>
      </c>
      <c r="B82" s="59">
        <f>+Ingresos!G82</f>
        <v>0</v>
      </c>
      <c r="C82" s="38">
        <f t="shared" si="59"/>
        <v>0</v>
      </c>
      <c r="D82" s="38">
        <v>0</v>
      </c>
      <c r="E82" s="38">
        <f>+D82*R82</f>
        <v>0</v>
      </c>
      <c r="F82" s="38">
        <f>+E82*S82</f>
        <v>0</v>
      </c>
      <c r="G82" s="38">
        <f t="shared" si="60"/>
        <v>0</v>
      </c>
      <c r="H82" s="38">
        <f t="shared" si="61"/>
        <v>0</v>
      </c>
      <c r="I82" s="38">
        <f t="shared" si="62"/>
        <v>0</v>
      </c>
      <c r="J82" s="38">
        <f t="shared" si="63"/>
        <v>0</v>
      </c>
      <c r="K82" s="38">
        <f t="shared" si="64"/>
        <v>0</v>
      </c>
      <c r="L82" s="38">
        <f t="shared" si="65"/>
        <v>0</v>
      </c>
      <c r="M82" s="38">
        <f t="shared" si="66"/>
        <v>0</v>
      </c>
      <c r="N82" s="38">
        <f t="shared" si="67"/>
        <v>0</v>
      </c>
      <c r="P82" s="37">
        <f t="shared" si="70"/>
        <v>1.04</v>
      </c>
      <c r="Q82" s="37">
        <f t="shared" si="73"/>
        <v>1.03</v>
      </c>
      <c r="R82" s="41">
        <f t="shared" si="74"/>
        <v>1.025</v>
      </c>
      <c r="S82" s="37">
        <f t="shared" si="75"/>
        <v>1.02</v>
      </c>
      <c r="T82" s="41">
        <f t="shared" si="76"/>
        <v>1.015</v>
      </c>
      <c r="U82" s="37">
        <f t="shared" si="77"/>
        <v>1.0125</v>
      </c>
      <c r="V82" s="41">
        <f t="shared" si="78"/>
        <v>1.01</v>
      </c>
      <c r="W82" s="37">
        <f t="shared" si="71"/>
        <v>1.005</v>
      </c>
      <c r="X82" s="41">
        <f t="shared" si="72"/>
        <v>1.0025</v>
      </c>
      <c r="Y82" s="37">
        <f t="shared" si="68"/>
        <v>1.0025</v>
      </c>
      <c r="Z82" s="37">
        <f t="shared" si="68"/>
        <v>1.0025</v>
      </c>
      <c r="AA82" s="37">
        <f t="shared" si="68"/>
        <v>1.0025</v>
      </c>
    </row>
    <row r="83" spans="1:27" ht="12.75">
      <c r="A83" s="125" t="s">
        <v>73</v>
      </c>
      <c r="B83" s="137">
        <f aca="true" t="shared" si="79" ref="B83:L83">SUM(B84:B85)</f>
        <v>0</v>
      </c>
      <c r="C83" s="137">
        <f t="shared" si="79"/>
        <v>0</v>
      </c>
      <c r="D83" s="137">
        <f t="shared" si="79"/>
        <v>0</v>
      </c>
      <c r="E83" s="137">
        <f t="shared" si="79"/>
        <v>0</v>
      </c>
      <c r="F83" s="137">
        <f t="shared" si="79"/>
        <v>0</v>
      </c>
      <c r="G83" s="137">
        <f t="shared" si="79"/>
        <v>0</v>
      </c>
      <c r="H83" s="137">
        <f t="shared" si="79"/>
        <v>0</v>
      </c>
      <c r="I83" s="137">
        <f t="shared" si="79"/>
        <v>0</v>
      </c>
      <c r="J83" s="137">
        <f t="shared" si="79"/>
        <v>0</v>
      </c>
      <c r="K83" s="137">
        <f t="shared" si="79"/>
        <v>0</v>
      </c>
      <c r="L83" s="137">
        <f t="shared" si="79"/>
        <v>0</v>
      </c>
      <c r="M83" s="137">
        <f>SUM(M84:M85)</f>
        <v>0</v>
      </c>
      <c r="N83" s="137">
        <f>SUM(N84:N85)</f>
        <v>0</v>
      </c>
      <c r="P83" s="191"/>
      <c r="Q83" s="191"/>
      <c r="R83" s="202"/>
      <c r="S83" s="191"/>
      <c r="T83" s="202"/>
      <c r="U83" s="191"/>
      <c r="V83" s="202"/>
      <c r="W83" s="191"/>
      <c r="X83" s="202"/>
      <c r="Y83" s="191"/>
      <c r="Z83" s="191"/>
      <c r="AA83" s="191"/>
    </row>
    <row r="84" spans="1:27" ht="12.75">
      <c r="A84" s="14" t="s">
        <v>74</v>
      </c>
      <c r="B84" s="59">
        <f>+Ingresos!G84</f>
        <v>0</v>
      </c>
      <c r="C84" s="38">
        <f>+B84*P84</f>
        <v>0</v>
      </c>
      <c r="D84" s="38">
        <v>0</v>
      </c>
      <c r="E84" s="38">
        <f aca="true" t="shared" si="80" ref="E84:N88">+D84*R84</f>
        <v>0</v>
      </c>
      <c r="F84" s="38">
        <f t="shared" si="80"/>
        <v>0</v>
      </c>
      <c r="G84" s="38">
        <f t="shared" si="80"/>
        <v>0</v>
      </c>
      <c r="H84" s="38">
        <f t="shared" si="80"/>
        <v>0</v>
      </c>
      <c r="I84" s="38">
        <f t="shared" si="80"/>
        <v>0</v>
      </c>
      <c r="J84" s="38">
        <f t="shared" si="80"/>
        <v>0</v>
      </c>
      <c r="K84" s="38">
        <f t="shared" si="80"/>
        <v>0</v>
      </c>
      <c r="L84" s="38">
        <f t="shared" si="80"/>
        <v>0</v>
      </c>
      <c r="M84" s="38">
        <f t="shared" si="80"/>
        <v>0</v>
      </c>
      <c r="N84" s="38">
        <f t="shared" si="80"/>
        <v>0</v>
      </c>
      <c r="P84" s="37">
        <f>1+(0.04)</f>
        <v>1.04</v>
      </c>
      <c r="Q84" s="37">
        <f>1+(0.03)</f>
        <v>1.03</v>
      </c>
      <c r="R84" s="41">
        <f>1+(0.025)</f>
        <v>1.025</v>
      </c>
      <c r="S84" s="37">
        <f>1+(0.02)</f>
        <v>1.02</v>
      </c>
      <c r="T84" s="41">
        <f>1+(0.015)</f>
        <v>1.015</v>
      </c>
      <c r="U84" s="37">
        <f>1+(0.0125)</f>
        <v>1.0125</v>
      </c>
      <c r="V84" s="41">
        <f>1+(0.01)</f>
        <v>1.01</v>
      </c>
      <c r="W84" s="37">
        <f>1+(0.005)</f>
        <v>1.005</v>
      </c>
      <c r="X84" s="41">
        <f aca="true" t="shared" si="81" ref="X84:AA88">1+(0.0025)</f>
        <v>1.0025</v>
      </c>
      <c r="Y84" s="37">
        <f t="shared" si="81"/>
        <v>1.0025</v>
      </c>
      <c r="Z84" s="37">
        <f t="shared" si="81"/>
        <v>1.0025</v>
      </c>
      <c r="AA84" s="37">
        <f t="shared" si="81"/>
        <v>1.0025</v>
      </c>
    </row>
    <row r="85" spans="1:27" ht="12.75">
      <c r="A85" s="14" t="s">
        <v>75</v>
      </c>
      <c r="B85" s="59">
        <f>+Ingresos!G85</f>
        <v>0</v>
      </c>
      <c r="C85" s="38">
        <f>+B85*P85</f>
        <v>0</v>
      </c>
      <c r="D85" s="38">
        <v>0</v>
      </c>
      <c r="E85" s="38">
        <f t="shared" si="80"/>
        <v>0</v>
      </c>
      <c r="F85" s="38">
        <f t="shared" si="80"/>
        <v>0</v>
      </c>
      <c r="G85" s="38">
        <f t="shared" si="80"/>
        <v>0</v>
      </c>
      <c r="H85" s="38">
        <f t="shared" si="80"/>
        <v>0</v>
      </c>
      <c r="I85" s="38">
        <f t="shared" si="80"/>
        <v>0</v>
      </c>
      <c r="J85" s="38">
        <f t="shared" si="80"/>
        <v>0</v>
      </c>
      <c r="K85" s="38">
        <f t="shared" si="80"/>
        <v>0</v>
      </c>
      <c r="L85" s="38">
        <f t="shared" si="80"/>
        <v>0</v>
      </c>
      <c r="M85" s="38">
        <f t="shared" si="80"/>
        <v>0</v>
      </c>
      <c r="N85" s="38">
        <f t="shared" si="80"/>
        <v>0</v>
      </c>
      <c r="P85" s="37">
        <f>1+(0.04)</f>
        <v>1.04</v>
      </c>
      <c r="Q85" s="37">
        <f>1+(0.03)</f>
        <v>1.03</v>
      </c>
      <c r="R85" s="41">
        <f>1+(0.025)</f>
        <v>1.025</v>
      </c>
      <c r="S85" s="37">
        <f>1+(0.02)</f>
        <v>1.02</v>
      </c>
      <c r="T85" s="41">
        <f>1+(0.015)</f>
        <v>1.015</v>
      </c>
      <c r="U85" s="37">
        <f>1+(0.0125)</f>
        <v>1.0125</v>
      </c>
      <c r="V85" s="41">
        <f>1+(0.01)</f>
        <v>1.01</v>
      </c>
      <c r="W85" s="37">
        <f>1+(0.005)</f>
        <v>1.005</v>
      </c>
      <c r="X85" s="41">
        <f t="shared" si="81"/>
        <v>1.0025</v>
      </c>
      <c r="Y85" s="37">
        <f t="shared" si="81"/>
        <v>1.0025</v>
      </c>
      <c r="Z85" s="37">
        <f t="shared" si="81"/>
        <v>1.0025</v>
      </c>
      <c r="AA85" s="37">
        <f t="shared" si="81"/>
        <v>1.0025</v>
      </c>
    </row>
    <row r="86" spans="1:27" ht="12.75">
      <c r="A86" s="22" t="s">
        <v>222</v>
      </c>
      <c r="B86" s="59">
        <f>+Ingresos!G86</f>
        <v>72166</v>
      </c>
      <c r="C86" s="38">
        <f>+B86*P86</f>
        <v>75052.64</v>
      </c>
      <c r="D86" s="38">
        <v>0</v>
      </c>
      <c r="E86" s="38">
        <f t="shared" si="80"/>
        <v>0</v>
      </c>
      <c r="F86" s="38">
        <f t="shared" si="80"/>
        <v>0</v>
      </c>
      <c r="G86" s="38">
        <f t="shared" si="80"/>
        <v>0</v>
      </c>
      <c r="H86" s="38">
        <f t="shared" si="80"/>
        <v>0</v>
      </c>
      <c r="I86" s="38">
        <f t="shared" si="80"/>
        <v>0</v>
      </c>
      <c r="J86" s="38">
        <f t="shared" si="80"/>
        <v>0</v>
      </c>
      <c r="K86" s="38">
        <f t="shared" si="80"/>
        <v>0</v>
      </c>
      <c r="L86" s="38">
        <f t="shared" si="80"/>
        <v>0</v>
      </c>
      <c r="M86" s="38">
        <f t="shared" si="80"/>
        <v>0</v>
      </c>
      <c r="N86" s="38">
        <f t="shared" si="80"/>
        <v>0</v>
      </c>
      <c r="P86" s="37">
        <f>1+(0.04)</f>
        <v>1.04</v>
      </c>
      <c r="Q86" s="37">
        <f>1+(0.03)</f>
        <v>1.03</v>
      </c>
      <c r="R86" s="41">
        <f>1+(0.025)</f>
        <v>1.025</v>
      </c>
      <c r="S86" s="37">
        <f>1+(0.02)</f>
        <v>1.02</v>
      </c>
      <c r="T86" s="41">
        <f>1+(0.015)</f>
        <v>1.015</v>
      </c>
      <c r="U86" s="37">
        <f>1+(0.0125)</f>
        <v>1.0125</v>
      </c>
      <c r="V86" s="41">
        <f>1+(0.01)</f>
        <v>1.01</v>
      </c>
      <c r="W86" s="37">
        <f>1+(0.005)</f>
        <v>1.005</v>
      </c>
      <c r="X86" s="41">
        <f t="shared" si="81"/>
        <v>1.0025</v>
      </c>
      <c r="Y86" s="37">
        <f t="shared" si="81"/>
        <v>1.0025</v>
      </c>
      <c r="Z86" s="37">
        <f t="shared" si="81"/>
        <v>1.0025</v>
      </c>
      <c r="AA86" s="37">
        <f t="shared" si="81"/>
        <v>1.0025</v>
      </c>
    </row>
    <row r="87" spans="1:27" ht="12.75">
      <c r="A87" s="15" t="s">
        <v>223</v>
      </c>
      <c r="B87" s="59">
        <f>+Ingresos!G87</f>
        <v>0</v>
      </c>
      <c r="C87" s="38">
        <f>+B87*P87</f>
        <v>0</v>
      </c>
      <c r="D87" s="38">
        <v>0</v>
      </c>
      <c r="E87" s="38">
        <f t="shared" si="80"/>
        <v>0</v>
      </c>
      <c r="F87" s="38">
        <f t="shared" si="80"/>
        <v>0</v>
      </c>
      <c r="G87" s="38">
        <f t="shared" si="80"/>
        <v>0</v>
      </c>
      <c r="H87" s="38">
        <f t="shared" si="80"/>
        <v>0</v>
      </c>
      <c r="I87" s="38">
        <f t="shared" si="80"/>
        <v>0</v>
      </c>
      <c r="J87" s="38">
        <f t="shared" si="80"/>
        <v>0</v>
      </c>
      <c r="K87" s="38">
        <f t="shared" si="80"/>
        <v>0</v>
      </c>
      <c r="L87" s="38">
        <f t="shared" si="80"/>
        <v>0</v>
      </c>
      <c r="M87" s="38">
        <f t="shared" si="80"/>
        <v>0</v>
      </c>
      <c r="N87" s="38">
        <f t="shared" si="80"/>
        <v>0</v>
      </c>
      <c r="P87" s="37">
        <f>1+(0.04)</f>
        <v>1.04</v>
      </c>
      <c r="Q87" s="37">
        <f>1+(0.03)</f>
        <v>1.03</v>
      </c>
      <c r="R87" s="41">
        <f>1+(0.025)</f>
        <v>1.025</v>
      </c>
      <c r="S87" s="37">
        <f>1+(0.02)</f>
        <v>1.02</v>
      </c>
      <c r="T87" s="41">
        <f>1+(0.015)</f>
        <v>1.015</v>
      </c>
      <c r="U87" s="37">
        <f>1+(0.0125)</f>
        <v>1.0125</v>
      </c>
      <c r="V87" s="41">
        <f>1+(0.01)</f>
        <v>1.01</v>
      </c>
      <c r="W87" s="37">
        <f>1+(0.005)</f>
        <v>1.005</v>
      </c>
      <c r="X87" s="41">
        <f t="shared" si="81"/>
        <v>1.0025</v>
      </c>
      <c r="Y87" s="37">
        <f t="shared" si="81"/>
        <v>1.0025</v>
      </c>
      <c r="Z87" s="37">
        <f t="shared" si="81"/>
        <v>1.0025</v>
      </c>
      <c r="AA87" s="37">
        <f t="shared" si="81"/>
        <v>1.0025</v>
      </c>
    </row>
    <row r="88" spans="1:27" ht="13.5" thickBot="1">
      <c r="A88" s="23" t="s">
        <v>76</v>
      </c>
      <c r="B88" s="91">
        <f>+Ingresos!G88</f>
        <v>379293</v>
      </c>
      <c r="C88" s="98">
        <f>+B88*P88</f>
        <v>394464.72000000003</v>
      </c>
      <c r="D88" s="98">
        <v>0</v>
      </c>
      <c r="E88" s="98">
        <f t="shared" si="80"/>
        <v>0</v>
      </c>
      <c r="F88" s="98">
        <f t="shared" si="80"/>
        <v>0</v>
      </c>
      <c r="G88" s="98">
        <f t="shared" si="80"/>
        <v>0</v>
      </c>
      <c r="H88" s="98">
        <f t="shared" si="80"/>
        <v>0</v>
      </c>
      <c r="I88" s="98">
        <f t="shared" si="80"/>
        <v>0</v>
      </c>
      <c r="J88" s="98">
        <f t="shared" si="80"/>
        <v>0</v>
      </c>
      <c r="K88" s="98">
        <f t="shared" si="80"/>
        <v>0</v>
      </c>
      <c r="L88" s="98">
        <f t="shared" si="80"/>
        <v>0</v>
      </c>
      <c r="M88" s="98">
        <f t="shared" si="80"/>
        <v>0</v>
      </c>
      <c r="N88" s="98">
        <f t="shared" si="80"/>
        <v>0</v>
      </c>
      <c r="P88" s="43">
        <f>1+(0.04)</f>
        <v>1.04</v>
      </c>
      <c r="Q88" s="43">
        <f>1+(0.03)</f>
        <v>1.03</v>
      </c>
      <c r="R88" s="203">
        <f>1+(0.025)</f>
        <v>1.025</v>
      </c>
      <c r="S88" s="43">
        <f>1+(0.02)</f>
        <v>1.02</v>
      </c>
      <c r="T88" s="203">
        <f>1+(0.015)</f>
        <v>1.015</v>
      </c>
      <c r="U88" s="43">
        <f>1+(0.0125)</f>
        <v>1.0125</v>
      </c>
      <c r="V88" s="203">
        <f>1+(0.01)</f>
        <v>1.01</v>
      </c>
      <c r="W88" s="43">
        <f>1+(0.005)</f>
        <v>1.005</v>
      </c>
      <c r="X88" s="203">
        <f t="shared" si="81"/>
        <v>1.0025</v>
      </c>
      <c r="Y88" s="43">
        <f t="shared" si="81"/>
        <v>1.0025</v>
      </c>
      <c r="Z88" s="43">
        <f t="shared" si="81"/>
        <v>1.0025</v>
      </c>
      <c r="AA88" s="43">
        <f t="shared" si="81"/>
        <v>1.0025</v>
      </c>
    </row>
    <row r="89" spans="16:25" ht="12.75">
      <c r="P89" s="34"/>
      <c r="Q89" s="34"/>
      <c r="R89" s="34"/>
      <c r="S89" s="34"/>
      <c r="T89" s="34"/>
      <c r="U89" s="34"/>
      <c r="V89" s="34"/>
      <c r="W89" s="34"/>
      <c r="X89" s="34"/>
      <c r="Y89" s="34"/>
    </row>
  </sheetData>
  <sheetProtection/>
  <mergeCells count="5">
    <mergeCell ref="A8:H8"/>
    <mergeCell ref="A1:H1"/>
    <mergeCell ref="A3:H3"/>
    <mergeCell ref="A5:H5"/>
    <mergeCell ref="A7:H7"/>
  </mergeCells>
  <printOptions/>
  <pageMargins left="0.75" right="0.75" top="1" bottom="1" header="0" footer="0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8"/>
  <sheetViews>
    <sheetView zoomScale="80" zoomScaleNormal="8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9" sqref="A9"/>
    </sheetView>
  </sheetViews>
  <sheetFormatPr defaultColWidth="11.421875" defaultRowHeight="12.75"/>
  <cols>
    <col min="1" max="1" width="69.8515625" style="45" customWidth="1"/>
    <col min="2" max="2" width="18.7109375" style="45" bestFit="1" customWidth="1"/>
    <col min="3" max="3" width="15.8515625" style="45" customWidth="1"/>
    <col min="4" max="4" width="15.28125" style="45" customWidth="1"/>
    <col min="5" max="5" width="14.8515625" style="45" customWidth="1"/>
    <col min="6" max="6" width="14.8515625" style="45" bestFit="1" customWidth="1"/>
    <col min="7" max="7" width="15.421875" style="45" customWidth="1"/>
    <col min="8" max="8" width="15.8515625" style="45" customWidth="1"/>
    <col min="9" max="9" width="16.00390625" style="45" customWidth="1"/>
    <col min="10" max="10" width="16.140625" style="45" customWidth="1"/>
    <col min="11" max="11" width="16.00390625" style="45" customWidth="1"/>
    <col min="12" max="12" width="15.00390625" style="45" customWidth="1"/>
    <col min="13" max="14" width="14.57421875" style="45" bestFit="1" customWidth="1"/>
    <col min="15" max="16384" width="11.421875" style="45" customWidth="1"/>
  </cols>
  <sheetData>
    <row r="1" spans="1:12" ht="20.25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3" spans="1:12" ht="18" customHeight="1">
      <c r="A3" s="391" t="s">
        <v>21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</row>
    <row r="5" spans="1:12" ht="18" customHeight="1">
      <c r="A5" s="393" t="s">
        <v>356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7" spans="1:12" ht="18" customHeight="1">
      <c r="A7" s="392" t="s">
        <v>22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</row>
    <row r="8" spans="1:12" ht="18" customHeight="1">
      <c r="A8" s="392" t="s">
        <v>470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</row>
    <row r="10" ht="13.5" customHeight="1" thickBot="1"/>
    <row r="11" spans="1:27" ht="48.75" thickBot="1">
      <c r="A11" s="4" t="s">
        <v>5</v>
      </c>
      <c r="B11" s="50" t="s">
        <v>246</v>
      </c>
      <c r="C11" s="16" t="s">
        <v>238</v>
      </c>
      <c r="D11" s="1" t="s">
        <v>11</v>
      </c>
      <c r="E11" s="1" t="s">
        <v>12</v>
      </c>
      <c r="F11" s="1" t="s">
        <v>13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202</v>
      </c>
      <c r="L11" s="1" t="s">
        <v>19</v>
      </c>
      <c r="M11" s="1" t="s">
        <v>466</v>
      </c>
      <c r="N11" s="1" t="s">
        <v>467</v>
      </c>
      <c r="P11" s="16" t="s">
        <v>244</v>
      </c>
      <c r="Q11" s="16" t="s">
        <v>255</v>
      </c>
      <c r="R11" s="16" t="s">
        <v>256</v>
      </c>
      <c r="S11" s="16" t="s">
        <v>257</v>
      </c>
      <c r="T11" s="16" t="s">
        <v>258</v>
      </c>
      <c r="U11" s="16" t="s">
        <v>259</v>
      </c>
      <c r="V11" s="16" t="s">
        <v>260</v>
      </c>
      <c r="W11" s="16" t="s">
        <v>261</v>
      </c>
      <c r="X11" s="16" t="s">
        <v>263</v>
      </c>
      <c r="Y11" s="16" t="s">
        <v>262</v>
      </c>
      <c r="Z11" s="16" t="s">
        <v>468</v>
      </c>
      <c r="AA11" s="16" t="s">
        <v>469</v>
      </c>
    </row>
    <row r="12" spans="1:27" ht="13.5" thickBot="1">
      <c r="A12" s="10" t="s">
        <v>77</v>
      </c>
      <c r="B12" s="90">
        <f aca="true" t="shared" si="0" ref="B12:L12">B13+B56+B184+B196</f>
        <v>2808419603.9</v>
      </c>
      <c r="C12" s="90">
        <f t="shared" si="0"/>
        <v>2999977452.6250496</v>
      </c>
      <c r="D12" s="90">
        <f t="shared" si="0"/>
        <v>3734952012.3900003</v>
      </c>
      <c r="E12" s="90">
        <f t="shared" si="0"/>
        <v>3973229441.9376993</v>
      </c>
      <c r="F12" s="90">
        <f t="shared" si="0"/>
        <v>4222558887.8114214</v>
      </c>
      <c r="G12" s="90">
        <f t="shared" si="0"/>
        <v>4467115161.116884</v>
      </c>
      <c r="H12" s="90">
        <f t="shared" si="0"/>
        <v>4705395313.214625</v>
      </c>
      <c r="I12" s="90">
        <f t="shared" si="0"/>
        <v>4957079871.711154</v>
      </c>
      <c r="J12" s="90">
        <f t="shared" si="0"/>
        <v>5222946328.908584</v>
      </c>
      <c r="K12" s="90">
        <f t="shared" si="0"/>
        <v>5503818023.484702</v>
      </c>
      <c r="L12" s="90">
        <f t="shared" si="0"/>
        <v>5800566867.180635</v>
      </c>
      <c r="M12" s="90">
        <f>M13+M56+M184+M196</f>
        <v>6114116234.366929</v>
      </c>
      <c r="N12" s="90">
        <f>N13+N56+N184+N196</f>
        <v>6445444024.239067</v>
      </c>
      <c r="P12" s="205"/>
      <c r="Q12" s="267"/>
      <c r="R12" s="205"/>
      <c r="S12" s="267"/>
      <c r="T12" s="205"/>
      <c r="U12" s="267"/>
      <c r="V12" s="205"/>
      <c r="W12" s="267"/>
      <c r="X12" s="205"/>
      <c r="Y12" s="268"/>
      <c r="Z12" s="268"/>
      <c r="AA12" s="268"/>
    </row>
    <row r="13" spans="1:27" ht="13.5" thickBot="1">
      <c r="A13" s="12" t="s">
        <v>78</v>
      </c>
      <c r="B13" s="53">
        <f>B14+B29+B33+B53</f>
        <v>449060609.71000004</v>
      </c>
      <c r="C13" s="53">
        <f>C14+C29+C33+C53</f>
        <v>474089381.14905</v>
      </c>
      <c r="D13" s="206">
        <f aca="true" t="shared" si="1" ref="D13:L13">D14+D29+D33+D53</f>
        <v>673415076.2</v>
      </c>
      <c r="E13" s="53">
        <f t="shared" si="1"/>
        <v>703718754.629</v>
      </c>
      <c r="F13" s="65">
        <f t="shared" si="1"/>
        <v>731867504.81416</v>
      </c>
      <c r="G13" s="53">
        <f t="shared" si="1"/>
        <v>757482867.4826555</v>
      </c>
      <c r="H13" s="53">
        <f t="shared" si="1"/>
        <v>780207353.5071352</v>
      </c>
      <c r="I13" s="206">
        <f t="shared" si="1"/>
        <v>803613574.1123493</v>
      </c>
      <c r="J13" s="53">
        <f t="shared" si="1"/>
        <v>827721981.3357197</v>
      </c>
      <c r="K13" s="53">
        <f t="shared" si="1"/>
        <v>852553640.7757914</v>
      </c>
      <c r="L13" s="53">
        <f t="shared" si="1"/>
        <v>878130249.9990652</v>
      </c>
      <c r="M13" s="53">
        <f>M14+M29+M33+M53</f>
        <v>904474157.4990371</v>
      </c>
      <c r="N13" s="53">
        <f>N14+N29+N33+N53</f>
        <v>931608382.2240082</v>
      </c>
      <c r="P13" s="191"/>
      <c r="Q13" s="202"/>
      <c r="R13" s="191"/>
      <c r="S13" s="202"/>
      <c r="T13" s="191"/>
      <c r="U13" s="202"/>
      <c r="V13" s="191"/>
      <c r="W13" s="202"/>
      <c r="X13" s="191"/>
      <c r="Y13" s="264"/>
      <c r="Z13" s="264"/>
      <c r="AA13" s="264"/>
    </row>
    <row r="14" spans="1:27" ht="12.75">
      <c r="A14" s="125" t="s">
        <v>79</v>
      </c>
      <c r="B14" s="133">
        <f>+B15+B16+B22</f>
        <v>310743204.71000004</v>
      </c>
      <c r="C14" s="133">
        <f>+C15+C16+C22</f>
        <v>327834080.96905</v>
      </c>
      <c r="D14" s="207">
        <f aca="true" t="shared" si="2" ref="D14:L14">+D15+D16+D22</f>
        <v>404878607.8</v>
      </c>
      <c r="E14" s="137">
        <f t="shared" si="2"/>
        <v>423098145.151</v>
      </c>
      <c r="F14" s="207">
        <f t="shared" si="2"/>
        <v>440022070.9570401</v>
      </c>
      <c r="G14" s="133">
        <f t="shared" si="2"/>
        <v>455422843.4405364</v>
      </c>
      <c r="H14" s="207">
        <f t="shared" si="2"/>
        <v>469085528.7437525</v>
      </c>
      <c r="I14" s="133">
        <f t="shared" si="2"/>
        <v>483158094.60606503</v>
      </c>
      <c r="J14" s="207">
        <f t="shared" si="2"/>
        <v>497652837.44424707</v>
      </c>
      <c r="K14" s="133">
        <f t="shared" si="2"/>
        <v>512582422.56757444</v>
      </c>
      <c r="L14" s="133">
        <f t="shared" si="2"/>
        <v>527959895.2446017</v>
      </c>
      <c r="M14" s="133">
        <f>+M15+M16+M22</f>
        <v>543798692.1019398</v>
      </c>
      <c r="N14" s="133">
        <f>+N15+N16+N22</f>
        <v>560112652.864998</v>
      </c>
      <c r="O14" s="208"/>
      <c r="P14" s="269"/>
      <c r="Q14" s="270"/>
      <c r="R14" s="269"/>
      <c r="S14" s="270"/>
      <c r="T14" s="269"/>
      <c r="U14" s="270"/>
      <c r="V14" s="269"/>
      <c r="W14" s="270"/>
      <c r="X14" s="269"/>
      <c r="Y14" s="264"/>
      <c r="Z14" s="264"/>
      <c r="AA14" s="264"/>
    </row>
    <row r="15" spans="1:27" ht="12.75">
      <c r="A15" s="131" t="s">
        <v>80</v>
      </c>
      <c r="B15" s="57">
        <f>+Gastos!G15</f>
        <v>225853835.5</v>
      </c>
      <c r="C15" s="59">
        <f>B15*P15</f>
        <v>238275796.4525</v>
      </c>
      <c r="D15" s="257">
        <f>+'[3]PASIVA'!$M$75+'[3]PASIVA'!$M$76+'[3]PASIVA'!$M$77+'[3]PASIVA'!$M$78+'[3]PASIVA'!$M$79+'[3]PASIVA'!$M$80+'[3]PASIVA'!$M$81+'[3]PASIVA'!$M$82+'[3]PASIVA'!$M$83+'[3]PASIVA'!$M$84+'[3]PASIVA'!$M$416+'[3]PASIVA'!$M$417+'[3]PASIVA'!$M$418+'[3]PASIVA'!$M$419+'[3]PASIVA'!$M$420+'[3]PASIVA'!$M$440+'[3]PASIVA'!$M$441+'[3]PASIVA'!$M$442+'[3]PASIVA'!$M$443+'[3]PASIVA'!$M$459+'[3]PASIVA'!$M$460+'[3]PASIVA'!$M$461+'[3]PASIVA'!$M$462</f>
        <v>274248302.8</v>
      </c>
      <c r="E15" s="257">
        <f aca="true" t="shared" si="3" ref="E15:N15">D15*R15</f>
        <v>286589476.426</v>
      </c>
      <c r="F15" s="257">
        <f t="shared" si="3"/>
        <v>298053055.48304003</v>
      </c>
      <c r="G15" s="57">
        <f t="shared" si="3"/>
        <v>308484912.4249464</v>
      </c>
      <c r="H15" s="257">
        <f t="shared" si="3"/>
        <v>317739459.7976948</v>
      </c>
      <c r="I15" s="57">
        <f t="shared" si="3"/>
        <v>327271643.59162563</v>
      </c>
      <c r="J15" s="257">
        <f t="shared" si="3"/>
        <v>337089792.8993744</v>
      </c>
      <c r="K15" s="57">
        <f t="shared" si="3"/>
        <v>347202486.68635565</v>
      </c>
      <c r="L15" s="57">
        <f t="shared" si="3"/>
        <v>357618561.28694636</v>
      </c>
      <c r="M15" s="57">
        <f t="shared" si="3"/>
        <v>368347118.12555474</v>
      </c>
      <c r="N15" s="57">
        <f t="shared" si="3"/>
        <v>379397531.6693214</v>
      </c>
      <c r="P15" s="37">
        <f>1+(0.055)</f>
        <v>1.055</v>
      </c>
      <c r="Q15" s="41">
        <f>1+(0.05)</f>
        <v>1.05</v>
      </c>
      <c r="R15" s="37">
        <f>1+(0.045)</f>
        <v>1.045</v>
      </c>
      <c r="S15" s="41">
        <f>1+(0.04)</f>
        <v>1.04</v>
      </c>
      <c r="T15" s="37">
        <f>1+(0.035)</f>
        <v>1.035</v>
      </c>
      <c r="U15" s="41">
        <f>1+(0.03)</f>
        <v>1.03</v>
      </c>
      <c r="V15" s="37">
        <f aca="true" t="shared" si="4" ref="V15:AA21">1+(0.03)</f>
        <v>1.03</v>
      </c>
      <c r="W15" s="41">
        <f t="shared" si="4"/>
        <v>1.03</v>
      </c>
      <c r="X15" s="37">
        <f t="shared" si="4"/>
        <v>1.03</v>
      </c>
      <c r="Y15" s="115">
        <f t="shared" si="4"/>
        <v>1.03</v>
      </c>
      <c r="Z15" s="115">
        <f t="shared" si="4"/>
        <v>1.03</v>
      </c>
      <c r="AA15" s="115">
        <f t="shared" si="4"/>
        <v>1.03</v>
      </c>
    </row>
    <row r="16" spans="1:27" ht="12.75">
      <c r="A16" s="126" t="s">
        <v>81</v>
      </c>
      <c r="B16" s="92">
        <f>SUM(B17:B21)</f>
        <v>11359480</v>
      </c>
      <c r="C16" s="92">
        <f>SUM(C17:C21)</f>
        <v>11984251.4</v>
      </c>
      <c r="D16" s="142">
        <f aca="true" t="shared" si="5" ref="D16:L16">SUM(D17:D21)</f>
        <v>30782000</v>
      </c>
      <c r="E16" s="92">
        <f t="shared" si="5"/>
        <v>32167189.999999996</v>
      </c>
      <c r="F16" s="142">
        <f t="shared" si="5"/>
        <v>33453877.599999998</v>
      </c>
      <c r="G16" s="92">
        <f t="shared" si="5"/>
        <v>34624763.31599999</v>
      </c>
      <c r="H16" s="142">
        <f t="shared" si="5"/>
        <v>35663506.21547999</v>
      </c>
      <c r="I16" s="92">
        <f t="shared" si="5"/>
        <v>36733411.4019444</v>
      </c>
      <c r="J16" s="142">
        <f t="shared" si="5"/>
        <v>37835413.74400273</v>
      </c>
      <c r="K16" s="92">
        <f t="shared" si="5"/>
        <v>38970476.156322815</v>
      </c>
      <c r="L16" s="92">
        <f t="shared" si="5"/>
        <v>40139590.4410125</v>
      </c>
      <c r="M16" s="92">
        <f>SUM(M17:M21)</f>
        <v>41343778.15424288</v>
      </c>
      <c r="N16" s="92">
        <f>SUM(N17:N21)</f>
        <v>42584091.498870164</v>
      </c>
      <c r="P16" s="191"/>
      <c r="Q16" s="202"/>
      <c r="R16" s="191"/>
      <c r="S16" s="202"/>
      <c r="T16" s="191"/>
      <c r="U16" s="202"/>
      <c r="V16" s="191"/>
      <c r="W16" s="202"/>
      <c r="X16" s="191"/>
      <c r="Y16" s="264"/>
      <c r="Z16" s="264"/>
      <c r="AA16" s="264"/>
    </row>
    <row r="17" spans="1:27" ht="12.75">
      <c r="A17" s="129" t="s">
        <v>82</v>
      </c>
      <c r="B17" s="59">
        <f>+Gastos!G17</f>
        <v>0</v>
      </c>
      <c r="C17" s="59">
        <f aca="true" t="shared" si="6" ref="C17:N19">B17*P17</f>
        <v>0</v>
      </c>
      <c r="D17" s="232">
        <f t="shared" si="6"/>
        <v>0</v>
      </c>
      <c r="E17" s="59">
        <f t="shared" si="6"/>
        <v>0</v>
      </c>
      <c r="F17" s="232">
        <f t="shared" si="6"/>
        <v>0</v>
      </c>
      <c r="G17" s="59">
        <f t="shared" si="6"/>
        <v>0</v>
      </c>
      <c r="H17" s="232">
        <f t="shared" si="6"/>
        <v>0</v>
      </c>
      <c r="I17" s="59">
        <f t="shared" si="6"/>
        <v>0</v>
      </c>
      <c r="J17" s="232">
        <f t="shared" si="6"/>
        <v>0</v>
      </c>
      <c r="K17" s="59">
        <f t="shared" si="6"/>
        <v>0</v>
      </c>
      <c r="L17" s="59">
        <f t="shared" si="6"/>
        <v>0</v>
      </c>
      <c r="M17" s="59">
        <f t="shared" si="6"/>
        <v>0</v>
      </c>
      <c r="N17" s="59">
        <f t="shared" si="6"/>
        <v>0</v>
      </c>
      <c r="P17" s="37">
        <f>1+(0.055)</f>
        <v>1.055</v>
      </c>
      <c r="Q17" s="41">
        <f>1+(0.05)</f>
        <v>1.05</v>
      </c>
      <c r="R17" s="37">
        <f>1+(0.045)</f>
        <v>1.045</v>
      </c>
      <c r="S17" s="41">
        <f>1+(0.04)</f>
        <v>1.04</v>
      </c>
      <c r="T17" s="37">
        <f>1+(0.035)</f>
        <v>1.035</v>
      </c>
      <c r="U17" s="41">
        <f>1+(0.03)</f>
        <v>1.03</v>
      </c>
      <c r="V17" s="37">
        <f t="shared" si="4"/>
        <v>1.03</v>
      </c>
      <c r="W17" s="41">
        <f t="shared" si="4"/>
        <v>1.03</v>
      </c>
      <c r="X17" s="37">
        <f t="shared" si="4"/>
        <v>1.03</v>
      </c>
      <c r="Y17" s="115">
        <f t="shared" si="4"/>
        <v>1.03</v>
      </c>
      <c r="Z17" s="115">
        <f t="shared" si="4"/>
        <v>1.03</v>
      </c>
      <c r="AA17" s="115">
        <f t="shared" si="4"/>
        <v>1.03</v>
      </c>
    </row>
    <row r="18" spans="1:27" ht="12.75">
      <c r="A18" s="129" t="s">
        <v>83</v>
      </c>
      <c r="B18" s="59">
        <f>+Gastos!G18</f>
        <v>0</v>
      </c>
      <c r="C18" s="59">
        <f t="shared" si="6"/>
        <v>0</v>
      </c>
      <c r="D18" s="232">
        <f t="shared" si="6"/>
        <v>0</v>
      </c>
      <c r="E18" s="59">
        <f t="shared" si="6"/>
        <v>0</v>
      </c>
      <c r="F18" s="232">
        <f t="shared" si="6"/>
        <v>0</v>
      </c>
      <c r="G18" s="59">
        <f t="shared" si="6"/>
        <v>0</v>
      </c>
      <c r="H18" s="232">
        <f t="shared" si="6"/>
        <v>0</v>
      </c>
      <c r="I18" s="59">
        <f t="shared" si="6"/>
        <v>0</v>
      </c>
      <c r="J18" s="232">
        <f t="shared" si="6"/>
        <v>0</v>
      </c>
      <c r="K18" s="59">
        <f t="shared" si="6"/>
        <v>0</v>
      </c>
      <c r="L18" s="59">
        <f t="shared" si="6"/>
        <v>0</v>
      </c>
      <c r="M18" s="59">
        <f t="shared" si="6"/>
        <v>0</v>
      </c>
      <c r="N18" s="59">
        <f t="shared" si="6"/>
        <v>0</v>
      </c>
      <c r="P18" s="37">
        <f>1+(0.055)</f>
        <v>1.055</v>
      </c>
      <c r="Q18" s="41">
        <f>1+(0.05)</f>
        <v>1.05</v>
      </c>
      <c r="R18" s="37">
        <f>1+(0.045)</f>
        <v>1.045</v>
      </c>
      <c r="S18" s="41">
        <f>1+(0.04)</f>
        <v>1.04</v>
      </c>
      <c r="T18" s="37">
        <f>1+(0.035)</f>
        <v>1.035</v>
      </c>
      <c r="U18" s="41">
        <f>1+(0.03)</f>
        <v>1.03</v>
      </c>
      <c r="V18" s="37">
        <f t="shared" si="4"/>
        <v>1.03</v>
      </c>
      <c r="W18" s="41">
        <f t="shared" si="4"/>
        <v>1.03</v>
      </c>
      <c r="X18" s="37">
        <f t="shared" si="4"/>
        <v>1.03</v>
      </c>
      <c r="Y18" s="115">
        <f t="shared" si="4"/>
        <v>1.03</v>
      </c>
      <c r="Z18" s="115">
        <f t="shared" si="4"/>
        <v>1.03</v>
      </c>
      <c r="AA18" s="115">
        <f t="shared" si="4"/>
        <v>1.03</v>
      </c>
    </row>
    <row r="19" spans="1:27" ht="12.75">
      <c r="A19" s="129" t="s">
        <v>84</v>
      </c>
      <c r="B19" s="59">
        <f>+Gastos!G19</f>
        <v>0</v>
      </c>
      <c r="C19" s="59">
        <f t="shared" si="6"/>
        <v>0</v>
      </c>
      <c r="D19" s="232">
        <f t="shared" si="6"/>
        <v>0</v>
      </c>
      <c r="E19" s="59">
        <f t="shared" si="6"/>
        <v>0</v>
      </c>
      <c r="F19" s="232">
        <f t="shared" si="6"/>
        <v>0</v>
      </c>
      <c r="G19" s="59">
        <f t="shared" si="6"/>
        <v>0</v>
      </c>
      <c r="H19" s="232">
        <f t="shared" si="6"/>
        <v>0</v>
      </c>
      <c r="I19" s="59">
        <f t="shared" si="6"/>
        <v>0</v>
      </c>
      <c r="J19" s="232">
        <f t="shared" si="6"/>
        <v>0</v>
      </c>
      <c r="K19" s="59">
        <f t="shared" si="6"/>
        <v>0</v>
      </c>
      <c r="L19" s="59">
        <f t="shared" si="6"/>
        <v>0</v>
      </c>
      <c r="M19" s="59">
        <f t="shared" si="6"/>
        <v>0</v>
      </c>
      <c r="N19" s="59">
        <f t="shared" si="6"/>
        <v>0</v>
      </c>
      <c r="P19" s="37">
        <f>1+(0.055)</f>
        <v>1.055</v>
      </c>
      <c r="Q19" s="41">
        <f>1+(0.05)</f>
        <v>1.05</v>
      </c>
      <c r="R19" s="37">
        <f>1+(0.045)</f>
        <v>1.045</v>
      </c>
      <c r="S19" s="41">
        <f>1+(0.04)</f>
        <v>1.04</v>
      </c>
      <c r="T19" s="37">
        <f>1+(0.035)</f>
        <v>1.035</v>
      </c>
      <c r="U19" s="41">
        <f>1+(0.03)</f>
        <v>1.03</v>
      </c>
      <c r="V19" s="37">
        <f t="shared" si="4"/>
        <v>1.03</v>
      </c>
      <c r="W19" s="41">
        <f t="shared" si="4"/>
        <v>1.03</v>
      </c>
      <c r="X19" s="37">
        <f t="shared" si="4"/>
        <v>1.03</v>
      </c>
      <c r="Y19" s="115">
        <f t="shared" si="4"/>
        <v>1.03</v>
      </c>
      <c r="Z19" s="115">
        <f t="shared" si="4"/>
        <v>1.03</v>
      </c>
      <c r="AA19" s="115">
        <f t="shared" si="4"/>
        <v>1.03</v>
      </c>
    </row>
    <row r="20" spans="1:27" ht="12.75">
      <c r="A20" s="129" t="s">
        <v>85</v>
      </c>
      <c r="B20" s="59">
        <f>+Gastos!G20</f>
        <v>8000000</v>
      </c>
      <c r="C20" s="59">
        <f>B20*P20</f>
        <v>8440000</v>
      </c>
      <c r="D20" s="232">
        <f>+'[3]PASIVA'!$M$479+'[3]PASIVA'!$O$479</f>
        <v>4300000</v>
      </c>
      <c r="E20" s="59">
        <f aca="true" t="shared" si="7" ref="E20:N21">D20*R20</f>
        <v>4493500</v>
      </c>
      <c r="F20" s="232">
        <f t="shared" si="7"/>
        <v>4673240</v>
      </c>
      <c r="G20" s="59">
        <f t="shared" si="7"/>
        <v>4836803.399999999</v>
      </c>
      <c r="H20" s="232">
        <f t="shared" si="7"/>
        <v>4981907.501999999</v>
      </c>
      <c r="I20" s="59">
        <f t="shared" si="7"/>
        <v>5131364.7270599995</v>
      </c>
      <c r="J20" s="232">
        <f t="shared" si="7"/>
        <v>5285305.6688717995</v>
      </c>
      <c r="K20" s="59">
        <f t="shared" si="7"/>
        <v>5443864.838937954</v>
      </c>
      <c r="L20" s="59">
        <f t="shared" si="7"/>
        <v>5607180.7841060925</v>
      </c>
      <c r="M20" s="59">
        <f t="shared" si="7"/>
        <v>5775396.2076292755</v>
      </c>
      <c r="N20" s="59">
        <f t="shared" si="7"/>
        <v>5948658.093858154</v>
      </c>
      <c r="P20" s="37">
        <f>1+(0.055)</f>
        <v>1.055</v>
      </c>
      <c r="Q20" s="41">
        <f>1+(0.05)</f>
        <v>1.05</v>
      </c>
      <c r="R20" s="37">
        <f>1+(0.045)</f>
        <v>1.045</v>
      </c>
      <c r="S20" s="41">
        <f>1+(0.04)</f>
        <v>1.04</v>
      </c>
      <c r="T20" s="37">
        <f>1+(0.035)</f>
        <v>1.035</v>
      </c>
      <c r="U20" s="41">
        <f>1+(0.03)</f>
        <v>1.03</v>
      </c>
      <c r="V20" s="37">
        <f t="shared" si="4"/>
        <v>1.03</v>
      </c>
      <c r="W20" s="41">
        <f t="shared" si="4"/>
        <v>1.03</v>
      </c>
      <c r="X20" s="37">
        <f t="shared" si="4"/>
        <v>1.03</v>
      </c>
      <c r="Y20" s="115">
        <f t="shared" si="4"/>
        <v>1.03</v>
      </c>
      <c r="Z20" s="115">
        <f t="shared" si="4"/>
        <v>1.03</v>
      </c>
      <c r="AA20" s="115">
        <f t="shared" si="4"/>
        <v>1.03</v>
      </c>
    </row>
    <row r="21" spans="1:27" ht="12.75">
      <c r="A21" s="129" t="s">
        <v>86</v>
      </c>
      <c r="B21" s="59">
        <f>+Gastos!G21</f>
        <v>3359480</v>
      </c>
      <c r="C21" s="59">
        <f>B21*P21</f>
        <v>3544251.4</v>
      </c>
      <c r="D21" s="232">
        <f>+'[3]PASIVA'!$M$97+'[3]PASIVA'!$O$97+'[3]PASIVA'!$M$99+'[3]PASIVA'!$M$100</f>
        <v>26482000</v>
      </c>
      <c r="E21" s="59">
        <f t="shared" si="7"/>
        <v>27673689.999999996</v>
      </c>
      <c r="F21" s="232">
        <f t="shared" si="7"/>
        <v>28780637.599999998</v>
      </c>
      <c r="G21" s="59">
        <f t="shared" si="7"/>
        <v>29787959.915999994</v>
      </c>
      <c r="H21" s="232">
        <f t="shared" si="7"/>
        <v>30681598.713479996</v>
      </c>
      <c r="I21" s="59">
        <f t="shared" si="7"/>
        <v>31602046.674884398</v>
      </c>
      <c r="J21" s="232">
        <f t="shared" si="7"/>
        <v>32550108.075130932</v>
      </c>
      <c r="K21" s="59">
        <f t="shared" si="7"/>
        <v>33526611.31738486</v>
      </c>
      <c r="L21" s="59">
        <f t="shared" si="7"/>
        <v>34532409.65690641</v>
      </c>
      <c r="M21" s="59">
        <f t="shared" si="7"/>
        <v>35568381.9466136</v>
      </c>
      <c r="N21" s="59">
        <f t="shared" si="7"/>
        <v>36635433.40501201</v>
      </c>
      <c r="P21" s="37">
        <f>1+(0.055)</f>
        <v>1.055</v>
      </c>
      <c r="Q21" s="41">
        <f>1+(0.05)</f>
        <v>1.05</v>
      </c>
      <c r="R21" s="37">
        <f>1+(0.045)</f>
        <v>1.045</v>
      </c>
      <c r="S21" s="41">
        <f>1+(0.04)</f>
        <v>1.04</v>
      </c>
      <c r="T21" s="37">
        <f>1+(0.035)</f>
        <v>1.035</v>
      </c>
      <c r="U21" s="41">
        <f>1+(0.03)</f>
        <v>1.03</v>
      </c>
      <c r="V21" s="37">
        <f t="shared" si="4"/>
        <v>1.03</v>
      </c>
      <c r="W21" s="41">
        <f t="shared" si="4"/>
        <v>1.03</v>
      </c>
      <c r="X21" s="37">
        <f t="shared" si="4"/>
        <v>1.03</v>
      </c>
      <c r="Y21" s="115">
        <f t="shared" si="4"/>
        <v>1.03</v>
      </c>
      <c r="Z21" s="115">
        <f t="shared" si="4"/>
        <v>1.03</v>
      </c>
      <c r="AA21" s="115">
        <f t="shared" si="4"/>
        <v>1.03</v>
      </c>
    </row>
    <row r="22" spans="1:27" ht="12.75">
      <c r="A22" s="126" t="s">
        <v>87</v>
      </c>
      <c r="B22" s="92">
        <f>+B23+B26</f>
        <v>73529889.21000001</v>
      </c>
      <c r="C22" s="92">
        <f>+C23+C26</f>
        <v>77574033.11655</v>
      </c>
      <c r="D22" s="142">
        <f aca="true" t="shared" si="8" ref="D22:L22">+D23+D26</f>
        <v>99848305</v>
      </c>
      <c r="E22" s="92">
        <f t="shared" si="8"/>
        <v>104341478.725</v>
      </c>
      <c r="F22" s="142">
        <f t="shared" si="8"/>
        <v>108515137.87399998</v>
      </c>
      <c r="G22" s="92">
        <f t="shared" si="8"/>
        <v>112313167.69958998</v>
      </c>
      <c r="H22" s="142">
        <f t="shared" si="8"/>
        <v>115682562.73057768</v>
      </c>
      <c r="I22" s="92">
        <f t="shared" si="8"/>
        <v>119153039.61249502</v>
      </c>
      <c r="J22" s="142">
        <f t="shared" si="8"/>
        <v>122727630.80086988</v>
      </c>
      <c r="K22" s="92">
        <f t="shared" si="8"/>
        <v>126409459.72489597</v>
      </c>
      <c r="L22" s="92">
        <f t="shared" si="8"/>
        <v>130201743.51664284</v>
      </c>
      <c r="M22" s="92">
        <f>+M23+M26</f>
        <v>134107795.82214214</v>
      </c>
      <c r="N22" s="92">
        <f>+N23+N26</f>
        <v>138131029.6968064</v>
      </c>
      <c r="P22" s="191"/>
      <c r="Q22" s="202"/>
      <c r="R22" s="191"/>
      <c r="S22" s="202"/>
      <c r="T22" s="191"/>
      <c r="U22" s="202"/>
      <c r="V22" s="191"/>
      <c r="W22" s="202"/>
      <c r="X22" s="191"/>
      <c r="Y22" s="264"/>
      <c r="Z22" s="264"/>
      <c r="AA22" s="264"/>
    </row>
    <row r="23" spans="1:27" ht="12.75">
      <c r="A23" s="126" t="s">
        <v>88</v>
      </c>
      <c r="B23" s="92">
        <f>SUM(B24:B25)</f>
        <v>19695949</v>
      </c>
      <c r="C23" s="92">
        <f>SUM(C24:C25)</f>
        <v>20779226.195</v>
      </c>
      <c r="D23" s="142">
        <f aca="true" t="shared" si="9" ref="D23:L23">SUM(D24:D25)</f>
        <v>23177309</v>
      </c>
      <c r="E23" s="92">
        <f t="shared" si="9"/>
        <v>24220287.904999997</v>
      </c>
      <c r="F23" s="142">
        <f t="shared" si="9"/>
        <v>25189099.4212</v>
      </c>
      <c r="G23" s="92">
        <f t="shared" si="9"/>
        <v>26070717.900941998</v>
      </c>
      <c r="H23" s="142">
        <f t="shared" si="9"/>
        <v>26852839.43797026</v>
      </c>
      <c r="I23" s="92">
        <f t="shared" si="9"/>
        <v>27658424.621109366</v>
      </c>
      <c r="J23" s="142">
        <f t="shared" si="9"/>
        <v>28488177.35974265</v>
      </c>
      <c r="K23" s="92">
        <f t="shared" si="9"/>
        <v>29342822.68053493</v>
      </c>
      <c r="L23" s="92">
        <f t="shared" si="9"/>
        <v>30223107.360950977</v>
      </c>
      <c r="M23" s="92">
        <f>SUM(M24:M25)</f>
        <v>31129800.581779506</v>
      </c>
      <c r="N23" s="92">
        <f>SUM(N24:N25)</f>
        <v>32063694.599232893</v>
      </c>
      <c r="P23" s="191"/>
      <c r="Q23" s="202"/>
      <c r="R23" s="191"/>
      <c r="S23" s="202"/>
      <c r="T23" s="191"/>
      <c r="U23" s="202"/>
      <c r="V23" s="191"/>
      <c r="W23" s="202"/>
      <c r="X23" s="191"/>
      <c r="Y23" s="264"/>
      <c r="Z23" s="264"/>
      <c r="AA23" s="264"/>
    </row>
    <row r="24" spans="1:27" ht="12.75">
      <c r="A24" s="129" t="s">
        <v>89</v>
      </c>
      <c r="B24" s="59">
        <f>+Gastos!G24</f>
        <v>4189914</v>
      </c>
      <c r="C24" s="59">
        <f>B24*P24</f>
        <v>4420359.27</v>
      </c>
      <c r="D24" s="232">
        <v>0</v>
      </c>
      <c r="E24" s="59">
        <f aca="true" t="shared" si="10" ref="E24:N25">D24*R24</f>
        <v>0</v>
      </c>
      <c r="F24" s="232">
        <f t="shared" si="10"/>
        <v>0</v>
      </c>
      <c r="G24" s="59">
        <f t="shared" si="10"/>
        <v>0</v>
      </c>
      <c r="H24" s="232">
        <f t="shared" si="10"/>
        <v>0</v>
      </c>
      <c r="I24" s="59">
        <f t="shared" si="10"/>
        <v>0</v>
      </c>
      <c r="J24" s="232">
        <f t="shared" si="10"/>
        <v>0</v>
      </c>
      <c r="K24" s="59">
        <f t="shared" si="10"/>
        <v>0</v>
      </c>
      <c r="L24" s="59">
        <f t="shared" si="10"/>
        <v>0</v>
      </c>
      <c r="M24" s="59">
        <f t="shared" si="10"/>
        <v>0</v>
      </c>
      <c r="N24" s="59">
        <f t="shared" si="10"/>
        <v>0</v>
      </c>
      <c r="P24" s="37">
        <f>1+(0.055)</f>
        <v>1.055</v>
      </c>
      <c r="Q24" s="41">
        <f>1+(0.05)</f>
        <v>1.05</v>
      </c>
      <c r="R24" s="37">
        <f>1+(0.045)</f>
        <v>1.045</v>
      </c>
      <c r="S24" s="41">
        <f>1+(0.04)</f>
        <v>1.04</v>
      </c>
      <c r="T24" s="37">
        <f>1+(0.035)</f>
        <v>1.035</v>
      </c>
      <c r="U24" s="41">
        <f aca="true" t="shared" si="11" ref="U24:AA25">1+(0.03)</f>
        <v>1.03</v>
      </c>
      <c r="V24" s="37">
        <f t="shared" si="11"/>
        <v>1.03</v>
      </c>
      <c r="W24" s="41">
        <f t="shared" si="11"/>
        <v>1.03</v>
      </c>
      <c r="X24" s="37">
        <f t="shared" si="11"/>
        <v>1.03</v>
      </c>
      <c r="Y24" s="115">
        <f t="shared" si="11"/>
        <v>1.03</v>
      </c>
      <c r="Z24" s="115">
        <f t="shared" si="11"/>
        <v>1.03</v>
      </c>
      <c r="AA24" s="115">
        <f t="shared" si="11"/>
        <v>1.03</v>
      </c>
    </row>
    <row r="25" spans="1:27" ht="12.75">
      <c r="A25" s="129" t="s">
        <v>90</v>
      </c>
      <c r="B25" s="59">
        <f>+Gastos!G25</f>
        <v>15506035</v>
      </c>
      <c r="C25" s="59">
        <f>B25*P25</f>
        <v>16358866.924999999</v>
      </c>
      <c r="D25" s="232">
        <f>+'[3]PASIVA'!$M$89+'[3]PASIVA'!$M$90+'[3]PASIVA'!$M$93+'[3]PASIVA'!$M$94+'[3]PASIVA'!$M$95+'[3]PASIVA'!$M$96+'[3]PASIVA'!$M$424+'[3]PASIVA'!$M$426+'[3]PASIVA'!$M$427+'[3]PASIVA'!$M$428+'[3]PASIVA'!$M$429+'[3]PASIVA'!$M$447+'[3]PASIVA'!$M$449+'[3]PASIVA'!$M$450+'[3]PASIVA'!$M$451+'[3]PASIVA'!$M$452+'[3]PASIVA'!$M$466+'[3]PASIVA'!$M$468+'[3]PASIVA'!$M$469+'[3]PASIVA'!$M$470+'[3]PASIVA'!$M$471</f>
        <v>23177309</v>
      </c>
      <c r="E25" s="59">
        <f t="shared" si="10"/>
        <v>24220287.904999997</v>
      </c>
      <c r="F25" s="232">
        <f t="shared" si="10"/>
        <v>25189099.4212</v>
      </c>
      <c r="G25" s="59">
        <f t="shared" si="10"/>
        <v>26070717.900941998</v>
      </c>
      <c r="H25" s="232">
        <f t="shared" si="10"/>
        <v>26852839.43797026</v>
      </c>
      <c r="I25" s="59">
        <f t="shared" si="10"/>
        <v>27658424.621109366</v>
      </c>
      <c r="J25" s="232">
        <f t="shared" si="10"/>
        <v>28488177.35974265</v>
      </c>
      <c r="K25" s="59">
        <f t="shared" si="10"/>
        <v>29342822.68053493</v>
      </c>
      <c r="L25" s="59">
        <f t="shared" si="10"/>
        <v>30223107.360950977</v>
      </c>
      <c r="M25" s="59">
        <f t="shared" si="10"/>
        <v>31129800.581779506</v>
      </c>
      <c r="N25" s="59">
        <f t="shared" si="10"/>
        <v>32063694.599232893</v>
      </c>
      <c r="P25" s="37">
        <f>1+(0.055)</f>
        <v>1.055</v>
      </c>
      <c r="Q25" s="41">
        <f>1+(0.05)</f>
        <v>1.05</v>
      </c>
      <c r="R25" s="37">
        <f>1+(0.045)</f>
        <v>1.045</v>
      </c>
      <c r="S25" s="41">
        <f>1+(0.04)</f>
        <v>1.04</v>
      </c>
      <c r="T25" s="37">
        <f>1+(0.035)</f>
        <v>1.035</v>
      </c>
      <c r="U25" s="41">
        <f t="shared" si="11"/>
        <v>1.03</v>
      </c>
      <c r="V25" s="37">
        <f t="shared" si="11"/>
        <v>1.03</v>
      </c>
      <c r="W25" s="41">
        <f t="shared" si="11"/>
        <v>1.03</v>
      </c>
      <c r="X25" s="37">
        <f t="shared" si="11"/>
        <v>1.03</v>
      </c>
      <c r="Y25" s="115">
        <f t="shared" si="11"/>
        <v>1.03</v>
      </c>
      <c r="Z25" s="115">
        <f t="shared" si="11"/>
        <v>1.03</v>
      </c>
      <c r="AA25" s="115">
        <f t="shared" si="11"/>
        <v>1.03</v>
      </c>
    </row>
    <row r="26" spans="1:27" ht="12.75">
      <c r="A26" s="126" t="s">
        <v>91</v>
      </c>
      <c r="B26" s="92">
        <f>SUM(B27:B28)</f>
        <v>53833940.21</v>
      </c>
      <c r="C26" s="92">
        <f>SUM(C27:C28)</f>
        <v>56794806.92155</v>
      </c>
      <c r="D26" s="142">
        <f aca="true" t="shared" si="12" ref="D26:L26">SUM(D27:D28)</f>
        <v>76670996</v>
      </c>
      <c r="E26" s="92">
        <f t="shared" si="12"/>
        <v>80121190.82</v>
      </c>
      <c r="F26" s="142">
        <f t="shared" si="12"/>
        <v>83326038.45279999</v>
      </c>
      <c r="G26" s="92">
        <f t="shared" si="12"/>
        <v>86242449.79864798</v>
      </c>
      <c r="H26" s="142">
        <f t="shared" si="12"/>
        <v>88829723.29260743</v>
      </c>
      <c r="I26" s="92">
        <f t="shared" si="12"/>
        <v>91494614.99138565</v>
      </c>
      <c r="J26" s="142">
        <f t="shared" si="12"/>
        <v>94239453.44112723</v>
      </c>
      <c r="K26" s="92">
        <f t="shared" si="12"/>
        <v>97066637.04436104</v>
      </c>
      <c r="L26" s="92">
        <f t="shared" si="12"/>
        <v>99978636.15569186</v>
      </c>
      <c r="M26" s="92">
        <f>SUM(M27:M28)</f>
        <v>102977995.24036263</v>
      </c>
      <c r="N26" s="92">
        <f>SUM(N27:N28)</f>
        <v>106067335.0975735</v>
      </c>
      <c r="P26" s="191"/>
      <c r="Q26" s="202"/>
      <c r="R26" s="191"/>
      <c r="S26" s="202"/>
      <c r="T26" s="191"/>
      <c r="U26" s="202"/>
      <c r="V26" s="191"/>
      <c r="W26" s="202"/>
      <c r="X26" s="191"/>
      <c r="Y26" s="264"/>
      <c r="Z26" s="264"/>
      <c r="AA26" s="264"/>
    </row>
    <row r="27" spans="1:27" ht="12.75">
      <c r="A27" s="129" t="s">
        <v>89</v>
      </c>
      <c r="B27" s="59">
        <f>+Gastos!G27</f>
        <v>53833940.21</v>
      </c>
      <c r="C27" s="59">
        <f>B27*P27</f>
        <v>56794806.92155</v>
      </c>
      <c r="D27" s="232">
        <f>+'[3]PASIVA'!$M$85+'[3]PASIVA'!$O$85+'[3]PASIVA'!$O$86+'[3]PASIVA'!$M$87+'[3]PASIVA'!$M$91+'[3]PASIVA'!$M$92+'[3]PASIVA'!$O$421+'[3]PASIVA'!$M$422+'[3]PASIVA'!$M$425+'[3]PASIVA'!$O$444+'[3]PASIVA'!$M$445+'[3]PASIVA'!$M$448+'[3]PASIVA'!$O$463+'[3]PASIVA'!$M$464+'[3]PASIVA'!$M$467</f>
        <v>67874510</v>
      </c>
      <c r="E27" s="59">
        <f aca="true" t="shared" si="13" ref="E27:N28">D27*R27</f>
        <v>70928862.94999999</v>
      </c>
      <c r="F27" s="232">
        <f t="shared" si="13"/>
        <v>73766017.468</v>
      </c>
      <c r="G27" s="59">
        <f t="shared" si="13"/>
        <v>76347828.07937999</v>
      </c>
      <c r="H27" s="232">
        <f t="shared" si="13"/>
        <v>78638262.9217614</v>
      </c>
      <c r="I27" s="59">
        <f t="shared" si="13"/>
        <v>80997410.80941424</v>
      </c>
      <c r="J27" s="232">
        <f t="shared" si="13"/>
        <v>83427333.13369666</v>
      </c>
      <c r="K27" s="59">
        <f t="shared" si="13"/>
        <v>85930153.12770756</v>
      </c>
      <c r="L27" s="59">
        <f t="shared" si="13"/>
        <v>88508057.72153878</v>
      </c>
      <c r="M27" s="59">
        <f t="shared" si="13"/>
        <v>91163299.45318495</v>
      </c>
      <c r="N27" s="59">
        <f t="shared" si="13"/>
        <v>93898198.4367805</v>
      </c>
      <c r="P27" s="37">
        <f>1+(0.055)</f>
        <v>1.055</v>
      </c>
      <c r="Q27" s="41">
        <f aca="true" t="shared" si="14" ref="Q27:Q32">1+(0.05)</f>
        <v>1.05</v>
      </c>
      <c r="R27" s="37">
        <f aca="true" t="shared" si="15" ref="R27:R32">1+(0.045)</f>
        <v>1.045</v>
      </c>
      <c r="S27" s="41">
        <f aca="true" t="shared" si="16" ref="S27:S32">1+(0.04)</f>
        <v>1.04</v>
      </c>
      <c r="T27" s="37">
        <f aca="true" t="shared" si="17" ref="T27:T32">1+(0.035)</f>
        <v>1.035</v>
      </c>
      <c r="U27" s="41">
        <f aca="true" t="shared" si="18" ref="U27:AA32">1+(0.03)</f>
        <v>1.03</v>
      </c>
      <c r="V27" s="37">
        <f t="shared" si="18"/>
        <v>1.03</v>
      </c>
      <c r="W27" s="41">
        <f t="shared" si="18"/>
        <v>1.03</v>
      </c>
      <c r="X27" s="37">
        <f t="shared" si="18"/>
        <v>1.03</v>
      </c>
      <c r="Y27" s="115">
        <f t="shared" si="18"/>
        <v>1.03</v>
      </c>
      <c r="Z27" s="115">
        <f t="shared" si="18"/>
        <v>1.03</v>
      </c>
      <c r="AA27" s="115">
        <f t="shared" si="18"/>
        <v>1.03</v>
      </c>
    </row>
    <row r="28" spans="1:27" ht="12.75">
      <c r="A28" s="129" t="s">
        <v>90</v>
      </c>
      <c r="B28" s="59">
        <f>+Gastos!G28</f>
        <v>0</v>
      </c>
      <c r="C28" s="59">
        <f>B28*P28</f>
        <v>0</v>
      </c>
      <c r="D28" s="232">
        <f>+'[3]PASIVA'!$M$465+'[3]PASIVA'!$M$446+'[3]PASIVA'!$M$423+'[3]PASIVA'!$M$88</f>
        <v>8796486</v>
      </c>
      <c r="E28" s="59">
        <f t="shared" si="13"/>
        <v>9192327.87</v>
      </c>
      <c r="F28" s="232">
        <f t="shared" si="13"/>
        <v>9560020.9848</v>
      </c>
      <c r="G28" s="59">
        <f t="shared" si="13"/>
        <v>9894621.719268</v>
      </c>
      <c r="H28" s="232">
        <f t="shared" si="13"/>
        <v>10191460.37084604</v>
      </c>
      <c r="I28" s="59">
        <f t="shared" si="13"/>
        <v>10497204.181971421</v>
      </c>
      <c r="J28" s="232">
        <f t="shared" si="13"/>
        <v>10812120.307430563</v>
      </c>
      <c r="K28" s="59">
        <f t="shared" si="13"/>
        <v>11136483.91665348</v>
      </c>
      <c r="L28" s="59">
        <f t="shared" si="13"/>
        <v>11470578.434153086</v>
      </c>
      <c r="M28" s="59">
        <f t="shared" si="13"/>
        <v>11814695.787177678</v>
      </c>
      <c r="N28" s="59">
        <f t="shared" si="13"/>
        <v>12169136.660793008</v>
      </c>
      <c r="P28" s="37">
        <f>1+(0.055)</f>
        <v>1.055</v>
      </c>
      <c r="Q28" s="41">
        <f t="shared" si="14"/>
        <v>1.05</v>
      </c>
      <c r="R28" s="37">
        <f t="shared" si="15"/>
        <v>1.045</v>
      </c>
      <c r="S28" s="41">
        <f t="shared" si="16"/>
        <v>1.04</v>
      </c>
      <c r="T28" s="37">
        <f t="shared" si="17"/>
        <v>1.035</v>
      </c>
      <c r="U28" s="41">
        <f t="shared" si="18"/>
        <v>1.03</v>
      </c>
      <c r="V28" s="37">
        <f t="shared" si="18"/>
        <v>1.03</v>
      </c>
      <c r="W28" s="41">
        <f t="shared" si="18"/>
        <v>1.03</v>
      </c>
      <c r="X28" s="37">
        <f t="shared" si="18"/>
        <v>1.03</v>
      </c>
      <c r="Y28" s="115">
        <f t="shared" si="18"/>
        <v>1.03</v>
      </c>
      <c r="Z28" s="115">
        <f t="shared" si="18"/>
        <v>1.03</v>
      </c>
      <c r="AA28" s="115">
        <f t="shared" si="18"/>
        <v>1.03</v>
      </c>
    </row>
    <row r="29" spans="1:27" ht="12.75">
      <c r="A29" s="20" t="s">
        <v>92</v>
      </c>
      <c r="B29" s="60">
        <f>SUM(B30:B32)</f>
        <v>66087581</v>
      </c>
      <c r="C29" s="60">
        <f>SUM(C30:C32)</f>
        <v>70052835.86</v>
      </c>
      <c r="D29" s="209">
        <f aca="true" t="shared" si="19" ref="D29:L29">SUM(D30:D32)</f>
        <v>226472334.39999998</v>
      </c>
      <c r="E29" s="60">
        <f t="shared" si="19"/>
        <v>236663589.44799995</v>
      </c>
      <c r="F29" s="209">
        <f t="shared" si="19"/>
        <v>246130133.02591997</v>
      </c>
      <c r="G29" s="60">
        <f t="shared" si="19"/>
        <v>254744687.68182713</v>
      </c>
      <c r="H29" s="209">
        <f t="shared" si="19"/>
        <v>262387028.31228194</v>
      </c>
      <c r="I29" s="60">
        <f t="shared" si="19"/>
        <v>270258639.1616504</v>
      </c>
      <c r="J29" s="209">
        <f t="shared" si="19"/>
        <v>278366398.3364999</v>
      </c>
      <c r="K29" s="60">
        <f t="shared" si="19"/>
        <v>286717390.28659487</v>
      </c>
      <c r="L29" s="60">
        <f t="shared" si="19"/>
        <v>295318911.99519277</v>
      </c>
      <c r="M29" s="60">
        <f>SUM(M30:M32)</f>
        <v>304178479.35504854</v>
      </c>
      <c r="N29" s="60">
        <f>SUM(N30:N32)</f>
        <v>313303833.7357</v>
      </c>
      <c r="P29" s="191"/>
      <c r="Q29" s="202"/>
      <c r="R29" s="191"/>
      <c r="S29" s="202"/>
      <c r="T29" s="191"/>
      <c r="U29" s="202"/>
      <c r="V29" s="191"/>
      <c r="W29" s="202"/>
      <c r="X29" s="191"/>
      <c r="Y29" s="264"/>
      <c r="Z29" s="264"/>
      <c r="AA29" s="264"/>
    </row>
    <row r="30" spans="1:27" ht="12.75">
      <c r="A30" s="129" t="s">
        <v>93</v>
      </c>
      <c r="B30" s="59">
        <f>+Gastos!G30</f>
        <v>11714775</v>
      </c>
      <c r="C30" s="59">
        <f>B30*P30</f>
        <v>12417661.5</v>
      </c>
      <c r="D30" s="232">
        <f>+'[3]PASIVA'!$M$105+'[3]PASIVA'!$M$106+'[3]PASIVA'!$M$129+'[3]PASIVA'!$M$138+'[3]PASIVA'!$O$138+'[3]PASIVA'!$M$139+'[3]PASIVA'!$O$139+'[3]PASIVA'!$O$140+'[3]PASIVA'!$O$141+'[3]PASIVA'!$M$141+'[3]PASIVA'!$M$432+'[3]PASIVA'!$O$432+'[3]PASIVA'!$M$487</f>
        <v>98625037</v>
      </c>
      <c r="E30" s="59">
        <f aca="true" t="shared" si="20" ref="E30:N32">D30*R30</f>
        <v>103063163.66499999</v>
      </c>
      <c r="F30" s="232">
        <f t="shared" si="20"/>
        <v>107185690.21159999</v>
      </c>
      <c r="G30" s="59">
        <f t="shared" si="20"/>
        <v>110937189.36900598</v>
      </c>
      <c r="H30" s="232">
        <f t="shared" si="20"/>
        <v>114265305.05007616</v>
      </c>
      <c r="I30" s="59">
        <f t="shared" si="20"/>
        <v>117693264.20157844</v>
      </c>
      <c r="J30" s="232">
        <f t="shared" si="20"/>
        <v>121224062.1276258</v>
      </c>
      <c r="K30" s="59">
        <f t="shared" si="20"/>
        <v>124860783.99145457</v>
      </c>
      <c r="L30" s="59">
        <f t="shared" si="20"/>
        <v>128606607.51119821</v>
      </c>
      <c r="M30" s="59">
        <f t="shared" si="20"/>
        <v>132464805.73653416</v>
      </c>
      <c r="N30" s="59">
        <f t="shared" si="20"/>
        <v>136438749.9086302</v>
      </c>
      <c r="P30" s="37">
        <f>1+(0.06)</f>
        <v>1.06</v>
      </c>
      <c r="Q30" s="41">
        <f t="shared" si="14"/>
        <v>1.05</v>
      </c>
      <c r="R30" s="37">
        <f t="shared" si="15"/>
        <v>1.045</v>
      </c>
      <c r="S30" s="41">
        <f t="shared" si="16"/>
        <v>1.04</v>
      </c>
      <c r="T30" s="37">
        <f t="shared" si="17"/>
        <v>1.035</v>
      </c>
      <c r="U30" s="41">
        <f t="shared" si="18"/>
        <v>1.03</v>
      </c>
      <c r="V30" s="37">
        <f t="shared" si="18"/>
        <v>1.03</v>
      </c>
      <c r="W30" s="41">
        <f t="shared" si="18"/>
        <v>1.03</v>
      </c>
      <c r="X30" s="37">
        <f t="shared" si="18"/>
        <v>1.03</v>
      </c>
      <c r="Y30" s="115">
        <f t="shared" si="18"/>
        <v>1.03</v>
      </c>
      <c r="Z30" s="115">
        <f t="shared" si="18"/>
        <v>1.03</v>
      </c>
      <c r="AA30" s="115">
        <f t="shared" si="18"/>
        <v>1.03</v>
      </c>
    </row>
    <row r="31" spans="1:27" ht="12.75">
      <c r="A31" s="129" t="s">
        <v>94</v>
      </c>
      <c r="B31" s="59">
        <f>+Gastos!G31</f>
        <v>51819906</v>
      </c>
      <c r="C31" s="59">
        <f>B31*P31</f>
        <v>54929100.36</v>
      </c>
      <c r="D31" s="232">
        <f>+SUM('[3]PASIVA'!$M$107:$M$128)+'[3]PASIVA'!$O$122+'[3]PASIVA'!$M$130+'[3]PASIVA'!$O$130+'[3]PASIVA'!$M$409+'[3]PASIVA'!$M$410+'[3]PASIVA'!$M$431+'[3]PASIVA'!$M$433+'[3]PASIVA'!$O$433+'[3]PASIVA'!$M$473+'[3]PASIVA'!$M$482+'[3]PASIVA'!$M$483+'[3]PASIVA'!$O$483+'[3]PASIVA'!$M$488</f>
        <v>127847297.39999999</v>
      </c>
      <c r="E31" s="59">
        <f t="shared" si="20"/>
        <v>133600425.78299998</v>
      </c>
      <c r="F31" s="232">
        <f t="shared" si="20"/>
        <v>138944442.81431997</v>
      </c>
      <c r="G31" s="59">
        <f t="shared" si="20"/>
        <v>143807498.31282115</v>
      </c>
      <c r="H31" s="232">
        <f t="shared" si="20"/>
        <v>148121723.26220578</v>
      </c>
      <c r="I31" s="59">
        <f t="shared" si="20"/>
        <v>152565374.96007195</v>
      </c>
      <c r="J31" s="232">
        <f t="shared" si="20"/>
        <v>157142336.2088741</v>
      </c>
      <c r="K31" s="59">
        <f t="shared" si="20"/>
        <v>161856606.29514033</v>
      </c>
      <c r="L31" s="59">
        <f t="shared" si="20"/>
        <v>166712304.48399454</v>
      </c>
      <c r="M31" s="59">
        <f t="shared" si="20"/>
        <v>171713673.6185144</v>
      </c>
      <c r="N31" s="59">
        <f t="shared" si="20"/>
        <v>176865083.82706982</v>
      </c>
      <c r="P31" s="37">
        <f>1+(0.06)</f>
        <v>1.06</v>
      </c>
      <c r="Q31" s="41">
        <f t="shared" si="14"/>
        <v>1.05</v>
      </c>
      <c r="R31" s="37">
        <f t="shared" si="15"/>
        <v>1.045</v>
      </c>
      <c r="S31" s="41">
        <f t="shared" si="16"/>
        <v>1.04</v>
      </c>
      <c r="T31" s="37">
        <f t="shared" si="17"/>
        <v>1.035</v>
      </c>
      <c r="U31" s="41">
        <f t="shared" si="18"/>
        <v>1.03</v>
      </c>
      <c r="V31" s="37">
        <f t="shared" si="18"/>
        <v>1.03</v>
      </c>
      <c r="W31" s="41">
        <f t="shared" si="18"/>
        <v>1.03</v>
      </c>
      <c r="X31" s="37">
        <f t="shared" si="18"/>
        <v>1.03</v>
      </c>
      <c r="Y31" s="115">
        <f t="shared" si="18"/>
        <v>1.03</v>
      </c>
      <c r="Z31" s="115">
        <f t="shared" si="18"/>
        <v>1.03</v>
      </c>
      <c r="AA31" s="115">
        <f t="shared" si="18"/>
        <v>1.03</v>
      </c>
    </row>
    <row r="32" spans="1:27" ht="12.75">
      <c r="A32" s="129" t="s">
        <v>95</v>
      </c>
      <c r="B32" s="59">
        <f>+Gastos!G32</f>
        <v>2552900</v>
      </c>
      <c r="C32" s="59">
        <f>B32*P32</f>
        <v>2706074</v>
      </c>
      <c r="D32" s="232">
        <v>0</v>
      </c>
      <c r="E32" s="59">
        <f t="shared" si="20"/>
        <v>0</v>
      </c>
      <c r="F32" s="232">
        <f t="shared" si="20"/>
        <v>0</v>
      </c>
      <c r="G32" s="59">
        <f t="shared" si="20"/>
        <v>0</v>
      </c>
      <c r="H32" s="232">
        <f t="shared" si="20"/>
        <v>0</v>
      </c>
      <c r="I32" s="59">
        <f t="shared" si="20"/>
        <v>0</v>
      </c>
      <c r="J32" s="232">
        <f t="shared" si="20"/>
        <v>0</v>
      </c>
      <c r="K32" s="59">
        <f t="shared" si="20"/>
        <v>0</v>
      </c>
      <c r="L32" s="59">
        <f t="shared" si="20"/>
        <v>0</v>
      </c>
      <c r="M32" s="59">
        <f t="shared" si="20"/>
        <v>0</v>
      </c>
      <c r="N32" s="59">
        <f t="shared" si="20"/>
        <v>0</v>
      </c>
      <c r="P32" s="37">
        <f>1+(0.06)</f>
        <v>1.06</v>
      </c>
      <c r="Q32" s="41">
        <f t="shared" si="14"/>
        <v>1.05</v>
      </c>
      <c r="R32" s="37">
        <f t="shared" si="15"/>
        <v>1.045</v>
      </c>
      <c r="S32" s="41">
        <f t="shared" si="16"/>
        <v>1.04</v>
      </c>
      <c r="T32" s="37">
        <f t="shared" si="17"/>
        <v>1.035</v>
      </c>
      <c r="U32" s="41">
        <f t="shared" si="18"/>
        <v>1.03</v>
      </c>
      <c r="V32" s="37">
        <f t="shared" si="18"/>
        <v>1.03</v>
      </c>
      <c r="W32" s="41">
        <f t="shared" si="18"/>
        <v>1.03</v>
      </c>
      <c r="X32" s="37">
        <f t="shared" si="18"/>
        <v>1.03</v>
      </c>
      <c r="Y32" s="115">
        <f t="shared" si="18"/>
        <v>1.03</v>
      </c>
      <c r="Z32" s="115">
        <f t="shared" si="18"/>
        <v>1.03</v>
      </c>
      <c r="AA32" s="115">
        <f t="shared" si="18"/>
        <v>1.03</v>
      </c>
    </row>
    <row r="33" spans="1:27" ht="12.75">
      <c r="A33" s="20" t="s">
        <v>96</v>
      </c>
      <c r="B33" s="60">
        <f>B34+B44+B50+B51+B52</f>
        <v>72229824</v>
      </c>
      <c r="C33" s="60">
        <f>C34+C44+C50+C51+C52</f>
        <v>76202464.32</v>
      </c>
      <c r="D33" s="209">
        <f aca="true" t="shared" si="21" ref="D33:L33">D34+D44+D50+D51+D52</f>
        <v>42064134</v>
      </c>
      <c r="E33" s="60">
        <f t="shared" si="21"/>
        <v>43957020.029999994</v>
      </c>
      <c r="F33" s="209">
        <f t="shared" si="21"/>
        <v>45715300.8312</v>
      </c>
      <c r="G33" s="60">
        <f t="shared" si="21"/>
        <v>47315336.360291995</v>
      </c>
      <c r="H33" s="209">
        <f t="shared" si="21"/>
        <v>48734796.45110077</v>
      </c>
      <c r="I33" s="60">
        <f t="shared" si="21"/>
        <v>50196840.34463378</v>
      </c>
      <c r="J33" s="209">
        <f t="shared" si="21"/>
        <v>51702745.5549728</v>
      </c>
      <c r="K33" s="60">
        <f t="shared" si="21"/>
        <v>53253827.92162198</v>
      </c>
      <c r="L33" s="60">
        <f t="shared" si="21"/>
        <v>54851442.75927064</v>
      </c>
      <c r="M33" s="60">
        <f>M34+M44+M50+M51+M52</f>
        <v>56496986.04204876</v>
      </c>
      <c r="N33" s="60">
        <f>N34+N44+N50+N51+N52</f>
        <v>58191895.623310216</v>
      </c>
      <c r="P33" s="191"/>
      <c r="Q33" s="202"/>
      <c r="R33" s="191"/>
      <c r="S33" s="202"/>
      <c r="T33" s="191"/>
      <c r="U33" s="202"/>
      <c r="V33" s="191"/>
      <c r="W33" s="202"/>
      <c r="X33" s="191"/>
      <c r="Y33" s="264"/>
      <c r="Z33" s="264"/>
      <c r="AA33" s="264"/>
    </row>
    <row r="34" spans="1:27" ht="12.75">
      <c r="A34" s="126" t="s">
        <v>97</v>
      </c>
      <c r="B34" s="92">
        <f>+B35+B39</f>
        <v>37189636</v>
      </c>
      <c r="C34" s="92">
        <f>+C35+C39</f>
        <v>39235065.98</v>
      </c>
      <c r="D34" s="142">
        <f aca="true" t="shared" si="22" ref="D34:L34">+D35+D39</f>
        <v>39492823</v>
      </c>
      <c r="E34" s="92">
        <f t="shared" si="22"/>
        <v>41270000.035</v>
      </c>
      <c r="F34" s="142">
        <f t="shared" si="22"/>
        <v>42920800.036400005</v>
      </c>
      <c r="G34" s="92">
        <f t="shared" si="22"/>
        <v>44423028.037673995</v>
      </c>
      <c r="H34" s="142">
        <f t="shared" si="22"/>
        <v>45755718.87880422</v>
      </c>
      <c r="I34" s="92">
        <f t="shared" si="22"/>
        <v>47128390.445168346</v>
      </c>
      <c r="J34" s="142">
        <f t="shared" si="22"/>
        <v>48542242.158523396</v>
      </c>
      <c r="K34" s="92">
        <f t="shared" si="22"/>
        <v>49998509.4232791</v>
      </c>
      <c r="L34" s="92">
        <f t="shared" si="22"/>
        <v>51498464.70597747</v>
      </c>
      <c r="M34" s="92">
        <f>+M35+M39</f>
        <v>53043418.6471568</v>
      </c>
      <c r="N34" s="92">
        <f>+N35+N39</f>
        <v>54634721.2065715</v>
      </c>
      <c r="P34" s="191"/>
      <c r="Q34" s="202"/>
      <c r="R34" s="191"/>
      <c r="S34" s="202"/>
      <c r="T34" s="191"/>
      <c r="U34" s="202"/>
      <c r="V34" s="191"/>
      <c r="W34" s="202"/>
      <c r="X34" s="191"/>
      <c r="Y34" s="264"/>
      <c r="Z34" s="264"/>
      <c r="AA34" s="264"/>
    </row>
    <row r="35" spans="1:27" ht="12.75">
      <c r="A35" s="126" t="s">
        <v>98</v>
      </c>
      <c r="B35" s="92">
        <f>SUM(B36:B38)</f>
        <v>28003136</v>
      </c>
      <c r="C35" s="92">
        <f>SUM(C36:C38)</f>
        <v>29543308.479999997</v>
      </c>
      <c r="D35" s="142">
        <f aca="true" t="shared" si="23" ref="D35:L35">SUM(D36:D38)</f>
        <v>25897253</v>
      </c>
      <c r="E35" s="92">
        <f t="shared" si="23"/>
        <v>27062629.384999998</v>
      </c>
      <c r="F35" s="142">
        <f t="shared" si="23"/>
        <v>28145134.5604</v>
      </c>
      <c r="G35" s="92">
        <f t="shared" si="23"/>
        <v>29130214.270014</v>
      </c>
      <c r="H35" s="142">
        <f t="shared" si="23"/>
        <v>30004120.69811442</v>
      </c>
      <c r="I35" s="92">
        <f t="shared" si="23"/>
        <v>30904244.319057852</v>
      </c>
      <c r="J35" s="142">
        <f t="shared" si="23"/>
        <v>31831371.64862959</v>
      </c>
      <c r="K35" s="92">
        <f t="shared" si="23"/>
        <v>32786312.798088476</v>
      </c>
      <c r="L35" s="92">
        <f t="shared" si="23"/>
        <v>33769902.18203113</v>
      </c>
      <c r="M35" s="92">
        <f>SUM(M36:M38)</f>
        <v>34782999.24749207</v>
      </c>
      <c r="N35" s="92">
        <f>SUM(N36:N38)</f>
        <v>35826489.22491682</v>
      </c>
      <c r="P35" s="191"/>
      <c r="Q35" s="202"/>
      <c r="R35" s="191"/>
      <c r="S35" s="202"/>
      <c r="T35" s="191"/>
      <c r="U35" s="202"/>
      <c r="V35" s="191"/>
      <c r="W35" s="202"/>
      <c r="X35" s="191"/>
      <c r="Y35" s="264"/>
      <c r="Z35" s="264"/>
      <c r="AA35" s="264"/>
    </row>
    <row r="36" spans="1:27" ht="12.75">
      <c r="A36" s="129" t="s">
        <v>99</v>
      </c>
      <c r="B36" s="59">
        <f>+Gastos!G36</f>
        <v>0</v>
      </c>
      <c r="C36" s="59">
        <f aca="true" t="shared" si="24" ref="C36:N36">B36*P36</f>
        <v>0</v>
      </c>
      <c r="D36" s="232">
        <f t="shared" si="24"/>
        <v>0</v>
      </c>
      <c r="E36" s="59">
        <f t="shared" si="24"/>
        <v>0</v>
      </c>
      <c r="F36" s="232">
        <f t="shared" si="24"/>
        <v>0</v>
      </c>
      <c r="G36" s="59">
        <f t="shared" si="24"/>
        <v>0</v>
      </c>
      <c r="H36" s="232">
        <f t="shared" si="24"/>
        <v>0</v>
      </c>
      <c r="I36" s="59">
        <f t="shared" si="24"/>
        <v>0</v>
      </c>
      <c r="J36" s="232">
        <f t="shared" si="24"/>
        <v>0</v>
      </c>
      <c r="K36" s="59">
        <f t="shared" si="24"/>
        <v>0</v>
      </c>
      <c r="L36" s="59">
        <f t="shared" si="24"/>
        <v>0</v>
      </c>
      <c r="M36" s="59">
        <f t="shared" si="24"/>
        <v>0</v>
      </c>
      <c r="N36" s="59">
        <f t="shared" si="24"/>
        <v>0</v>
      </c>
      <c r="P36" s="37">
        <f>1+(0.055)</f>
        <v>1.055</v>
      </c>
      <c r="Q36" s="41">
        <f>1+(0.05)</f>
        <v>1.05</v>
      </c>
      <c r="R36" s="37">
        <f>1+(0.045)</f>
        <v>1.045</v>
      </c>
      <c r="S36" s="41">
        <f>1+(0.04)</f>
        <v>1.04</v>
      </c>
      <c r="T36" s="37">
        <f>1+(0.035)</f>
        <v>1.035</v>
      </c>
      <c r="U36" s="41">
        <f aca="true" t="shared" si="25" ref="U36:AA38">1+(0.03)</f>
        <v>1.03</v>
      </c>
      <c r="V36" s="37">
        <f t="shared" si="25"/>
        <v>1.03</v>
      </c>
      <c r="W36" s="41">
        <f t="shared" si="25"/>
        <v>1.03</v>
      </c>
      <c r="X36" s="37">
        <f t="shared" si="25"/>
        <v>1.03</v>
      </c>
      <c r="Y36" s="115">
        <f t="shared" si="25"/>
        <v>1.03</v>
      </c>
      <c r="Z36" s="115">
        <f t="shared" si="25"/>
        <v>1.03</v>
      </c>
      <c r="AA36" s="115">
        <f t="shared" si="25"/>
        <v>1.03</v>
      </c>
    </row>
    <row r="37" spans="1:27" ht="12.75">
      <c r="A37" s="129" t="s">
        <v>100</v>
      </c>
      <c r="B37" s="59">
        <f>+Gastos!G37</f>
        <v>20007803</v>
      </c>
      <c r="C37" s="59">
        <f>B37*P37</f>
        <v>21108232.165</v>
      </c>
      <c r="D37" s="232">
        <f>+'[3]PASIVA'!$M$133</f>
        <v>24613512</v>
      </c>
      <c r="E37" s="59">
        <f aca="true" t="shared" si="26" ref="E37:N38">D37*R37</f>
        <v>25721120.04</v>
      </c>
      <c r="F37" s="232">
        <f t="shared" si="26"/>
        <v>26749964.8416</v>
      </c>
      <c r="G37" s="59">
        <f t="shared" si="26"/>
        <v>27686213.611056</v>
      </c>
      <c r="H37" s="232">
        <f t="shared" si="26"/>
        <v>28516800.01938768</v>
      </c>
      <c r="I37" s="59">
        <f t="shared" si="26"/>
        <v>29372304.01996931</v>
      </c>
      <c r="J37" s="232">
        <f t="shared" si="26"/>
        <v>30253473.14056839</v>
      </c>
      <c r="K37" s="59">
        <f t="shared" si="26"/>
        <v>31161077.334785443</v>
      </c>
      <c r="L37" s="59">
        <f t="shared" si="26"/>
        <v>32095909.654829007</v>
      </c>
      <c r="M37" s="59">
        <f t="shared" si="26"/>
        <v>33058786.944473878</v>
      </c>
      <c r="N37" s="59">
        <f t="shared" si="26"/>
        <v>34050550.55280809</v>
      </c>
      <c r="P37" s="37">
        <f>1+(0.055)</f>
        <v>1.055</v>
      </c>
      <c r="Q37" s="41">
        <f>1+(0.05)</f>
        <v>1.05</v>
      </c>
      <c r="R37" s="37">
        <f>1+(0.045)</f>
        <v>1.045</v>
      </c>
      <c r="S37" s="41">
        <f>1+(0.04)</f>
        <v>1.04</v>
      </c>
      <c r="T37" s="37">
        <f>1+(0.035)</f>
        <v>1.035</v>
      </c>
      <c r="U37" s="41">
        <f t="shared" si="25"/>
        <v>1.03</v>
      </c>
      <c r="V37" s="37">
        <f t="shared" si="25"/>
        <v>1.03</v>
      </c>
      <c r="W37" s="41">
        <f t="shared" si="25"/>
        <v>1.03</v>
      </c>
      <c r="X37" s="37">
        <f t="shared" si="25"/>
        <v>1.03</v>
      </c>
      <c r="Y37" s="115">
        <f t="shared" si="25"/>
        <v>1.03</v>
      </c>
      <c r="Z37" s="115">
        <f t="shared" si="25"/>
        <v>1.03</v>
      </c>
      <c r="AA37" s="115">
        <f t="shared" si="25"/>
        <v>1.03</v>
      </c>
    </row>
    <row r="38" spans="1:27" ht="12.75">
      <c r="A38" s="129" t="s">
        <v>101</v>
      </c>
      <c r="B38" s="59">
        <f>+Gastos!G38</f>
        <v>7995333</v>
      </c>
      <c r="C38" s="59">
        <f>B38*P38</f>
        <v>8435076.315</v>
      </c>
      <c r="D38" s="232">
        <f>+'[3]PASIVA'!$M$136</f>
        <v>1283741</v>
      </c>
      <c r="E38" s="59">
        <f t="shared" si="26"/>
        <v>1341509.345</v>
      </c>
      <c r="F38" s="232">
        <f t="shared" si="26"/>
        <v>1395169.7188</v>
      </c>
      <c r="G38" s="59">
        <f t="shared" si="26"/>
        <v>1444000.658958</v>
      </c>
      <c r="H38" s="232">
        <f t="shared" si="26"/>
        <v>1487320.67872674</v>
      </c>
      <c r="I38" s="59">
        <f t="shared" si="26"/>
        <v>1531940.2990885421</v>
      </c>
      <c r="J38" s="232">
        <f t="shared" si="26"/>
        <v>1577898.5080611985</v>
      </c>
      <c r="K38" s="59">
        <f t="shared" si="26"/>
        <v>1625235.4633030344</v>
      </c>
      <c r="L38" s="59">
        <f t="shared" si="26"/>
        <v>1673992.5272021254</v>
      </c>
      <c r="M38" s="59">
        <f t="shared" si="26"/>
        <v>1724212.3030181893</v>
      </c>
      <c r="N38" s="59">
        <f t="shared" si="26"/>
        <v>1775938.672108735</v>
      </c>
      <c r="P38" s="37">
        <f>1+(0.055)</f>
        <v>1.055</v>
      </c>
      <c r="Q38" s="41">
        <f>1+(0.05)</f>
        <v>1.05</v>
      </c>
      <c r="R38" s="37">
        <f>1+(0.045)</f>
        <v>1.045</v>
      </c>
      <c r="S38" s="41">
        <f>1+(0.04)</f>
        <v>1.04</v>
      </c>
      <c r="T38" s="37">
        <f>1+(0.035)</f>
        <v>1.035</v>
      </c>
      <c r="U38" s="41">
        <f t="shared" si="25"/>
        <v>1.03</v>
      </c>
      <c r="V38" s="37">
        <f t="shared" si="25"/>
        <v>1.03</v>
      </c>
      <c r="W38" s="41">
        <f t="shared" si="25"/>
        <v>1.03</v>
      </c>
      <c r="X38" s="37">
        <f t="shared" si="25"/>
        <v>1.03</v>
      </c>
      <c r="Y38" s="115">
        <f t="shared" si="25"/>
        <v>1.03</v>
      </c>
      <c r="Z38" s="115">
        <f t="shared" si="25"/>
        <v>1.03</v>
      </c>
      <c r="AA38" s="115">
        <f t="shared" si="25"/>
        <v>1.03</v>
      </c>
    </row>
    <row r="39" spans="1:27" ht="12.75">
      <c r="A39" s="126" t="s">
        <v>102</v>
      </c>
      <c r="B39" s="92">
        <f>SUM(B40:B43)</f>
        <v>9186500</v>
      </c>
      <c r="C39" s="92">
        <f>SUM(C40:C43)</f>
        <v>9691757.5</v>
      </c>
      <c r="D39" s="142">
        <f aca="true" t="shared" si="27" ref="D39:L39">SUM(D40:D43)</f>
        <v>13595570</v>
      </c>
      <c r="E39" s="92">
        <f t="shared" si="27"/>
        <v>14207370.65</v>
      </c>
      <c r="F39" s="142">
        <f t="shared" si="27"/>
        <v>14775665.476</v>
      </c>
      <c r="G39" s="92">
        <f t="shared" si="27"/>
        <v>15292813.767659998</v>
      </c>
      <c r="H39" s="142">
        <f t="shared" si="27"/>
        <v>15751598.180689797</v>
      </c>
      <c r="I39" s="92">
        <f t="shared" si="27"/>
        <v>16224146.126110492</v>
      </c>
      <c r="J39" s="142">
        <f t="shared" si="27"/>
        <v>16710870.509893807</v>
      </c>
      <c r="K39" s="92">
        <f t="shared" si="27"/>
        <v>17212196.625190623</v>
      </c>
      <c r="L39" s="92">
        <f t="shared" si="27"/>
        <v>17728562.52394634</v>
      </c>
      <c r="M39" s="92">
        <f>SUM(M40:M43)</f>
        <v>18260419.39966473</v>
      </c>
      <c r="N39" s="92">
        <f>SUM(N40:N43)</f>
        <v>18808231.981654674</v>
      </c>
      <c r="P39" s="191"/>
      <c r="Q39" s="202"/>
      <c r="R39" s="191"/>
      <c r="S39" s="202"/>
      <c r="T39" s="191"/>
      <c r="U39" s="202"/>
      <c r="V39" s="191"/>
      <c r="W39" s="202"/>
      <c r="X39" s="191"/>
      <c r="Y39" s="264"/>
      <c r="Z39" s="264"/>
      <c r="AA39" s="264"/>
    </row>
    <row r="40" spans="1:27" ht="12.75">
      <c r="A40" s="129" t="s">
        <v>103</v>
      </c>
      <c r="B40" s="59">
        <f>+Gastos!G40</f>
        <v>0</v>
      </c>
      <c r="C40" s="59">
        <f>B40*P40</f>
        <v>0</v>
      </c>
      <c r="D40" s="232">
        <f>+'[3]PASIVA'!$M$144+'[3]PASIVA'!$M$146+'[3]PASIVA'!$M$147</f>
        <v>1224000</v>
      </c>
      <c r="E40" s="59">
        <f aca="true" t="shared" si="28" ref="E40:N43">D40*R40</f>
        <v>1279080</v>
      </c>
      <c r="F40" s="232">
        <f t="shared" si="28"/>
        <v>1330243.2</v>
      </c>
      <c r="G40" s="59">
        <f t="shared" si="28"/>
        <v>1376801.7119999998</v>
      </c>
      <c r="H40" s="232">
        <f t="shared" si="28"/>
        <v>1418105.7633599997</v>
      </c>
      <c r="I40" s="59">
        <f t="shared" si="28"/>
        <v>1460648.9362607999</v>
      </c>
      <c r="J40" s="232">
        <f t="shared" si="28"/>
        <v>1504468.404348624</v>
      </c>
      <c r="K40" s="59">
        <f t="shared" si="28"/>
        <v>1549602.4564790826</v>
      </c>
      <c r="L40" s="59">
        <f t="shared" si="28"/>
        <v>1596090.5301734551</v>
      </c>
      <c r="M40" s="59">
        <f t="shared" si="28"/>
        <v>1643973.2460786588</v>
      </c>
      <c r="N40" s="59">
        <f t="shared" si="28"/>
        <v>1693292.4434610186</v>
      </c>
      <c r="P40" s="37">
        <f>1+(0.055)</f>
        <v>1.055</v>
      </c>
      <c r="Q40" s="41">
        <f>1+(0.05)</f>
        <v>1.05</v>
      </c>
      <c r="R40" s="37">
        <f>1+(0.045)</f>
        <v>1.045</v>
      </c>
      <c r="S40" s="41">
        <f>1+(0.04)</f>
        <v>1.04</v>
      </c>
      <c r="T40" s="37">
        <f>1+(0.035)</f>
        <v>1.035</v>
      </c>
      <c r="U40" s="41">
        <f aca="true" t="shared" si="29" ref="U40:AA43">1+(0.03)</f>
        <v>1.03</v>
      </c>
      <c r="V40" s="37">
        <f t="shared" si="29"/>
        <v>1.03</v>
      </c>
      <c r="W40" s="41">
        <f t="shared" si="29"/>
        <v>1.03</v>
      </c>
      <c r="X40" s="37">
        <f t="shared" si="29"/>
        <v>1.03</v>
      </c>
      <c r="Y40" s="115">
        <f t="shared" si="29"/>
        <v>1.03</v>
      </c>
      <c r="Z40" s="115">
        <f t="shared" si="29"/>
        <v>1.03</v>
      </c>
      <c r="AA40" s="115">
        <f t="shared" si="29"/>
        <v>1.03</v>
      </c>
    </row>
    <row r="41" spans="1:27" ht="12.75">
      <c r="A41" s="129" t="s">
        <v>104</v>
      </c>
      <c r="B41" s="59">
        <f>+Gastos!G41</f>
        <v>0</v>
      </c>
      <c r="C41" s="59">
        <f>B41*P41</f>
        <v>0</v>
      </c>
      <c r="D41" s="232">
        <f>+'[3]PASIVA'!$M$132</f>
        <v>12540</v>
      </c>
      <c r="E41" s="59">
        <f t="shared" si="28"/>
        <v>13104.3</v>
      </c>
      <c r="F41" s="232">
        <f t="shared" si="28"/>
        <v>13628.472</v>
      </c>
      <c r="G41" s="59">
        <f t="shared" si="28"/>
        <v>14105.468519999999</v>
      </c>
      <c r="H41" s="232">
        <f t="shared" si="28"/>
        <v>14528.632575599999</v>
      </c>
      <c r="I41" s="59">
        <f t="shared" si="28"/>
        <v>14964.491552868</v>
      </c>
      <c r="J41" s="232">
        <f t="shared" si="28"/>
        <v>15413.42629945404</v>
      </c>
      <c r="K41" s="59">
        <f t="shared" si="28"/>
        <v>15875.829088437662</v>
      </c>
      <c r="L41" s="59">
        <f t="shared" si="28"/>
        <v>16352.103961090792</v>
      </c>
      <c r="M41" s="59">
        <f t="shared" si="28"/>
        <v>16842.667079923514</v>
      </c>
      <c r="N41" s="59">
        <f t="shared" si="28"/>
        <v>17347.94709232122</v>
      </c>
      <c r="P41" s="37">
        <f>1+(0.055)</f>
        <v>1.055</v>
      </c>
      <c r="Q41" s="41">
        <f>1+(0.05)</f>
        <v>1.05</v>
      </c>
      <c r="R41" s="37">
        <f>1+(0.045)</f>
        <v>1.045</v>
      </c>
      <c r="S41" s="41">
        <f>1+(0.04)</f>
        <v>1.04</v>
      </c>
      <c r="T41" s="37">
        <f>1+(0.035)</f>
        <v>1.035</v>
      </c>
      <c r="U41" s="41">
        <f t="shared" si="29"/>
        <v>1.03</v>
      </c>
      <c r="V41" s="37">
        <f t="shared" si="29"/>
        <v>1.03</v>
      </c>
      <c r="W41" s="41">
        <f t="shared" si="29"/>
        <v>1.03</v>
      </c>
      <c r="X41" s="37">
        <f t="shared" si="29"/>
        <v>1.03</v>
      </c>
      <c r="Y41" s="115">
        <f t="shared" si="29"/>
        <v>1.03</v>
      </c>
      <c r="Z41" s="115">
        <f t="shared" si="29"/>
        <v>1.03</v>
      </c>
      <c r="AA41" s="115">
        <f t="shared" si="29"/>
        <v>1.03</v>
      </c>
    </row>
    <row r="42" spans="1:27" ht="12.75">
      <c r="A42" s="129" t="s">
        <v>105</v>
      </c>
      <c r="B42" s="59">
        <f>+Gastos!G42</f>
        <v>0</v>
      </c>
      <c r="C42" s="59">
        <f>B42*P42</f>
        <v>0</v>
      </c>
      <c r="D42" s="232">
        <f>+'[3]PASIVA'!$M$137+'[3]PASIVA'!$M$143</f>
        <v>12359030</v>
      </c>
      <c r="E42" s="59">
        <f t="shared" si="28"/>
        <v>12915186.35</v>
      </c>
      <c r="F42" s="232">
        <f t="shared" si="28"/>
        <v>13431793.804</v>
      </c>
      <c r="G42" s="59">
        <f t="shared" si="28"/>
        <v>13901906.587139998</v>
      </c>
      <c r="H42" s="232">
        <f t="shared" si="28"/>
        <v>14318963.784754198</v>
      </c>
      <c r="I42" s="59">
        <f t="shared" si="28"/>
        <v>14748532.698296824</v>
      </c>
      <c r="J42" s="232">
        <f t="shared" si="28"/>
        <v>15190988.679245729</v>
      </c>
      <c r="K42" s="59">
        <f t="shared" si="28"/>
        <v>15646718.339623101</v>
      </c>
      <c r="L42" s="59">
        <f t="shared" si="28"/>
        <v>16116119.889811795</v>
      </c>
      <c r="M42" s="59">
        <f t="shared" si="28"/>
        <v>16599603.48650615</v>
      </c>
      <c r="N42" s="59">
        <f t="shared" si="28"/>
        <v>17097591.591101333</v>
      </c>
      <c r="P42" s="37">
        <f>1+(0.055)</f>
        <v>1.055</v>
      </c>
      <c r="Q42" s="41">
        <f>1+(0.05)</f>
        <v>1.05</v>
      </c>
      <c r="R42" s="37">
        <f>1+(0.045)</f>
        <v>1.045</v>
      </c>
      <c r="S42" s="41">
        <f>1+(0.04)</f>
        <v>1.04</v>
      </c>
      <c r="T42" s="37">
        <f>1+(0.035)</f>
        <v>1.035</v>
      </c>
      <c r="U42" s="41">
        <f t="shared" si="29"/>
        <v>1.03</v>
      </c>
      <c r="V42" s="37">
        <f t="shared" si="29"/>
        <v>1.03</v>
      </c>
      <c r="W42" s="41">
        <f t="shared" si="29"/>
        <v>1.03</v>
      </c>
      <c r="X42" s="37">
        <f t="shared" si="29"/>
        <v>1.03</v>
      </c>
      <c r="Y42" s="115">
        <f t="shared" si="29"/>
        <v>1.03</v>
      </c>
      <c r="Z42" s="115">
        <f t="shared" si="29"/>
        <v>1.03</v>
      </c>
      <c r="AA42" s="115">
        <f t="shared" si="29"/>
        <v>1.03</v>
      </c>
    </row>
    <row r="43" spans="1:27" ht="12.75">
      <c r="A43" s="129" t="s">
        <v>106</v>
      </c>
      <c r="B43" s="59">
        <f>+Gastos!G43</f>
        <v>9186500</v>
      </c>
      <c r="C43" s="59">
        <f>B43*P43</f>
        <v>9691757.5</v>
      </c>
      <c r="D43" s="232">
        <v>0</v>
      </c>
      <c r="E43" s="59">
        <f t="shared" si="28"/>
        <v>0</v>
      </c>
      <c r="F43" s="232">
        <f t="shared" si="28"/>
        <v>0</v>
      </c>
      <c r="G43" s="59">
        <f t="shared" si="28"/>
        <v>0</v>
      </c>
      <c r="H43" s="232">
        <f t="shared" si="28"/>
        <v>0</v>
      </c>
      <c r="I43" s="59">
        <f t="shared" si="28"/>
        <v>0</v>
      </c>
      <c r="J43" s="232">
        <f t="shared" si="28"/>
        <v>0</v>
      </c>
      <c r="K43" s="59">
        <f t="shared" si="28"/>
        <v>0</v>
      </c>
      <c r="L43" s="59">
        <f t="shared" si="28"/>
        <v>0</v>
      </c>
      <c r="M43" s="59">
        <f t="shared" si="28"/>
        <v>0</v>
      </c>
      <c r="N43" s="59">
        <f t="shared" si="28"/>
        <v>0</v>
      </c>
      <c r="P43" s="37">
        <f>1+(0.055)</f>
        <v>1.055</v>
      </c>
      <c r="Q43" s="41">
        <f>1+(0.05)</f>
        <v>1.05</v>
      </c>
      <c r="R43" s="37">
        <f>1+(0.045)</f>
        <v>1.045</v>
      </c>
      <c r="S43" s="41">
        <f>1+(0.04)</f>
        <v>1.04</v>
      </c>
      <c r="T43" s="37">
        <f>1+(0.035)</f>
        <v>1.035</v>
      </c>
      <c r="U43" s="41">
        <f t="shared" si="29"/>
        <v>1.03</v>
      </c>
      <c r="V43" s="37">
        <f t="shared" si="29"/>
        <v>1.03</v>
      </c>
      <c r="W43" s="41">
        <f t="shared" si="29"/>
        <v>1.03</v>
      </c>
      <c r="X43" s="37">
        <f t="shared" si="29"/>
        <v>1.03</v>
      </c>
      <c r="Y43" s="115">
        <f t="shared" si="29"/>
        <v>1.03</v>
      </c>
      <c r="Z43" s="115">
        <f t="shared" si="29"/>
        <v>1.03</v>
      </c>
      <c r="AA43" s="115">
        <f t="shared" si="29"/>
        <v>1.03</v>
      </c>
    </row>
    <row r="44" spans="1:27" ht="12.75">
      <c r="A44" s="126" t="s">
        <v>107</v>
      </c>
      <c r="B44" s="92">
        <f>+B45+B49</f>
        <v>0</v>
      </c>
      <c r="C44" s="92">
        <f>+C45+C49</f>
        <v>0</v>
      </c>
      <c r="D44" s="142">
        <f aca="true" t="shared" si="30" ref="D44:L44">+D45+D49</f>
        <v>0</v>
      </c>
      <c r="E44" s="92">
        <f t="shared" si="30"/>
        <v>0</v>
      </c>
      <c r="F44" s="142">
        <f t="shared" si="30"/>
        <v>0</v>
      </c>
      <c r="G44" s="92">
        <f t="shared" si="30"/>
        <v>0</v>
      </c>
      <c r="H44" s="142">
        <f t="shared" si="30"/>
        <v>0</v>
      </c>
      <c r="I44" s="92">
        <f t="shared" si="30"/>
        <v>0</v>
      </c>
      <c r="J44" s="142">
        <f t="shared" si="30"/>
        <v>0</v>
      </c>
      <c r="K44" s="92">
        <f t="shared" si="30"/>
        <v>0</v>
      </c>
      <c r="L44" s="92">
        <f t="shared" si="30"/>
        <v>0</v>
      </c>
      <c r="M44" s="92">
        <f>+M45+M49</f>
        <v>0</v>
      </c>
      <c r="N44" s="92">
        <f>+N45+N49</f>
        <v>0</v>
      </c>
      <c r="P44" s="191"/>
      <c r="Q44" s="202"/>
      <c r="R44" s="191"/>
      <c r="S44" s="202"/>
      <c r="T44" s="191"/>
      <c r="U44" s="202"/>
      <c r="V44" s="191"/>
      <c r="W44" s="202"/>
      <c r="X44" s="191"/>
      <c r="Y44" s="264"/>
      <c r="Z44" s="264"/>
      <c r="AA44" s="264"/>
    </row>
    <row r="45" spans="1:27" ht="12.75">
      <c r="A45" s="126" t="s">
        <v>98</v>
      </c>
      <c r="B45" s="92">
        <f>SUM(B46:B48)</f>
        <v>0</v>
      </c>
      <c r="C45" s="92">
        <f>SUM(C46:C48)</f>
        <v>0</v>
      </c>
      <c r="D45" s="142">
        <f aca="true" t="shared" si="31" ref="D45:L45">SUM(D46:D48)</f>
        <v>0</v>
      </c>
      <c r="E45" s="92">
        <f t="shared" si="31"/>
        <v>0</v>
      </c>
      <c r="F45" s="142">
        <f t="shared" si="31"/>
        <v>0</v>
      </c>
      <c r="G45" s="92">
        <f t="shared" si="31"/>
        <v>0</v>
      </c>
      <c r="H45" s="142">
        <f t="shared" si="31"/>
        <v>0</v>
      </c>
      <c r="I45" s="92">
        <f t="shared" si="31"/>
        <v>0</v>
      </c>
      <c r="J45" s="142">
        <f t="shared" si="31"/>
        <v>0</v>
      </c>
      <c r="K45" s="92">
        <f t="shared" si="31"/>
        <v>0</v>
      </c>
      <c r="L45" s="92">
        <f t="shared" si="31"/>
        <v>0</v>
      </c>
      <c r="M45" s="92">
        <f>SUM(M46:M48)</f>
        <v>0</v>
      </c>
      <c r="N45" s="92">
        <f>SUM(N46:N48)</f>
        <v>0</v>
      </c>
      <c r="P45" s="191"/>
      <c r="Q45" s="202"/>
      <c r="R45" s="191"/>
      <c r="S45" s="202"/>
      <c r="T45" s="191"/>
      <c r="U45" s="202"/>
      <c r="V45" s="191"/>
      <c r="W45" s="202"/>
      <c r="X45" s="191"/>
      <c r="Y45" s="264"/>
      <c r="Z45" s="264"/>
      <c r="AA45" s="264"/>
    </row>
    <row r="46" spans="1:27" ht="12.75">
      <c r="A46" s="129" t="s">
        <v>99</v>
      </c>
      <c r="B46" s="59">
        <f>+Gastos!G46</f>
        <v>0</v>
      </c>
      <c r="C46" s="59">
        <f aca="true" t="shared" si="32" ref="C46:N50">B46*P46</f>
        <v>0</v>
      </c>
      <c r="D46" s="232">
        <f t="shared" si="32"/>
        <v>0</v>
      </c>
      <c r="E46" s="59">
        <f t="shared" si="32"/>
        <v>0</v>
      </c>
      <c r="F46" s="232">
        <f t="shared" si="32"/>
        <v>0</v>
      </c>
      <c r="G46" s="59">
        <f t="shared" si="32"/>
        <v>0</v>
      </c>
      <c r="H46" s="232">
        <f t="shared" si="32"/>
        <v>0</v>
      </c>
      <c r="I46" s="59">
        <f t="shared" si="32"/>
        <v>0</v>
      </c>
      <c r="J46" s="232">
        <f t="shared" si="32"/>
        <v>0</v>
      </c>
      <c r="K46" s="59">
        <f t="shared" si="32"/>
        <v>0</v>
      </c>
      <c r="L46" s="59">
        <f t="shared" si="32"/>
        <v>0</v>
      </c>
      <c r="M46" s="59">
        <f t="shared" si="32"/>
        <v>0</v>
      </c>
      <c r="N46" s="59">
        <f t="shared" si="32"/>
        <v>0</v>
      </c>
      <c r="P46" s="37">
        <f aca="true" t="shared" si="33" ref="P46:P52">1+(0.055)</f>
        <v>1.055</v>
      </c>
      <c r="Q46" s="41">
        <f aca="true" t="shared" si="34" ref="Q46:Q52">1+(0.05)</f>
        <v>1.05</v>
      </c>
      <c r="R46" s="37">
        <f aca="true" t="shared" si="35" ref="R46:R52">1+(0.045)</f>
        <v>1.045</v>
      </c>
      <c r="S46" s="41">
        <f aca="true" t="shared" si="36" ref="S46:S52">1+(0.04)</f>
        <v>1.04</v>
      </c>
      <c r="T46" s="37">
        <f aca="true" t="shared" si="37" ref="T46:T52">1+(0.035)</f>
        <v>1.035</v>
      </c>
      <c r="U46" s="41">
        <f aca="true" t="shared" si="38" ref="U46:AA52">1+(0.03)</f>
        <v>1.03</v>
      </c>
      <c r="V46" s="37">
        <f t="shared" si="38"/>
        <v>1.03</v>
      </c>
      <c r="W46" s="41">
        <f t="shared" si="38"/>
        <v>1.03</v>
      </c>
      <c r="X46" s="37">
        <f t="shared" si="38"/>
        <v>1.03</v>
      </c>
      <c r="Y46" s="115">
        <f t="shared" si="38"/>
        <v>1.03</v>
      </c>
      <c r="Z46" s="115">
        <f t="shared" si="38"/>
        <v>1.03</v>
      </c>
      <c r="AA46" s="115">
        <f t="shared" si="38"/>
        <v>1.03</v>
      </c>
    </row>
    <row r="47" spans="1:27" ht="12.75">
      <c r="A47" s="129" t="s">
        <v>100</v>
      </c>
      <c r="B47" s="59">
        <f>+Gastos!G47</f>
        <v>0</v>
      </c>
      <c r="C47" s="59">
        <f t="shared" si="32"/>
        <v>0</v>
      </c>
      <c r="D47" s="232">
        <f t="shared" si="32"/>
        <v>0</v>
      </c>
      <c r="E47" s="59">
        <f t="shared" si="32"/>
        <v>0</v>
      </c>
      <c r="F47" s="232">
        <f t="shared" si="32"/>
        <v>0</v>
      </c>
      <c r="G47" s="59">
        <f t="shared" si="32"/>
        <v>0</v>
      </c>
      <c r="H47" s="232">
        <f t="shared" si="32"/>
        <v>0</v>
      </c>
      <c r="I47" s="59">
        <f t="shared" si="32"/>
        <v>0</v>
      </c>
      <c r="J47" s="232">
        <f t="shared" si="32"/>
        <v>0</v>
      </c>
      <c r="K47" s="59">
        <f t="shared" si="32"/>
        <v>0</v>
      </c>
      <c r="L47" s="59">
        <f t="shared" si="32"/>
        <v>0</v>
      </c>
      <c r="M47" s="59">
        <f t="shared" si="32"/>
        <v>0</v>
      </c>
      <c r="N47" s="59">
        <f t="shared" si="32"/>
        <v>0</v>
      </c>
      <c r="P47" s="37">
        <f t="shared" si="33"/>
        <v>1.055</v>
      </c>
      <c r="Q47" s="41">
        <f t="shared" si="34"/>
        <v>1.05</v>
      </c>
      <c r="R47" s="37">
        <f t="shared" si="35"/>
        <v>1.045</v>
      </c>
      <c r="S47" s="41">
        <f t="shared" si="36"/>
        <v>1.04</v>
      </c>
      <c r="T47" s="37">
        <f t="shared" si="37"/>
        <v>1.035</v>
      </c>
      <c r="U47" s="41">
        <f t="shared" si="38"/>
        <v>1.03</v>
      </c>
      <c r="V47" s="37">
        <f t="shared" si="38"/>
        <v>1.03</v>
      </c>
      <c r="W47" s="41">
        <f t="shared" si="38"/>
        <v>1.03</v>
      </c>
      <c r="X47" s="37">
        <f t="shared" si="38"/>
        <v>1.03</v>
      </c>
      <c r="Y47" s="115">
        <f t="shared" si="38"/>
        <v>1.03</v>
      </c>
      <c r="Z47" s="115">
        <f t="shared" si="38"/>
        <v>1.03</v>
      </c>
      <c r="AA47" s="115">
        <f t="shared" si="38"/>
        <v>1.03</v>
      </c>
    </row>
    <row r="48" spans="1:27" ht="12.75">
      <c r="A48" s="129" t="s">
        <v>101</v>
      </c>
      <c r="B48" s="59">
        <f>+Gastos!G48</f>
        <v>0</v>
      </c>
      <c r="C48" s="59">
        <f t="shared" si="32"/>
        <v>0</v>
      </c>
      <c r="D48" s="232">
        <f t="shared" si="32"/>
        <v>0</v>
      </c>
      <c r="E48" s="59">
        <f t="shared" si="32"/>
        <v>0</v>
      </c>
      <c r="F48" s="232">
        <f t="shared" si="32"/>
        <v>0</v>
      </c>
      <c r="G48" s="59">
        <f t="shared" si="32"/>
        <v>0</v>
      </c>
      <c r="H48" s="232">
        <f t="shared" si="32"/>
        <v>0</v>
      </c>
      <c r="I48" s="59">
        <f t="shared" si="32"/>
        <v>0</v>
      </c>
      <c r="J48" s="232">
        <f t="shared" si="32"/>
        <v>0</v>
      </c>
      <c r="K48" s="59">
        <f t="shared" si="32"/>
        <v>0</v>
      </c>
      <c r="L48" s="59">
        <f t="shared" si="32"/>
        <v>0</v>
      </c>
      <c r="M48" s="59">
        <f t="shared" si="32"/>
        <v>0</v>
      </c>
      <c r="N48" s="59">
        <f t="shared" si="32"/>
        <v>0</v>
      </c>
      <c r="P48" s="37">
        <f t="shared" si="33"/>
        <v>1.055</v>
      </c>
      <c r="Q48" s="41">
        <f t="shared" si="34"/>
        <v>1.05</v>
      </c>
      <c r="R48" s="37">
        <f t="shared" si="35"/>
        <v>1.045</v>
      </c>
      <c r="S48" s="41">
        <f t="shared" si="36"/>
        <v>1.04</v>
      </c>
      <c r="T48" s="37">
        <f t="shared" si="37"/>
        <v>1.035</v>
      </c>
      <c r="U48" s="41">
        <f t="shared" si="38"/>
        <v>1.03</v>
      </c>
      <c r="V48" s="37">
        <f t="shared" si="38"/>
        <v>1.03</v>
      </c>
      <c r="W48" s="41">
        <f t="shared" si="38"/>
        <v>1.03</v>
      </c>
      <c r="X48" s="37">
        <f t="shared" si="38"/>
        <v>1.03</v>
      </c>
      <c r="Y48" s="115">
        <f t="shared" si="38"/>
        <v>1.03</v>
      </c>
      <c r="Z48" s="115">
        <f t="shared" si="38"/>
        <v>1.03</v>
      </c>
      <c r="AA48" s="115">
        <f t="shared" si="38"/>
        <v>1.03</v>
      </c>
    </row>
    <row r="49" spans="1:27" ht="12.75">
      <c r="A49" s="131" t="s">
        <v>6</v>
      </c>
      <c r="B49" s="59">
        <f>+Gastos!G49</f>
        <v>0</v>
      </c>
      <c r="C49" s="59">
        <f t="shared" si="32"/>
        <v>0</v>
      </c>
      <c r="D49" s="232">
        <f t="shared" si="32"/>
        <v>0</v>
      </c>
      <c r="E49" s="59">
        <f t="shared" si="32"/>
        <v>0</v>
      </c>
      <c r="F49" s="232">
        <f t="shared" si="32"/>
        <v>0</v>
      </c>
      <c r="G49" s="59">
        <f t="shared" si="32"/>
        <v>0</v>
      </c>
      <c r="H49" s="232">
        <f t="shared" si="32"/>
        <v>0</v>
      </c>
      <c r="I49" s="59">
        <f t="shared" si="32"/>
        <v>0</v>
      </c>
      <c r="J49" s="232">
        <f t="shared" si="32"/>
        <v>0</v>
      </c>
      <c r="K49" s="59">
        <f t="shared" si="32"/>
        <v>0</v>
      </c>
      <c r="L49" s="59">
        <f t="shared" si="32"/>
        <v>0</v>
      </c>
      <c r="M49" s="59">
        <f t="shared" si="32"/>
        <v>0</v>
      </c>
      <c r="N49" s="59">
        <f t="shared" si="32"/>
        <v>0</v>
      </c>
      <c r="P49" s="37">
        <f t="shared" si="33"/>
        <v>1.055</v>
      </c>
      <c r="Q49" s="41">
        <f t="shared" si="34"/>
        <v>1.05</v>
      </c>
      <c r="R49" s="37">
        <f t="shared" si="35"/>
        <v>1.045</v>
      </c>
      <c r="S49" s="41">
        <f t="shared" si="36"/>
        <v>1.04</v>
      </c>
      <c r="T49" s="37">
        <f t="shared" si="37"/>
        <v>1.035</v>
      </c>
      <c r="U49" s="41">
        <f t="shared" si="38"/>
        <v>1.03</v>
      </c>
      <c r="V49" s="37">
        <f t="shared" si="38"/>
        <v>1.03</v>
      </c>
      <c r="W49" s="41">
        <f t="shared" si="38"/>
        <v>1.03</v>
      </c>
      <c r="X49" s="37">
        <f t="shared" si="38"/>
        <v>1.03</v>
      </c>
      <c r="Y49" s="115">
        <f t="shared" si="38"/>
        <v>1.03</v>
      </c>
      <c r="Z49" s="115">
        <f t="shared" si="38"/>
        <v>1.03</v>
      </c>
      <c r="AA49" s="115">
        <f t="shared" si="38"/>
        <v>1.03</v>
      </c>
    </row>
    <row r="50" spans="1:27" ht="12.75">
      <c r="A50" s="131" t="s">
        <v>108</v>
      </c>
      <c r="B50" s="59">
        <f>+Gastos!G50</f>
        <v>0</v>
      </c>
      <c r="C50" s="59">
        <f t="shared" si="32"/>
        <v>0</v>
      </c>
      <c r="D50" s="232">
        <f t="shared" si="32"/>
        <v>0</v>
      </c>
      <c r="E50" s="59">
        <f t="shared" si="32"/>
        <v>0</v>
      </c>
      <c r="F50" s="232">
        <f t="shared" si="32"/>
        <v>0</v>
      </c>
      <c r="G50" s="59">
        <f t="shared" si="32"/>
        <v>0</v>
      </c>
      <c r="H50" s="232">
        <f t="shared" si="32"/>
        <v>0</v>
      </c>
      <c r="I50" s="59">
        <f t="shared" si="32"/>
        <v>0</v>
      </c>
      <c r="J50" s="232">
        <f t="shared" si="32"/>
        <v>0</v>
      </c>
      <c r="K50" s="59">
        <f t="shared" si="32"/>
        <v>0</v>
      </c>
      <c r="L50" s="59">
        <f t="shared" si="32"/>
        <v>0</v>
      </c>
      <c r="M50" s="59">
        <f t="shared" si="32"/>
        <v>0</v>
      </c>
      <c r="N50" s="59">
        <f t="shared" si="32"/>
        <v>0</v>
      </c>
      <c r="P50" s="37">
        <f>1</f>
        <v>1</v>
      </c>
      <c r="Q50" s="41">
        <f>1</f>
        <v>1</v>
      </c>
      <c r="R50" s="37">
        <f>1</f>
        <v>1</v>
      </c>
      <c r="S50" s="41">
        <f>1</f>
        <v>1</v>
      </c>
      <c r="T50" s="37">
        <f>1</f>
        <v>1</v>
      </c>
      <c r="U50" s="41">
        <f>1</f>
        <v>1</v>
      </c>
      <c r="V50" s="37">
        <f>1</f>
        <v>1</v>
      </c>
      <c r="W50" s="41">
        <f>1</f>
        <v>1</v>
      </c>
      <c r="X50" s="37">
        <f>1</f>
        <v>1</v>
      </c>
      <c r="Y50" s="115">
        <f>1</f>
        <v>1</v>
      </c>
      <c r="Z50" s="115">
        <f>1</f>
        <v>1</v>
      </c>
      <c r="AA50" s="115">
        <f>1</f>
        <v>1</v>
      </c>
    </row>
    <row r="51" spans="1:27" ht="12.75">
      <c r="A51" s="131" t="s">
        <v>109</v>
      </c>
      <c r="B51" s="59">
        <f>+Gastos!G51</f>
        <v>863761</v>
      </c>
      <c r="C51" s="59">
        <f>B51*P51</f>
        <v>911267.855</v>
      </c>
      <c r="D51" s="232">
        <f>+'[3]PASIVA'!$M$145</f>
        <v>353424</v>
      </c>
      <c r="E51" s="59">
        <f aca="true" t="shared" si="39" ref="E51:N52">D51*R51</f>
        <v>369328.07999999996</v>
      </c>
      <c r="F51" s="232">
        <f t="shared" si="39"/>
        <v>384101.2032</v>
      </c>
      <c r="G51" s="59">
        <f t="shared" si="39"/>
        <v>397544.745312</v>
      </c>
      <c r="H51" s="232">
        <f t="shared" si="39"/>
        <v>409471.08767136</v>
      </c>
      <c r="I51" s="59">
        <f t="shared" si="39"/>
        <v>421755.2203015008</v>
      </c>
      <c r="J51" s="232">
        <f t="shared" si="39"/>
        <v>434407.87691054586</v>
      </c>
      <c r="K51" s="59">
        <f t="shared" si="39"/>
        <v>447440.11321786226</v>
      </c>
      <c r="L51" s="59">
        <f t="shared" si="39"/>
        <v>460863.31661439815</v>
      </c>
      <c r="M51" s="59">
        <f t="shared" si="39"/>
        <v>474689.2161128301</v>
      </c>
      <c r="N51" s="59">
        <f t="shared" si="39"/>
        <v>488929.892596215</v>
      </c>
      <c r="P51" s="37">
        <f t="shared" si="33"/>
        <v>1.055</v>
      </c>
      <c r="Q51" s="41">
        <f t="shared" si="34"/>
        <v>1.05</v>
      </c>
      <c r="R51" s="37">
        <f t="shared" si="35"/>
        <v>1.045</v>
      </c>
      <c r="S51" s="41">
        <f t="shared" si="36"/>
        <v>1.04</v>
      </c>
      <c r="T51" s="37">
        <f t="shared" si="37"/>
        <v>1.035</v>
      </c>
      <c r="U51" s="41">
        <f t="shared" si="38"/>
        <v>1.03</v>
      </c>
      <c r="V51" s="37">
        <f t="shared" si="38"/>
        <v>1.03</v>
      </c>
      <c r="W51" s="41">
        <f t="shared" si="38"/>
        <v>1.03</v>
      </c>
      <c r="X51" s="37">
        <f t="shared" si="38"/>
        <v>1.03</v>
      </c>
      <c r="Y51" s="115">
        <f t="shared" si="38"/>
        <v>1.03</v>
      </c>
      <c r="Z51" s="115">
        <f t="shared" si="38"/>
        <v>1.03</v>
      </c>
      <c r="AA51" s="115">
        <f t="shared" si="38"/>
        <v>1.03</v>
      </c>
    </row>
    <row r="52" spans="1:27" ht="12.75">
      <c r="A52" s="130" t="s">
        <v>110</v>
      </c>
      <c r="B52" s="59">
        <f>+Gastos!G52</f>
        <v>34176427</v>
      </c>
      <c r="C52" s="59">
        <f>B52*P52</f>
        <v>36056130.485</v>
      </c>
      <c r="D52" s="232">
        <f>+'[3]PASIVA'!$M$435</f>
        <v>2217887</v>
      </c>
      <c r="E52" s="59">
        <f t="shared" si="39"/>
        <v>2317691.915</v>
      </c>
      <c r="F52" s="232">
        <f t="shared" si="39"/>
        <v>2410399.5916</v>
      </c>
      <c r="G52" s="59">
        <f t="shared" si="39"/>
        <v>2494763.5773059996</v>
      </c>
      <c r="H52" s="232">
        <f t="shared" si="39"/>
        <v>2569606.48462518</v>
      </c>
      <c r="I52" s="59">
        <f t="shared" si="39"/>
        <v>2646694.679163935</v>
      </c>
      <c r="J52" s="232">
        <f t="shared" si="39"/>
        <v>2726095.5195388533</v>
      </c>
      <c r="K52" s="59">
        <f t="shared" si="39"/>
        <v>2807878.385125019</v>
      </c>
      <c r="L52" s="59">
        <f t="shared" si="39"/>
        <v>2892114.73667877</v>
      </c>
      <c r="M52" s="59">
        <f t="shared" si="39"/>
        <v>2978878.178779133</v>
      </c>
      <c r="N52" s="59">
        <f t="shared" si="39"/>
        <v>3068244.524142507</v>
      </c>
      <c r="P52" s="37">
        <f t="shared" si="33"/>
        <v>1.055</v>
      </c>
      <c r="Q52" s="41">
        <f t="shared" si="34"/>
        <v>1.05</v>
      </c>
      <c r="R52" s="37">
        <f t="shared" si="35"/>
        <v>1.045</v>
      </c>
      <c r="S52" s="41">
        <f t="shared" si="36"/>
        <v>1.04</v>
      </c>
      <c r="T52" s="37">
        <f t="shared" si="37"/>
        <v>1.035</v>
      </c>
      <c r="U52" s="41">
        <f t="shared" si="38"/>
        <v>1.03</v>
      </c>
      <c r="V52" s="37">
        <f t="shared" si="38"/>
        <v>1.03</v>
      </c>
      <c r="W52" s="41">
        <f t="shared" si="38"/>
        <v>1.03</v>
      </c>
      <c r="X52" s="37">
        <f t="shared" si="38"/>
        <v>1.03</v>
      </c>
      <c r="Y52" s="115">
        <f t="shared" si="38"/>
        <v>1.03</v>
      </c>
      <c r="Z52" s="115">
        <f t="shared" si="38"/>
        <v>1.03</v>
      </c>
      <c r="AA52" s="115">
        <f t="shared" si="38"/>
        <v>1.03</v>
      </c>
    </row>
    <row r="53" spans="1:27" ht="12.75">
      <c r="A53" s="125" t="s">
        <v>111</v>
      </c>
      <c r="B53" s="137">
        <f>SUM(B54:B55)</f>
        <v>0</v>
      </c>
      <c r="C53" s="137">
        <f>SUM(C54:C55)</f>
        <v>0</v>
      </c>
      <c r="D53" s="138">
        <f aca="true" t="shared" si="40" ref="D53:L53">SUM(D54:D55)</f>
        <v>0</v>
      </c>
      <c r="E53" s="137">
        <f t="shared" si="40"/>
        <v>0</v>
      </c>
      <c r="F53" s="138">
        <f t="shared" si="40"/>
        <v>0</v>
      </c>
      <c r="G53" s="137">
        <f t="shared" si="40"/>
        <v>0</v>
      </c>
      <c r="H53" s="138">
        <f t="shared" si="40"/>
        <v>0</v>
      </c>
      <c r="I53" s="137">
        <f t="shared" si="40"/>
        <v>0</v>
      </c>
      <c r="J53" s="138">
        <f t="shared" si="40"/>
        <v>0</v>
      </c>
      <c r="K53" s="137">
        <f t="shared" si="40"/>
        <v>0</v>
      </c>
      <c r="L53" s="137">
        <f t="shared" si="40"/>
        <v>0</v>
      </c>
      <c r="M53" s="137">
        <f>SUM(M54:M55)</f>
        <v>0</v>
      </c>
      <c r="N53" s="137">
        <f>SUM(N54:N55)</f>
        <v>0</v>
      </c>
      <c r="P53" s="191"/>
      <c r="Q53" s="202"/>
      <c r="R53" s="191"/>
      <c r="S53" s="202"/>
      <c r="T53" s="191"/>
      <c r="U53" s="202"/>
      <c r="V53" s="191"/>
      <c r="W53" s="202"/>
      <c r="X53" s="191"/>
      <c r="Y53" s="264"/>
      <c r="Z53" s="264"/>
      <c r="AA53" s="264"/>
    </row>
    <row r="54" spans="1:27" ht="12.75">
      <c r="A54" s="14" t="s">
        <v>112</v>
      </c>
      <c r="B54" s="59">
        <f>+Gastos!G54</f>
        <v>0</v>
      </c>
      <c r="C54" s="59">
        <f aca="true" t="shared" si="41" ref="C54:N55">B54*P54</f>
        <v>0</v>
      </c>
      <c r="D54" s="232">
        <f t="shared" si="41"/>
        <v>0</v>
      </c>
      <c r="E54" s="59">
        <f t="shared" si="41"/>
        <v>0</v>
      </c>
      <c r="F54" s="232">
        <f t="shared" si="41"/>
        <v>0</v>
      </c>
      <c r="G54" s="59">
        <f t="shared" si="41"/>
        <v>0</v>
      </c>
      <c r="H54" s="232">
        <f t="shared" si="41"/>
        <v>0</v>
      </c>
      <c r="I54" s="59">
        <f t="shared" si="41"/>
        <v>0</v>
      </c>
      <c r="J54" s="232">
        <f t="shared" si="41"/>
        <v>0</v>
      </c>
      <c r="K54" s="59">
        <f t="shared" si="41"/>
        <v>0</v>
      </c>
      <c r="L54" s="59">
        <f t="shared" si="41"/>
        <v>0</v>
      </c>
      <c r="M54" s="59">
        <f t="shared" si="41"/>
        <v>0</v>
      </c>
      <c r="N54" s="59">
        <f t="shared" si="41"/>
        <v>0</v>
      </c>
      <c r="P54" s="191"/>
      <c r="Q54" s="202"/>
      <c r="R54" s="191"/>
      <c r="S54" s="202"/>
      <c r="T54" s="191"/>
      <c r="U54" s="202"/>
      <c r="V54" s="191"/>
      <c r="W54" s="202"/>
      <c r="X54" s="191"/>
      <c r="Y54" s="264"/>
      <c r="Z54" s="264"/>
      <c r="AA54" s="264"/>
    </row>
    <row r="55" spans="1:27" ht="13.5" thickBot="1">
      <c r="A55" s="14" t="s">
        <v>113</v>
      </c>
      <c r="B55" s="91">
        <f>+Gastos!G55</f>
        <v>0</v>
      </c>
      <c r="C55" s="59">
        <f t="shared" si="41"/>
        <v>0</v>
      </c>
      <c r="D55" s="232">
        <f t="shared" si="41"/>
        <v>0</v>
      </c>
      <c r="E55" s="59">
        <f t="shared" si="41"/>
        <v>0</v>
      </c>
      <c r="F55" s="232">
        <f t="shared" si="41"/>
        <v>0</v>
      </c>
      <c r="G55" s="59">
        <f t="shared" si="41"/>
        <v>0</v>
      </c>
      <c r="H55" s="232">
        <f t="shared" si="41"/>
        <v>0</v>
      </c>
      <c r="I55" s="59">
        <f t="shared" si="41"/>
        <v>0</v>
      </c>
      <c r="J55" s="232">
        <f t="shared" si="41"/>
        <v>0</v>
      </c>
      <c r="K55" s="59">
        <f t="shared" si="41"/>
        <v>0</v>
      </c>
      <c r="L55" s="91">
        <f t="shared" si="41"/>
        <v>0</v>
      </c>
      <c r="M55" s="91">
        <f t="shared" si="41"/>
        <v>0</v>
      </c>
      <c r="N55" s="91">
        <f t="shared" si="41"/>
        <v>0</v>
      </c>
      <c r="P55" s="191"/>
      <c r="Q55" s="202"/>
      <c r="R55" s="191"/>
      <c r="S55" s="202"/>
      <c r="T55" s="191"/>
      <c r="U55" s="202"/>
      <c r="V55" s="191"/>
      <c r="W55" s="202"/>
      <c r="X55" s="191"/>
      <c r="Y55" s="264"/>
      <c r="Z55" s="264"/>
      <c r="AA55" s="264"/>
    </row>
    <row r="56" spans="1:27" ht="13.5" thickBot="1">
      <c r="A56" s="12" t="s">
        <v>114</v>
      </c>
      <c r="B56" s="53">
        <f>+B57+B110+B147+B183</f>
        <v>2270122795.9</v>
      </c>
      <c r="C56" s="53">
        <f aca="true" t="shared" si="42" ref="C56:L56">+C57+C110+C147+C183</f>
        <v>2432190063.2714996</v>
      </c>
      <c r="D56" s="206">
        <f t="shared" si="42"/>
        <v>2945009431.19</v>
      </c>
      <c r="E56" s="53">
        <f t="shared" si="42"/>
        <v>3148322082.1087</v>
      </c>
      <c r="F56" s="206">
        <f t="shared" si="42"/>
        <v>3365261176.6152616</v>
      </c>
      <c r="G56" s="53">
        <f t="shared" si="42"/>
        <v>3580439181.060769</v>
      </c>
      <c r="H56" s="206">
        <f t="shared" si="42"/>
        <v>3792119053.756827</v>
      </c>
      <c r="I56" s="53">
        <f t="shared" si="42"/>
        <v>4016405324.469621</v>
      </c>
      <c r="J56" s="206">
        <f t="shared" si="42"/>
        <v>4254051545.249805</v>
      </c>
      <c r="K56" s="53">
        <f t="shared" si="42"/>
        <v>4505856396.31616</v>
      </c>
      <c r="L56" s="53">
        <f t="shared" si="42"/>
        <v>4772666391.197037</v>
      </c>
      <c r="M56" s="53">
        <f>+M57+M110+M147+M183</f>
        <v>5055378744.103823</v>
      </c>
      <c r="N56" s="53">
        <f>+N57+N110+N147+N183</f>
        <v>5354944409.268066</v>
      </c>
      <c r="P56" s="191"/>
      <c r="Q56" s="202"/>
      <c r="R56" s="191"/>
      <c r="S56" s="202"/>
      <c r="T56" s="191"/>
      <c r="U56" s="202"/>
      <c r="V56" s="191"/>
      <c r="W56" s="202"/>
      <c r="X56" s="191"/>
      <c r="Y56" s="264"/>
      <c r="Z56" s="264"/>
      <c r="AA56" s="264"/>
    </row>
    <row r="57" spans="1:27" ht="12.75">
      <c r="A57" s="125" t="s">
        <v>115</v>
      </c>
      <c r="B57" s="133">
        <f>B58+B66+B73</f>
        <v>2197170363.9</v>
      </c>
      <c r="C57" s="133">
        <f>C58+C66+C73</f>
        <v>2353036674.5515</v>
      </c>
      <c r="D57" s="207">
        <f aca="true" t="shared" si="43" ref="D57:L57">D58+D66+D73</f>
        <v>2850409122.37</v>
      </c>
      <c r="E57" s="133">
        <f t="shared" si="43"/>
        <v>3049937760.9358997</v>
      </c>
      <c r="F57" s="207">
        <f t="shared" si="43"/>
        <v>3263433404.2014136</v>
      </c>
      <c r="G57" s="133">
        <f t="shared" si="43"/>
        <v>3475556575.4745054</v>
      </c>
      <c r="H57" s="207">
        <f t="shared" si="43"/>
        <v>3684089970.0029755</v>
      </c>
      <c r="I57" s="133">
        <f t="shared" si="43"/>
        <v>3905135368.203154</v>
      </c>
      <c r="J57" s="207">
        <f t="shared" si="43"/>
        <v>4139443490.295344</v>
      </c>
      <c r="K57" s="133">
        <f t="shared" si="43"/>
        <v>4387810099.713065</v>
      </c>
      <c r="L57" s="133">
        <f t="shared" si="43"/>
        <v>4651078705.695849</v>
      </c>
      <c r="M57" s="133">
        <f>M58+M66+M73</f>
        <v>4930143428.0376</v>
      </c>
      <c r="N57" s="133">
        <f>N58+N66+N73</f>
        <v>5225952033.719856</v>
      </c>
      <c r="P57" s="191"/>
      <c r="Q57" s="202"/>
      <c r="R57" s="191"/>
      <c r="S57" s="202"/>
      <c r="T57" s="191"/>
      <c r="U57" s="202"/>
      <c r="V57" s="191"/>
      <c r="W57" s="202"/>
      <c r="X57" s="191"/>
      <c r="Y57" s="264"/>
      <c r="Z57" s="264"/>
      <c r="AA57" s="264"/>
    </row>
    <row r="58" spans="1:27" ht="12.75">
      <c r="A58" s="126" t="s">
        <v>116</v>
      </c>
      <c r="B58" s="92">
        <f>SUM(B59:B65)</f>
        <v>151455063</v>
      </c>
      <c r="C58" s="92">
        <f>SUM(C59:C65)</f>
        <v>133435573.075</v>
      </c>
      <c r="D58" s="142">
        <f aca="true" t="shared" si="44" ref="D58:L58">SUM(D59:D65)</f>
        <v>184207175</v>
      </c>
      <c r="E58" s="92">
        <f t="shared" si="44"/>
        <v>197101677.25</v>
      </c>
      <c r="F58" s="142">
        <f t="shared" si="44"/>
        <v>210898794.65750003</v>
      </c>
      <c r="G58" s="92">
        <f t="shared" si="44"/>
        <v>224607216.31023753</v>
      </c>
      <c r="H58" s="142">
        <f t="shared" si="44"/>
        <v>238083649.2888518</v>
      </c>
      <c r="I58" s="92">
        <f t="shared" si="44"/>
        <v>252368668.24618292</v>
      </c>
      <c r="J58" s="142">
        <f t="shared" si="44"/>
        <v>267510788.34095392</v>
      </c>
      <c r="K58" s="92">
        <f t="shared" si="44"/>
        <v>283561435.6414111</v>
      </c>
      <c r="L58" s="92">
        <f t="shared" si="44"/>
        <v>300575121.77989584</v>
      </c>
      <c r="M58" s="92">
        <f>SUM(M59:M65)</f>
        <v>318609629.08668965</v>
      </c>
      <c r="N58" s="92">
        <f>SUM(N59:N65)</f>
        <v>337726206.831891</v>
      </c>
      <c r="P58" s="191"/>
      <c r="Q58" s="202"/>
      <c r="R58" s="191"/>
      <c r="S58" s="202"/>
      <c r="T58" s="191"/>
      <c r="U58" s="202"/>
      <c r="V58" s="191"/>
      <c r="W58" s="202"/>
      <c r="X58" s="191"/>
      <c r="Y58" s="264"/>
      <c r="Z58" s="264"/>
      <c r="AA58" s="264"/>
    </row>
    <row r="59" spans="1:27" ht="12.75">
      <c r="A59" s="14" t="s">
        <v>117</v>
      </c>
      <c r="B59" s="59">
        <f>+Gastos!G59</f>
        <v>35221622</v>
      </c>
      <c r="C59" s="59">
        <f>B59*P59</f>
        <v>38215459.87</v>
      </c>
      <c r="D59" s="285">
        <f>+'[3]PASIVA'!$M$159+'[3]PASIVA'!$M$160+'[3]PASIVA'!$M$161+'[3]PASIVA'!$M$162+'[3]PASIVA'!$O$169+'[3]PASIVA'!$O$170+'[3]PASIVA'!$O$171+'[3]PASIVA'!$O$172+'[3]PASIVA'!$O$173</f>
        <v>47262164</v>
      </c>
      <c r="E59" s="59">
        <f aca="true" t="shared" si="45" ref="E59:N65">D59*R59</f>
        <v>50570515.480000004</v>
      </c>
      <c r="F59" s="232">
        <f t="shared" si="45"/>
        <v>54110451.56360001</v>
      </c>
      <c r="G59" s="59">
        <f t="shared" si="45"/>
        <v>57627630.91523401</v>
      </c>
      <c r="H59" s="232">
        <f t="shared" si="45"/>
        <v>61085288.770148054</v>
      </c>
      <c r="I59" s="59">
        <f t="shared" si="45"/>
        <v>64750406.09635694</v>
      </c>
      <c r="J59" s="232">
        <f t="shared" si="45"/>
        <v>68635430.46213837</v>
      </c>
      <c r="K59" s="59">
        <f t="shared" si="45"/>
        <v>72753556.28986667</v>
      </c>
      <c r="L59" s="59">
        <f t="shared" si="45"/>
        <v>77118769.66725868</v>
      </c>
      <c r="M59" s="59">
        <f t="shared" si="45"/>
        <v>81745895.84729421</v>
      </c>
      <c r="N59" s="59">
        <f t="shared" si="45"/>
        <v>86650649.59813187</v>
      </c>
      <c r="P59" s="37">
        <f>1+(0.06+0.025)</f>
        <v>1.085</v>
      </c>
      <c r="Q59" s="41">
        <f aca="true" t="shared" si="46" ref="Q59:Q65">1+(0.05+0.025)</f>
        <v>1.075</v>
      </c>
      <c r="R59" s="37">
        <f aca="true" t="shared" si="47" ref="R59:R65">1+(0.045+0.025)</f>
        <v>1.07</v>
      </c>
      <c r="S59" s="41">
        <f aca="true" t="shared" si="48" ref="S59:S65">1+(0.04+0.03)</f>
        <v>1.07</v>
      </c>
      <c r="T59" s="37">
        <f aca="true" t="shared" si="49" ref="T59:T65">1+(0.035+0.03)</f>
        <v>1.065</v>
      </c>
      <c r="U59" s="41">
        <f aca="true" t="shared" si="50" ref="U59:AA65">1+(0.03+0.03)</f>
        <v>1.06</v>
      </c>
      <c r="V59" s="37">
        <f t="shared" si="50"/>
        <v>1.06</v>
      </c>
      <c r="W59" s="41">
        <f t="shared" si="50"/>
        <v>1.06</v>
      </c>
      <c r="X59" s="37">
        <f t="shared" si="50"/>
        <v>1.06</v>
      </c>
      <c r="Y59" s="115">
        <f t="shared" si="50"/>
        <v>1.06</v>
      </c>
      <c r="Z59" s="115">
        <f t="shared" si="50"/>
        <v>1.06</v>
      </c>
      <c r="AA59" s="115">
        <f t="shared" si="50"/>
        <v>1.06</v>
      </c>
    </row>
    <row r="60" spans="1:27" ht="12.75">
      <c r="A60" s="14" t="s">
        <v>118</v>
      </c>
      <c r="B60" s="59">
        <f>+Gastos!G60</f>
        <v>0</v>
      </c>
      <c r="C60" s="59">
        <f>B60*P60</f>
        <v>0</v>
      </c>
      <c r="D60" s="232">
        <f>+'[3]PASIVA'!$M$164+'[3]PASIVA'!$M$166+'[3]PASIVA'!$O$166+'[3]PASIVA'!$M$167</f>
        <v>9247000</v>
      </c>
      <c r="E60" s="59">
        <f t="shared" si="45"/>
        <v>9894290</v>
      </c>
      <c r="F60" s="232">
        <f t="shared" si="45"/>
        <v>10586890.3</v>
      </c>
      <c r="G60" s="59">
        <f t="shared" si="45"/>
        <v>11275038.1695</v>
      </c>
      <c r="H60" s="232">
        <f t="shared" si="45"/>
        <v>11951540.459670002</v>
      </c>
      <c r="I60" s="59">
        <f t="shared" si="45"/>
        <v>12668632.887250202</v>
      </c>
      <c r="J60" s="232">
        <f t="shared" si="45"/>
        <v>13428750.860485215</v>
      </c>
      <c r="K60" s="59">
        <f t="shared" si="45"/>
        <v>14234475.912114328</v>
      </c>
      <c r="L60" s="59">
        <f t="shared" si="45"/>
        <v>15088544.466841187</v>
      </c>
      <c r="M60" s="59">
        <f t="shared" si="45"/>
        <v>15993857.134851659</v>
      </c>
      <c r="N60" s="59">
        <f t="shared" si="45"/>
        <v>16953488.56294276</v>
      </c>
      <c r="P60" s="37">
        <f aca="true" t="shared" si="51" ref="P60:P65">1+(0.06+0.025)</f>
        <v>1.085</v>
      </c>
      <c r="Q60" s="41">
        <f t="shared" si="46"/>
        <v>1.075</v>
      </c>
      <c r="R60" s="37">
        <f t="shared" si="47"/>
        <v>1.07</v>
      </c>
      <c r="S60" s="41">
        <f t="shared" si="48"/>
        <v>1.07</v>
      </c>
      <c r="T60" s="37">
        <f t="shared" si="49"/>
        <v>1.065</v>
      </c>
      <c r="U60" s="41">
        <f t="shared" si="50"/>
        <v>1.06</v>
      </c>
      <c r="V60" s="37">
        <f t="shared" si="50"/>
        <v>1.06</v>
      </c>
      <c r="W60" s="41">
        <f t="shared" si="50"/>
        <v>1.06</v>
      </c>
      <c r="X60" s="37">
        <f t="shared" si="50"/>
        <v>1.06</v>
      </c>
      <c r="Y60" s="115">
        <f t="shared" si="50"/>
        <v>1.06</v>
      </c>
      <c r="Z60" s="115">
        <f t="shared" si="50"/>
        <v>1.06</v>
      </c>
      <c r="AA60" s="115">
        <f t="shared" si="50"/>
        <v>1.06</v>
      </c>
    </row>
    <row r="61" spans="1:27" ht="12.75">
      <c r="A61" s="14" t="s">
        <v>119</v>
      </c>
      <c r="B61" s="59">
        <f>+Gastos!G61</f>
        <v>17838119</v>
      </c>
      <c r="C61" s="59">
        <f>B61*P61</f>
        <v>19354359.115</v>
      </c>
      <c r="D61" s="232">
        <v>0</v>
      </c>
      <c r="E61" s="59">
        <f t="shared" si="45"/>
        <v>0</v>
      </c>
      <c r="F61" s="232">
        <f t="shared" si="45"/>
        <v>0</v>
      </c>
      <c r="G61" s="59">
        <f t="shared" si="45"/>
        <v>0</v>
      </c>
      <c r="H61" s="232">
        <f t="shared" si="45"/>
        <v>0</v>
      </c>
      <c r="I61" s="59">
        <f t="shared" si="45"/>
        <v>0</v>
      </c>
      <c r="J61" s="232">
        <f t="shared" si="45"/>
        <v>0</v>
      </c>
      <c r="K61" s="59">
        <f t="shared" si="45"/>
        <v>0</v>
      </c>
      <c r="L61" s="59">
        <f t="shared" si="45"/>
        <v>0</v>
      </c>
      <c r="M61" s="59">
        <f t="shared" si="45"/>
        <v>0</v>
      </c>
      <c r="N61" s="59">
        <f t="shared" si="45"/>
        <v>0</v>
      </c>
      <c r="P61" s="37">
        <f t="shared" si="51"/>
        <v>1.085</v>
      </c>
      <c r="Q61" s="41">
        <f t="shared" si="46"/>
        <v>1.075</v>
      </c>
      <c r="R61" s="37">
        <f t="shared" si="47"/>
        <v>1.07</v>
      </c>
      <c r="S61" s="41">
        <f t="shared" si="48"/>
        <v>1.07</v>
      </c>
      <c r="T61" s="37">
        <f t="shared" si="49"/>
        <v>1.065</v>
      </c>
      <c r="U61" s="41">
        <f t="shared" si="50"/>
        <v>1.06</v>
      </c>
      <c r="V61" s="37">
        <f t="shared" si="50"/>
        <v>1.06</v>
      </c>
      <c r="W61" s="41">
        <f t="shared" si="50"/>
        <v>1.06</v>
      </c>
      <c r="X61" s="37">
        <f t="shared" si="50"/>
        <v>1.06</v>
      </c>
      <c r="Y61" s="115">
        <f t="shared" si="50"/>
        <v>1.06</v>
      </c>
      <c r="Z61" s="115">
        <f t="shared" si="50"/>
        <v>1.06</v>
      </c>
      <c r="AA61" s="115">
        <f t="shared" si="50"/>
        <v>1.06</v>
      </c>
    </row>
    <row r="62" spans="1:27" ht="12.75">
      <c r="A62" s="14" t="s">
        <v>120</v>
      </c>
      <c r="B62" s="59">
        <f>+Gastos!G62</f>
        <v>50314400</v>
      </c>
      <c r="C62" s="59">
        <f>B62*P62</f>
        <v>54591124</v>
      </c>
      <c r="D62" s="232">
        <v>0</v>
      </c>
      <c r="E62" s="59">
        <f t="shared" si="45"/>
        <v>0</v>
      </c>
      <c r="F62" s="232">
        <f t="shared" si="45"/>
        <v>0</v>
      </c>
      <c r="G62" s="59">
        <f t="shared" si="45"/>
        <v>0</v>
      </c>
      <c r="H62" s="232">
        <f t="shared" si="45"/>
        <v>0</v>
      </c>
      <c r="I62" s="59">
        <f t="shared" si="45"/>
        <v>0</v>
      </c>
      <c r="J62" s="232">
        <f t="shared" si="45"/>
        <v>0</v>
      </c>
      <c r="K62" s="59">
        <f t="shared" si="45"/>
        <v>0</v>
      </c>
      <c r="L62" s="59">
        <f t="shared" si="45"/>
        <v>0</v>
      </c>
      <c r="M62" s="59">
        <f t="shared" si="45"/>
        <v>0</v>
      </c>
      <c r="N62" s="59">
        <f t="shared" si="45"/>
        <v>0</v>
      </c>
      <c r="P62" s="37">
        <f t="shared" si="51"/>
        <v>1.085</v>
      </c>
      <c r="Q62" s="41">
        <f t="shared" si="46"/>
        <v>1.075</v>
      </c>
      <c r="R62" s="37">
        <f t="shared" si="47"/>
        <v>1.07</v>
      </c>
      <c r="S62" s="41">
        <f t="shared" si="48"/>
        <v>1.07</v>
      </c>
      <c r="T62" s="37">
        <f t="shared" si="49"/>
        <v>1.065</v>
      </c>
      <c r="U62" s="41">
        <f t="shared" si="50"/>
        <v>1.06</v>
      </c>
      <c r="V62" s="37">
        <f t="shared" si="50"/>
        <v>1.06</v>
      </c>
      <c r="W62" s="41">
        <f t="shared" si="50"/>
        <v>1.06</v>
      </c>
      <c r="X62" s="37">
        <f t="shared" si="50"/>
        <v>1.06</v>
      </c>
      <c r="Y62" s="115">
        <f t="shared" si="50"/>
        <v>1.06</v>
      </c>
      <c r="Z62" s="115">
        <f t="shared" si="50"/>
        <v>1.06</v>
      </c>
      <c r="AA62" s="115">
        <f t="shared" si="50"/>
        <v>1.06</v>
      </c>
    </row>
    <row r="63" spans="1:27" ht="12.75">
      <c r="A63" s="14" t="s">
        <v>121</v>
      </c>
      <c r="B63" s="59">
        <f>+Gastos!G63</f>
        <v>2500000</v>
      </c>
      <c r="C63" s="59">
        <f>B63*P63</f>
        <v>2712500</v>
      </c>
      <c r="D63" s="232">
        <v>0</v>
      </c>
      <c r="E63" s="59">
        <f t="shared" si="45"/>
        <v>0</v>
      </c>
      <c r="F63" s="232">
        <f t="shared" si="45"/>
        <v>0</v>
      </c>
      <c r="G63" s="59">
        <f t="shared" si="45"/>
        <v>0</v>
      </c>
      <c r="H63" s="232">
        <f t="shared" si="45"/>
        <v>0</v>
      </c>
      <c r="I63" s="59">
        <f t="shared" si="45"/>
        <v>0</v>
      </c>
      <c r="J63" s="232">
        <f t="shared" si="45"/>
        <v>0</v>
      </c>
      <c r="K63" s="59">
        <f t="shared" si="45"/>
        <v>0</v>
      </c>
      <c r="L63" s="59">
        <f t="shared" si="45"/>
        <v>0</v>
      </c>
      <c r="M63" s="59">
        <f t="shared" si="45"/>
        <v>0</v>
      </c>
      <c r="N63" s="59">
        <f t="shared" si="45"/>
        <v>0</v>
      </c>
      <c r="P63" s="37">
        <f t="shared" si="51"/>
        <v>1.085</v>
      </c>
      <c r="Q63" s="41">
        <f t="shared" si="46"/>
        <v>1.075</v>
      </c>
      <c r="R63" s="37">
        <f t="shared" si="47"/>
        <v>1.07</v>
      </c>
      <c r="S63" s="41">
        <f t="shared" si="48"/>
        <v>1.07</v>
      </c>
      <c r="T63" s="37">
        <f t="shared" si="49"/>
        <v>1.065</v>
      </c>
      <c r="U63" s="41">
        <f t="shared" si="50"/>
        <v>1.06</v>
      </c>
      <c r="V63" s="37">
        <f t="shared" si="50"/>
        <v>1.06</v>
      </c>
      <c r="W63" s="41">
        <f t="shared" si="50"/>
        <v>1.06</v>
      </c>
      <c r="X63" s="37">
        <f t="shared" si="50"/>
        <v>1.06</v>
      </c>
      <c r="Y63" s="115">
        <f t="shared" si="50"/>
        <v>1.06</v>
      </c>
      <c r="Z63" s="115">
        <f t="shared" si="50"/>
        <v>1.06</v>
      </c>
      <c r="AA63" s="115">
        <f t="shared" si="50"/>
        <v>1.06</v>
      </c>
    </row>
    <row r="64" spans="1:27" ht="12.75">
      <c r="A64" s="14" t="s">
        <v>303</v>
      </c>
      <c r="B64" s="59">
        <f>+Gastos!G64</f>
        <v>28472968</v>
      </c>
      <c r="C64" s="59"/>
      <c r="D64" s="232">
        <f>+'[3]PASIVA'!$M$381+'[3]PASIVA'!$O$381</f>
        <v>64302539</v>
      </c>
      <c r="E64" s="59">
        <f t="shared" si="45"/>
        <v>68803716.73</v>
      </c>
      <c r="F64" s="59">
        <f t="shared" si="45"/>
        <v>73619976.90110001</v>
      </c>
      <c r="G64" s="59">
        <f t="shared" si="45"/>
        <v>78405275.39967151</v>
      </c>
      <c r="H64" s="59">
        <f t="shared" si="45"/>
        <v>83109591.9236518</v>
      </c>
      <c r="I64" s="59">
        <f t="shared" si="45"/>
        <v>88096167.43907091</v>
      </c>
      <c r="J64" s="59">
        <f t="shared" si="45"/>
        <v>93381937.48541518</v>
      </c>
      <c r="K64" s="59">
        <f t="shared" si="45"/>
        <v>98984853.73454009</v>
      </c>
      <c r="L64" s="59">
        <f t="shared" si="45"/>
        <v>104923944.9586125</v>
      </c>
      <c r="M64" s="59">
        <f t="shared" si="45"/>
        <v>111219381.65612926</v>
      </c>
      <c r="N64" s="59">
        <f t="shared" si="45"/>
        <v>117892544.55549702</v>
      </c>
      <c r="P64" s="37">
        <f t="shared" si="51"/>
        <v>1.085</v>
      </c>
      <c r="Q64" s="41">
        <f t="shared" si="46"/>
        <v>1.075</v>
      </c>
      <c r="R64" s="37">
        <f t="shared" si="47"/>
        <v>1.07</v>
      </c>
      <c r="S64" s="41">
        <f t="shared" si="48"/>
        <v>1.07</v>
      </c>
      <c r="T64" s="37">
        <f t="shared" si="49"/>
        <v>1.065</v>
      </c>
      <c r="U64" s="41">
        <f t="shared" si="50"/>
        <v>1.06</v>
      </c>
      <c r="V64" s="37">
        <f t="shared" si="50"/>
        <v>1.06</v>
      </c>
      <c r="W64" s="41">
        <f t="shared" si="50"/>
        <v>1.06</v>
      </c>
      <c r="X64" s="37">
        <f t="shared" si="50"/>
        <v>1.06</v>
      </c>
      <c r="Y64" s="115">
        <f t="shared" si="50"/>
        <v>1.06</v>
      </c>
      <c r="Z64" s="115">
        <f t="shared" si="50"/>
        <v>1.06</v>
      </c>
      <c r="AA64" s="115">
        <f t="shared" si="50"/>
        <v>1.06</v>
      </c>
    </row>
    <row r="65" spans="1:27" ht="12.75">
      <c r="A65" s="14" t="s">
        <v>122</v>
      </c>
      <c r="B65" s="59">
        <f>+Gastos!G65</f>
        <v>17107954</v>
      </c>
      <c r="C65" s="59">
        <f>B65*P65</f>
        <v>18562130.09</v>
      </c>
      <c r="D65" s="232">
        <f>+'[3]PASIVA'!$M$153+'[3]PASIVA'!$M$154+'[3]PASIVA'!$M$155+'[3]PASIVA'!$M$156+'[3]PASIVA'!$M$157+'[3]PASIVA'!$M$158+'[3]PASIVA'!$O$158</f>
        <v>63395472</v>
      </c>
      <c r="E65" s="59">
        <f t="shared" si="45"/>
        <v>67833155.04</v>
      </c>
      <c r="F65" s="232">
        <f t="shared" si="45"/>
        <v>72581475.89280002</v>
      </c>
      <c r="G65" s="59">
        <f t="shared" si="45"/>
        <v>77299271.82583201</v>
      </c>
      <c r="H65" s="232">
        <f t="shared" si="45"/>
        <v>81937228.13538194</v>
      </c>
      <c r="I65" s="59">
        <f t="shared" si="45"/>
        <v>86853461.82350485</v>
      </c>
      <c r="J65" s="232">
        <f t="shared" si="45"/>
        <v>92064669.53291515</v>
      </c>
      <c r="K65" s="59">
        <f t="shared" si="45"/>
        <v>97588549.70489006</v>
      </c>
      <c r="L65" s="59">
        <f t="shared" si="45"/>
        <v>103443862.68718347</v>
      </c>
      <c r="M65" s="59">
        <f t="shared" si="45"/>
        <v>109650494.44841449</v>
      </c>
      <c r="N65" s="59">
        <f t="shared" si="45"/>
        <v>116229524.11531937</v>
      </c>
      <c r="P65" s="37">
        <f t="shared" si="51"/>
        <v>1.085</v>
      </c>
      <c r="Q65" s="41">
        <f t="shared" si="46"/>
        <v>1.075</v>
      </c>
      <c r="R65" s="37">
        <f t="shared" si="47"/>
        <v>1.07</v>
      </c>
      <c r="S65" s="41">
        <f t="shared" si="48"/>
        <v>1.07</v>
      </c>
      <c r="T65" s="37">
        <f t="shared" si="49"/>
        <v>1.065</v>
      </c>
      <c r="U65" s="41">
        <f t="shared" si="50"/>
        <v>1.06</v>
      </c>
      <c r="V65" s="37">
        <f t="shared" si="50"/>
        <v>1.06</v>
      </c>
      <c r="W65" s="41">
        <f t="shared" si="50"/>
        <v>1.06</v>
      </c>
      <c r="X65" s="37">
        <f t="shared" si="50"/>
        <v>1.06</v>
      </c>
      <c r="Y65" s="115">
        <f t="shared" si="50"/>
        <v>1.06</v>
      </c>
      <c r="Z65" s="115">
        <f t="shared" si="50"/>
        <v>1.06</v>
      </c>
      <c r="AA65" s="115">
        <f t="shared" si="50"/>
        <v>1.06</v>
      </c>
    </row>
    <row r="66" spans="1:27" ht="12.75">
      <c r="A66" s="126" t="s">
        <v>123</v>
      </c>
      <c r="B66" s="92">
        <f>SUM(B67:B72)</f>
        <v>1146512907.24</v>
      </c>
      <c r="C66" s="92">
        <f>SUM(C67:C72)</f>
        <v>1243966504.3554</v>
      </c>
      <c r="D66" s="142">
        <f aca="true" t="shared" si="52" ref="D66:L66">SUM(D67:D72)</f>
        <v>1509010247.01</v>
      </c>
      <c r="E66" s="92">
        <f t="shared" si="52"/>
        <v>1614640964.3007002</v>
      </c>
      <c r="F66" s="142">
        <f t="shared" si="52"/>
        <v>1727665831.8017492</v>
      </c>
      <c r="G66" s="92">
        <f t="shared" si="52"/>
        <v>1839964110.8688629</v>
      </c>
      <c r="H66" s="142">
        <f t="shared" si="52"/>
        <v>1950361957.5209947</v>
      </c>
      <c r="I66" s="92">
        <f t="shared" si="52"/>
        <v>2067383674.9722545</v>
      </c>
      <c r="J66" s="142">
        <f t="shared" si="52"/>
        <v>2191426695.47059</v>
      </c>
      <c r="K66" s="92">
        <f t="shared" si="52"/>
        <v>2322912297.198826</v>
      </c>
      <c r="L66" s="92">
        <f t="shared" si="52"/>
        <v>2462287035.0307555</v>
      </c>
      <c r="M66" s="92">
        <f>SUM(M67:M72)</f>
        <v>2610024257.132601</v>
      </c>
      <c r="N66" s="92">
        <f>SUM(N67:N72)</f>
        <v>2766625712.560557</v>
      </c>
      <c r="P66" s="191"/>
      <c r="Q66" s="202"/>
      <c r="R66" s="191"/>
      <c r="S66" s="202"/>
      <c r="T66" s="191"/>
      <c r="U66" s="202"/>
      <c r="V66" s="191"/>
      <c r="W66" s="202"/>
      <c r="X66" s="191"/>
      <c r="Y66" s="264"/>
      <c r="Z66" s="264"/>
      <c r="AA66" s="264"/>
    </row>
    <row r="67" spans="1:27" ht="12.75">
      <c r="A67" s="14" t="s">
        <v>124</v>
      </c>
      <c r="B67" s="59">
        <f>+Gastos!G67</f>
        <v>0</v>
      </c>
      <c r="C67" s="59">
        <f aca="true" t="shared" si="53" ref="C67:N71">B67*P67</f>
        <v>0</v>
      </c>
      <c r="D67" s="232">
        <f t="shared" si="53"/>
        <v>0</v>
      </c>
      <c r="E67" s="59">
        <f t="shared" si="53"/>
        <v>0</v>
      </c>
      <c r="F67" s="232">
        <f t="shared" si="53"/>
        <v>0</v>
      </c>
      <c r="G67" s="59">
        <f t="shared" si="53"/>
        <v>0</v>
      </c>
      <c r="H67" s="232">
        <f t="shared" si="53"/>
        <v>0</v>
      </c>
      <c r="I67" s="59">
        <f t="shared" si="53"/>
        <v>0</v>
      </c>
      <c r="J67" s="232">
        <f t="shared" si="53"/>
        <v>0</v>
      </c>
      <c r="K67" s="59">
        <f t="shared" si="53"/>
        <v>0</v>
      </c>
      <c r="L67" s="59">
        <f t="shared" si="53"/>
        <v>0</v>
      </c>
      <c r="M67" s="59">
        <f t="shared" si="53"/>
        <v>0</v>
      </c>
      <c r="N67" s="59">
        <f t="shared" si="53"/>
        <v>0</v>
      </c>
      <c r="P67" s="37">
        <f aca="true" t="shared" si="54" ref="P67:P72">1+(0.06+0.025)</f>
        <v>1.085</v>
      </c>
      <c r="Q67" s="41">
        <f aca="true" t="shared" si="55" ref="Q67:Q72">1+(0.05+0.025)</f>
        <v>1.075</v>
      </c>
      <c r="R67" s="37">
        <f aca="true" t="shared" si="56" ref="R67:R72">1+(0.045+0.025)</f>
        <v>1.07</v>
      </c>
      <c r="S67" s="41">
        <f aca="true" t="shared" si="57" ref="S67:S72">1+(0.04+0.03)</f>
        <v>1.07</v>
      </c>
      <c r="T67" s="37">
        <f aca="true" t="shared" si="58" ref="T67:T72">1+(0.035+0.03)</f>
        <v>1.065</v>
      </c>
      <c r="U67" s="41">
        <f aca="true" t="shared" si="59" ref="U67:AA72">1+(0.03+0.03)</f>
        <v>1.06</v>
      </c>
      <c r="V67" s="37">
        <f t="shared" si="59"/>
        <v>1.06</v>
      </c>
      <c r="W67" s="41">
        <f t="shared" si="59"/>
        <v>1.06</v>
      </c>
      <c r="X67" s="37">
        <f t="shared" si="59"/>
        <v>1.06</v>
      </c>
      <c r="Y67" s="115">
        <f t="shared" si="59"/>
        <v>1.06</v>
      </c>
      <c r="Z67" s="115">
        <f t="shared" si="59"/>
        <v>1.06</v>
      </c>
      <c r="AA67" s="115">
        <f t="shared" si="59"/>
        <v>1.06</v>
      </c>
    </row>
    <row r="68" spans="1:27" ht="12.75">
      <c r="A68" s="14" t="s">
        <v>118</v>
      </c>
      <c r="B68" s="59">
        <f>+Gastos!G68</f>
        <v>0</v>
      </c>
      <c r="C68" s="59">
        <f t="shared" si="53"/>
        <v>0</v>
      </c>
      <c r="D68" s="232">
        <f t="shared" si="53"/>
        <v>0</v>
      </c>
      <c r="E68" s="59">
        <f t="shared" si="53"/>
        <v>0</v>
      </c>
      <c r="F68" s="232">
        <f t="shared" si="53"/>
        <v>0</v>
      </c>
      <c r="G68" s="59">
        <f t="shared" si="53"/>
        <v>0</v>
      </c>
      <c r="H68" s="232">
        <f t="shared" si="53"/>
        <v>0</v>
      </c>
      <c r="I68" s="59">
        <f t="shared" si="53"/>
        <v>0</v>
      </c>
      <c r="J68" s="232">
        <f t="shared" si="53"/>
        <v>0</v>
      </c>
      <c r="K68" s="59">
        <f t="shared" si="53"/>
        <v>0</v>
      </c>
      <c r="L68" s="59">
        <f t="shared" si="53"/>
        <v>0</v>
      </c>
      <c r="M68" s="59">
        <f t="shared" si="53"/>
        <v>0</v>
      </c>
      <c r="N68" s="59">
        <f t="shared" si="53"/>
        <v>0</v>
      </c>
      <c r="P68" s="37">
        <f t="shared" si="54"/>
        <v>1.085</v>
      </c>
      <c r="Q68" s="41">
        <f t="shared" si="55"/>
        <v>1.075</v>
      </c>
      <c r="R68" s="37">
        <f t="shared" si="56"/>
        <v>1.07</v>
      </c>
      <c r="S68" s="41">
        <f t="shared" si="57"/>
        <v>1.07</v>
      </c>
      <c r="T68" s="37">
        <f t="shared" si="58"/>
        <v>1.065</v>
      </c>
      <c r="U68" s="41">
        <f t="shared" si="59"/>
        <v>1.06</v>
      </c>
      <c r="V68" s="37">
        <f t="shared" si="59"/>
        <v>1.06</v>
      </c>
      <c r="W68" s="41">
        <f t="shared" si="59"/>
        <v>1.06</v>
      </c>
      <c r="X68" s="37">
        <f t="shared" si="59"/>
        <v>1.06</v>
      </c>
      <c r="Y68" s="115">
        <f t="shared" si="59"/>
        <v>1.06</v>
      </c>
      <c r="Z68" s="115">
        <f t="shared" si="59"/>
        <v>1.06</v>
      </c>
      <c r="AA68" s="115">
        <f t="shared" si="59"/>
        <v>1.06</v>
      </c>
    </row>
    <row r="69" spans="1:27" ht="12.75">
      <c r="A69" s="14" t="s">
        <v>125</v>
      </c>
      <c r="B69" s="59">
        <f>+Gastos!G69</f>
        <v>0</v>
      </c>
      <c r="C69" s="59">
        <f t="shared" si="53"/>
        <v>0</v>
      </c>
      <c r="D69" s="232">
        <f t="shared" si="53"/>
        <v>0</v>
      </c>
      <c r="E69" s="59">
        <f t="shared" si="53"/>
        <v>0</v>
      </c>
      <c r="F69" s="232">
        <f t="shared" si="53"/>
        <v>0</v>
      </c>
      <c r="G69" s="59">
        <f t="shared" si="53"/>
        <v>0</v>
      </c>
      <c r="H69" s="232">
        <f t="shared" si="53"/>
        <v>0</v>
      </c>
      <c r="I69" s="59">
        <f t="shared" si="53"/>
        <v>0</v>
      </c>
      <c r="J69" s="232">
        <f t="shared" si="53"/>
        <v>0</v>
      </c>
      <c r="K69" s="59">
        <f t="shared" si="53"/>
        <v>0</v>
      </c>
      <c r="L69" s="59">
        <f t="shared" si="53"/>
        <v>0</v>
      </c>
      <c r="M69" s="59">
        <f t="shared" si="53"/>
        <v>0</v>
      </c>
      <c r="N69" s="59">
        <f t="shared" si="53"/>
        <v>0</v>
      </c>
      <c r="P69" s="37">
        <f t="shared" si="54"/>
        <v>1.085</v>
      </c>
      <c r="Q69" s="41">
        <f t="shared" si="55"/>
        <v>1.075</v>
      </c>
      <c r="R69" s="37">
        <f t="shared" si="56"/>
        <v>1.07</v>
      </c>
      <c r="S69" s="41">
        <f t="shared" si="57"/>
        <v>1.07</v>
      </c>
      <c r="T69" s="37">
        <f t="shared" si="58"/>
        <v>1.065</v>
      </c>
      <c r="U69" s="41">
        <f t="shared" si="59"/>
        <v>1.06</v>
      </c>
      <c r="V69" s="37">
        <f t="shared" si="59"/>
        <v>1.06</v>
      </c>
      <c r="W69" s="41">
        <f t="shared" si="59"/>
        <v>1.06</v>
      </c>
      <c r="X69" s="37">
        <f t="shared" si="59"/>
        <v>1.06</v>
      </c>
      <c r="Y69" s="115">
        <f t="shared" si="59"/>
        <v>1.06</v>
      </c>
      <c r="Z69" s="115">
        <f t="shared" si="59"/>
        <v>1.06</v>
      </c>
      <c r="AA69" s="115">
        <f t="shared" si="59"/>
        <v>1.06</v>
      </c>
    </row>
    <row r="70" spans="1:27" ht="12.75">
      <c r="A70" s="14" t="s">
        <v>120</v>
      </c>
      <c r="B70" s="59">
        <f>+Gastos!G70</f>
        <v>0</v>
      </c>
      <c r="C70" s="59">
        <f t="shared" si="53"/>
        <v>0</v>
      </c>
      <c r="D70" s="232">
        <f t="shared" si="53"/>
        <v>0</v>
      </c>
      <c r="E70" s="59">
        <f t="shared" si="53"/>
        <v>0</v>
      </c>
      <c r="F70" s="232">
        <f t="shared" si="53"/>
        <v>0</v>
      </c>
      <c r="G70" s="59">
        <f t="shared" si="53"/>
        <v>0</v>
      </c>
      <c r="H70" s="232">
        <f t="shared" si="53"/>
        <v>0</v>
      </c>
      <c r="I70" s="59">
        <f t="shared" si="53"/>
        <v>0</v>
      </c>
      <c r="J70" s="232">
        <f t="shared" si="53"/>
        <v>0</v>
      </c>
      <c r="K70" s="59">
        <f t="shared" si="53"/>
        <v>0</v>
      </c>
      <c r="L70" s="59">
        <f t="shared" si="53"/>
        <v>0</v>
      </c>
      <c r="M70" s="59">
        <f t="shared" si="53"/>
        <v>0</v>
      </c>
      <c r="N70" s="59">
        <f t="shared" si="53"/>
        <v>0</v>
      </c>
      <c r="P70" s="37">
        <f t="shared" si="54"/>
        <v>1.085</v>
      </c>
      <c r="Q70" s="41">
        <f t="shared" si="55"/>
        <v>1.075</v>
      </c>
      <c r="R70" s="37">
        <f t="shared" si="56"/>
        <v>1.07</v>
      </c>
      <c r="S70" s="41">
        <f t="shared" si="57"/>
        <v>1.07</v>
      </c>
      <c r="T70" s="37">
        <f t="shared" si="58"/>
        <v>1.065</v>
      </c>
      <c r="U70" s="41">
        <f t="shared" si="59"/>
        <v>1.06</v>
      </c>
      <c r="V70" s="37">
        <f t="shared" si="59"/>
        <v>1.06</v>
      </c>
      <c r="W70" s="41">
        <f t="shared" si="59"/>
        <v>1.06</v>
      </c>
      <c r="X70" s="37">
        <f t="shared" si="59"/>
        <v>1.06</v>
      </c>
      <c r="Y70" s="115">
        <f t="shared" si="59"/>
        <v>1.06</v>
      </c>
      <c r="Z70" s="115">
        <f t="shared" si="59"/>
        <v>1.06</v>
      </c>
      <c r="AA70" s="115">
        <f t="shared" si="59"/>
        <v>1.06</v>
      </c>
    </row>
    <row r="71" spans="1:27" ht="12.75">
      <c r="A71" s="14" t="s">
        <v>126</v>
      </c>
      <c r="B71" s="59">
        <f>+Gastos!G71</f>
        <v>0</v>
      </c>
      <c r="C71" s="59">
        <f t="shared" si="53"/>
        <v>0</v>
      </c>
      <c r="D71" s="232">
        <f t="shared" si="53"/>
        <v>0</v>
      </c>
      <c r="E71" s="59">
        <f t="shared" si="53"/>
        <v>0</v>
      </c>
      <c r="F71" s="232">
        <f t="shared" si="53"/>
        <v>0</v>
      </c>
      <c r="G71" s="59">
        <f t="shared" si="53"/>
        <v>0</v>
      </c>
      <c r="H71" s="232">
        <f t="shared" si="53"/>
        <v>0</v>
      </c>
      <c r="I71" s="59">
        <f t="shared" si="53"/>
        <v>0</v>
      </c>
      <c r="J71" s="232">
        <f t="shared" si="53"/>
        <v>0</v>
      </c>
      <c r="K71" s="59">
        <f t="shared" si="53"/>
        <v>0</v>
      </c>
      <c r="L71" s="59">
        <f t="shared" si="53"/>
        <v>0</v>
      </c>
      <c r="M71" s="59">
        <f t="shared" si="53"/>
        <v>0</v>
      </c>
      <c r="N71" s="59">
        <f t="shared" si="53"/>
        <v>0</v>
      </c>
      <c r="P71" s="37">
        <f t="shared" si="54"/>
        <v>1.085</v>
      </c>
      <c r="Q71" s="41">
        <f t="shared" si="55"/>
        <v>1.075</v>
      </c>
      <c r="R71" s="37">
        <f t="shared" si="56"/>
        <v>1.07</v>
      </c>
      <c r="S71" s="41">
        <f t="shared" si="57"/>
        <v>1.07</v>
      </c>
      <c r="T71" s="37">
        <f t="shared" si="58"/>
        <v>1.065</v>
      </c>
      <c r="U71" s="41">
        <f t="shared" si="59"/>
        <v>1.06</v>
      </c>
      <c r="V71" s="37">
        <f t="shared" si="59"/>
        <v>1.06</v>
      </c>
      <c r="W71" s="41">
        <f t="shared" si="59"/>
        <v>1.06</v>
      </c>
      <c r="X71" s="37">
        <f t="shared" si="59"/>
        <v>1.06</v>
      </c>
      <c r="Y71" s="115">
        <f t="shared" si="59"/>
        <v>1.06</v>
      </c>
      <c r="Z71" s="115">
        <f t="shared" si="59"/>
        <v>1.06</v>
      </c>
      <c r="AA71" s="115">
        <f t="shared" si="59"/>
        <v>1.06</v>
      </c>
    </row>
    <row r="72" spans="1:27" ht="12.75">
      <c r="A72" s="14" t="s">
        <v>127</v>
      </c>
      <c r="B72" s="59">
        <f>+Gastos!G72</f>
        <v>1146512907.24</v>
      </c>
      <c r="C72" s="59">
        <f>B72*P72</f>
        <v>1243966504.3554</v>
      </c>
      <c r="D72" s="232">
        <f>+'[3]PASIVA'!$M$175+'[3]PASIVA'!$O$175</f>
        <v>1509010247.01</v>
      </c>
      <c r="E72" s="59">
        <f aca="true" t="shared" si="60" ref="E72:N72">D72*R72</f>
        <v>1614640964.3007002</v>
      </c>
      <c r="F72" s="232">
        <f t="shared" si="60"/>
        <v>1727665831.8017492</v>
      </c>
      <c r="G72" s="59">
        <f t="shared" si="60"/>
        <v>1839964110.8688629</v>
      </c>
      <c r="H72" s="232">
        <f t="shared" si="60"/>
        <v>1950361957.5209947</v>
      </c>
      <c r="I72" s="59">
        <f t="shared" si="60"/>
        <v>2067383674.9722545</v>
      </c>
      <c r="J72" s="232">
        <f t="shared" si="60"/>
        <v>2191426695.47059</v>
      </c>
      <c r="K72" s="59">
        <f t="shared" si="60"/>
        <v>2322912297.198826</v>
      </c>
      <c r="L72" s="59">
        <f t="shared" si="60"/>
        <v>2462287035.0307555</v>
      </c>
      <c r="M72" s="59">
        <f t="shared" si="60"/>
        <v>2610024257.132601</v>
      </c>
      <c r="N72" s="59">
        <f t="shared" si="60"/>
        <v>2766625712.560557</v>
      </c>
      <c r="P72" s="37">
        <f t="shared" si="54"/>
        <v>1.085</v>
      </c>
      <c r="Q72" s="41">
        <f t="shared" si="55"/>
        <v>1.075</v>
      </c>
      <c r="R72" s="37">
        <f t="shared" si="56"/>
        <v>1.07</v>
      </c>
      <c r="S72" s="41">
        <f t="shared" si="57"/>
        <v>1.07</v>
      </c>
      <c r="T72" s="37">
        <f t="shared" si="58"/>
        <v>1.065</v>
      </c>
      <c r="U72" s="41">
        <f t="shared" si="59"/>
        <v>1.06</v>
      </c>
      <c r="V72" s="37">
        <f t="shared" si="59"/>
        <v>1.06</v>
      </c>
      <c r="W72" s="41">
        <f t="shared" si="59"/>
        <v>1.06</v>
      </c>
      <c r="X72" s="37">
        <f t="shared" si="59"/>
        <v>1.06</v>
      </c>
      <c r="Y72" s="115">
        <f t="shared" si="59"/>
        <v>1.06</v>
      </c>
      <c r="Z72" s="115">
        <f t="shared" si="59"/>
        <v>1.06</v>
      </c>
      <c r="AA72" s="115">
        <f t="shared" si="59"/>
        <v>1.06</v>
      </c>
    </row>
    <row r="73" spans="1:27" ht="12.75">
      <c r="A73" s="125" t="s">
        <v>128</v>
      </c>
      <c r="B73" s="182">
        <f>B74+B88+B95</f>
        <v>899202393.66</v>
      </c>
      <c r="C73" s="182">
        <f>C74+C88+C95</f>
        <v>975634597.1210998</v>
      </c>
      <c r="D73" s="210">
        <f aca="true" t="shared" si="61" ref="D73:L73">D74+D88+D95</f>
        <v>1157191700.36</v>
      </c>
      <c r="E73" s="182">
        <f t="shared" si="61"/>
        <v>1238195119.3851998</v>
      </c>
      <c r="F73" s="210">
        <f t="shared" si="61"/>
        <v>1324868777.7421644</v>
      </c>
      <c r="G73" s="182">
        <f t="shared" si="61"/>
        <v>1410985248.2954047</v>
      </c>
      <c r="H73" s="210">
        <f t="shared" si="61"/>
        <v>1495644363.1931293</v>
      </c>
      <c r="I73" s="182">
        <f t="shared" si="61"/>
        <v>1585383024.984717</v>
      </c>
      <c r="J73" s="210">
        <f t="shared" si="61"/>
        <v>1680506006.4838</v>
      </c>
      <c r="K73" s="182">
        <f t="shared" si="61"/>
        <v>1781336366.872828</v>
      </c>
      <c r="L73" s="182">
        <f t="shared" si="61"/>
        <v>1888216548.8851979</v>
      </c>
      <c r="M73" s="182">
        <f>M74+M88+M95</f>
        <v>2001509541.8183098</v>
      </c>
      <c r="N73" s="182">
        <f>N74+N88+N95</f>
        <v>2121600114.3274086</v>
      </c>
      <c r="P73" s="191"/>
      <c r="Q73" s="202"/>
      <c r="R73" s="191"/>
      <c r="S73" s="202"/>
      <c r="T73" s="191"/>
      <c r="U73" s="202"/>
      <c r="V73" s="191"/>
      <c r="W73" s="202"/>
      <c r="X73" s="191"/>
      <c r="Y73" s="264"/>
      <c r="Z73" s="264"/>
      <c r="AA73" s="264"/>
    </row>
    <row r="74" spans="1:27" ht="12.75">
      <c r="A74" s="126" t="s">
        <v>129</v>
      </c>
      <c r="B74" s="92">
        <f>SUM(B75:B87)</f>
        <v>899202393.66</v>
      </c>
      <c r="C74" s="92">
        <f>SUM(C75:C87)</f>
        <v>975634597.1210998</v>
      </c>
      <c r="D74" s="142">
        <f aca="true" t="shared" si="62" ref="D74:L74">SUM(D75:D87)</f>
        <v>1157191700.36</v>
      </c>
      <c r="E74" s="92">
        <f t="shared" si="62"/>
        <v>1238195119.3851998</v>
      </c>
      <c r="F74" s="142">
        <f t="shared" si="62"/>
        <v>1324868777.7421644</v>
      </c>
      <c r="G74" s="92">
        <f t="shared" si="62"/>
        <v>1410985248.2954047</v>
      </c>
      <c r="H74" s="142">
        <f t="shared" si="62"/>
        <v>1495644363.1931293</v>
      </c>
      <c r="I74" s="92">
        <f t="shared" si="62"/>
        <v>1585383024.984717</v>
      </c>
      <c r="J74" s="142">
        <f t="shared" si="62"/>
        <v>1680506006.4838</v>
      </c>
      <c r="K74" s="92">
        <f t="shared" si="62"/>
        <v>1781336366.872828</v>
      </c>
      <c r="L74" s="92">
        <f t="shared" si="62"/>
        <v>1888216548.8851979</v>
      </c>
      <c r="M74" s="92">
        <f>SUM(M75:M87)</f>
        <v>2001509541.8183098</v>
      </c>
      <c r="N74" s="92">
        <f>SUM(N75:N87)</f>
        <v>2121600114.3274086</v>
      </c>
      <c r="P74" s="191"/>
      <c r="Q74" s="202"/>
      <c r="R74" s="191"/>
      <c r="S74" s="202"/>
      <c r="T74" s="191"/>
      <c r="U74" s="202"/>
      <c r="V74" s="191"/>
      <c r="W74" s="202"/>
      <c r="X74" s="191"/>
      <c r="Y74" s="264"/>
      <c r="Z74" s="264"/>
      <c r="AA74" s="264"/>
    </row>
    <row r="75" spans="1:27" ht="12.75">
      <c r="A75" s="14" t="s">
        <v>130</v>
      </c>
      <c r="B75" s="59">
        <f>+Gastos!G75</f>
        <v>304591909.76</v>
      </c>
      <c r="C75" s="59">
        <f aca="true" t="shared" si="63" ref="C75:C87">B75*P75</f>
        <v>330482222.08959997</v>
      </c>
      <c r="D75" s="232">
        <f>+'[3]PASIVA'!$M$196+'[3]PASIVA'!$O$196-'[3]PASIVA'!$M$223-'[3]PASIVA'!$M$224-'[3]PASIVA'!$O$224-'[3]PASIVA'!$O$225+'[3]PASIVA'!$M$149+'[3]PASIVA'!$M$150+'[3]PASIVA'!$M$454</f>
        <v>487671705.9599999</v>
      </c>
      <c r="E75" s="59">
        <f aca="true" t="shared" si="64" ref="E75:E87">D75*R75</f>
        <v>521808725.37719995</v>
      </c>
      <c r="F75" s="232">
        <f aca="true" t="shared" si="65" ref="F75:F87">E75*S75</f>
        <v>558335336.153604</v>
      </c>
      <c r="G75" s="59">
        <f aca="true" t="shared" si="66" ref="G75:G87">F75*T75</f>
        <v>594627133.0035883</v>
      </c>
      <c r="H75" s="232">
        <f aca="true" t="shared" si="67" ref="H75:H87">G75*U75</f>
        <v>630304760.9838036</v>
      </c>
      <c r="I75" s="59">
        <f aca="true" t="shared" si="68" ref="I75:I87">H75*V75</f>
        <v>668123046.6428319</v>
      </c>
      <c r="J75" s="232">
        <f aca="true" t="shared" si="69" ref="J75:J87">I75*W75</f>
        <v>708210429.4414018</v>
      </c>
      <c r="K75" s="59">
        <f aca="true" t="shared" si="70" ref="K75:K87">J75*X75</f>
        <v>750703055.207886</v>
      </c>
      <c r="L75" s="59">
        <f aca="true" t="shared" si="71" ref="L75:L87">K75*Y75</f>
        <v>795745238.5203592</v>
      </c>
      <c r="M75" s="59">
        <f aca="true" t="shared" si="72" ref="M75:M87">L75*Z75</f>
        <v>843489952.8315808</v>
      </c>
      <c r="N75" s="59">
        <f aca="true" t="shared" si="73" ref="N75:N87">M75*AA75</f>
        <v>894099350.0014757</v>
      </c>
      <c r="P75" s="37">
        <f aca="true" t="shared" si="74" ref="P75:P87">1+(0.06+0.025)</f>
        <v>1.085</v>
      </c>
      <c r="Q75" s="41">
        <f aca="true" t="shared" si="75" ref="Q75:Q87">1+(0.05+0.025)</f>
        <v>1.075</v>
      </c>
      <c r="R75" s="37">
        <f aca="true" t="shared" si="76" ref="R75:R87">1+(0.045+0.025)</f>
        <v>1.07</v>
      </c>
      <c r="S75" s="41">
        <f aca="true" t="shared" si="77" ref="S75:S87">1+(0.04+0.03)</f>
        <v>1.07</v>
      </c>
      <c r="T75" s="37">
        <f aca="true" t="shared" si="78" ref="T75:T87">1+(0.035+0.03)</f>
        <v>1.065</v>
      </c>
      <c r="U75" s="41">
        <f aca="true" t="shared" si="79" ref="U75:AA87">1+(0.03+0.03)</f>
        <v>1.06</v>
      </c>
      <c r="V75" s="37">
        <f t="shared" si="79"/>
        <v>1.06</v>
      </c>
      <c r="W75" s="41">
        <f t="shared" si="79"/>
        <v>1.06</v>
      </c>
      <c r="X75" s="37">
        <f t="shared" si="79"/>
        <v>1.06</v>
      </c>
      <c r="Y75" s="115">
        <f t="shared" si="79"/>
        <v>1.06</v>
      </c>
      <c r="Z75" s="115">
        <f t="shared" si="79"/>
        <v>1.06</v>
      </c>
      <c r="AA75" s="115">
        <f t="shared" si="79"/>
        <v>1.06</v>
      </c>
    </row>
    <row r="76" spans="1:27" ht="12.75">
      <c r="A76" s="14" t="s">
        <v>131</v>
      </c>
      <c r="B76" s="59">
        <f>+Gastos!G76</f>
        <v>181899268</v>
      </c>
      <c r="C76" s="59">
        <f t="shared" si="63"/>
        <v>197360705.78</v>
      </c>
      <c r="D76" s="232">
        <f>+ANEXO!D75</f>
        <v>119794239</v>
      </c>
      <c r="E76" s="59">
        <f t="shared" si="64"/>
        <v>128179835.73</v>
      </c>
      <c r="F76" s="232">
        <f t="shared" si="65"/>
        <v>137152424.23110002</v>
      </c>
      <c r="G76" s="59">
        <f t="shared" si="66"/>
        <v>146067331.80612153</v>
      </c>
      <c r="H76" s="232">
        <f t="shared" si="67"/>
        <v>154831371.71448883</v>
      </c>
      <c r="I76" s="59">
        <f t="shared" si="68"/>
        <v>164121254.01735818</v>
      </c>
      <c r="J76" s="232">
        <f t="shared" si="69"/>
        <v>173968529.2583997</v>
      </c>
      <c r="K76" s="59">
        <f t="shared" si="70"/>
        <v>184406641.01390368</v>
      </c>
      <c r="L76" s="59">
        <f t="shared" si="71"/>
        <v>195471039.4747379</v>
      </c>
      <c r="M76" s="59">
        <f t="shared" si="72"/>
        <v>207199301.8432222</v>
      </c>
      <c r="N76" s="59">
        <f t="shared" si="73"/>
        <v>219631259.95381555</v>
      </c>
      <c r="P76" s="37">
        <f t="shared" si="74"/>
        <v>1.085</v>
      </c>
      <c r="Q76" s="41">
        <f t="shared" si="75"/>
        <v>1.075</v>
      </c>
      <c r="R76" s="37">
        <f t="shared" si="76"/>
        <v>1.07</v>
      </c>
      <c r="S76" s="41">
        <f t="shared" si="77"/>
        <v>1.07</v>
      </c>
      <c r="T76" s="37">
        <f t="shared" si="78"/>
        <v>1.065</v>
      </c>
      <c r="U76" s="41">
        <f t="shared" si="79"/>
        <v>1.06</v>
      </c>
      <c r="V76" s="37">
        <f t="shared" si="79"/>
        <v>1.06</v>
      </c>
      <c r="W76" s="41">
        <f t="shared" si="79"/>
        <v>1.06</v>
      </c>
      <c r="X76" s="37">
        <f t="shared" si="79"/>
        <v>1.06</v>
      </c>
      <c r="Y76" s="115">
        <f t="shared" si="79"/>
        <v>1.06</v>
      </c>
      <c r="Z76" s="115">
        <f t="shared" si="79"/>
        <v>1.06</v>
      </c>
      <c r="AA76" s="115">
        <f t="shared" si="79"/>
        <v>1.06</v>
      </c>
    </row>
    <row r="77" spans="1:27" ht="12.75">
      <c r="A77" s="14" t="s">
        <v>132</v>
      </c>
      <c r="B77" s="59">
        <f>+Gastos!G77</f>
        <v>38888126.9</v>
      </c>
      <c r="C77" s="59">
        <f t="shared" si="63"/>
        <v>42193617.6865</v>
      </c>
      <c r="D77" s="232">
        <f>+('[3]PASIVA'!$M$311+'[3]PASIVA'!$O$311)-('[3]PASIVA'!$M$318+'[3]PASIVA'!$M$319+'[3]PASIVA'!$O$318+'[3]PASIVA'!$O$319)</f>
        <v>125748581.32</v>
      </c>
      <c r="E77" s="59">
        <f t="shared" si="64"/>
        <v>134550982.0124</v>
      </c>
      <c r="F77" s="232">
        <f t="shared" si="65"/>
        <v>143969550.753268</v>
      </c>
      <c r="G77" s="59">
        <f t="shared" si="66"/>
        <v>153327571.55223042</v>
      </c>
      <c r="H77" s="232">
        <f t="shared" si="67"/>
        <v>162527225.84536424</v>
      </c>
      <c r="I77" s="59">
        <f t="shared" si="68"/>
        <v>172278859.3960861</v>
      </c>
      <c r="J77" s="232">
        <f t="shared" si="69"/>
        <v>182615590.95985126</v>
      </c>
      <c r="K77" s="59">
        <f t="shared" si="70"/>
        <v>193572526.41744235</v>
      </c>
      <c r="L77" s="59">
        <f t="shared" si="71"/>
        <v>205186878.0024889</v>
      </c>
      <c r="M77" s="59">
        <f t="shared" si="72"/>
        <v>217498090.68263826</v>
      </c>
      <c r="N77" s="59">
        <f t="shared" si="73"/>
        <v>230547976.12359658</v>
      </c>
      <c r="P77" s="37">
        <f t="shared" si="74"/>
        <v>1.085</v>
      </c>
      <c r="Q77" s="41">
        <f t="shared" si="75"/>
        <v>1.075</v>
      </c>
      <c r="R77" s="37">
        <f t="shared" si="76"/>
        <v>1.07</v>
      </c>
      <c r="S77" s="41">
        <f t="shared" si="77"/>
        <v>1.07</v>
      </c>
      <c r="T77" s="37">
        <f t="shared" si="78"/>
        <v>1.065</v>
      </c>
      <c r="U77" s="41">
        <f t="shared" si="79"/>
        <v>1.06</v>
      </c>
      <c r="V77" s="37">
        <f t="shared" si="79"/>
        <v>1.06</v>
      </c>
      <c r="W77" s="41">
        <f t="shared" si="79"/>
        <v>1.06</v>
      </c>
      <c r="X77" s="37">
        <f t="shared" si="79"/>
        <v>1.06</v>
      </c>
      <c r="Y77" s="115">
        <f t="shared" si="79"/>
        <v>1.06</v>
      </c>
      <c r="Z77" s="115">
        <f t="shared" si="79"/>
        <v>1.06</v>
      </c>
      <c r="AA77" s="115">
        <f t="shared" si="79"/>
        <v>1.06</v>
      </c>
    </row>
    <row r="78" spans="1:27" ht="12.75">
      <c r="A78" s="14" t="s">
        <v>133</v>
      </c>
      <c r="B78" s="59">
        <f>+Gastos!G78</f>
        <v>0</v>
      </c>
      <c r="C78" s="59">
        <f t="shared" si="63"/>
        <v>0</v>
      </c>
      <c r="D78" s="232">
        <f>C78*Q78</f>
        <v>0</v>
      </c>
      <c r="E78" s="59">
        <f t="shared" si="64"/>
        <v>0</v>
      </c>
      <c r="F78" s="232">
        <f t="shared" si="65"/>
        <v>0</v>
      </c>
      <c r="G78" s="59">
        <f t="shared" si="66"/>
        <v>0</v>
      </c>
      <c r="H78" s="232">
        <f t="shared" si="67"/>
        <v>0</v>
      </c>
      <c r="I78" s="59">
        <f t="shared" si="68"/>
        <v>0</v>
      </c>
      <c r="J78" s="232">
        <f t="shared" si="69"/>
        <v>0</v>
      </c>
      <c r="K78" s="59">
        <f t="shared" si="70"/>
        <v>0</v>
      </c>
      <c r="L78" s="59">
        <f t="shared" si="71"/>
        <v>0</v>
      </c>
      <c r="M78" s="59">
        <f t="shared" si="72"/>
        <v>0</v>
      </c>
      <c r="N78" s="59">
        <f t="shared" si="73"/>
        <v>0</v>
      </c>
      <c r="P78" s="37">
        <f t="shared" si="74"/>
        <v>1.085</v>
      </c>
      <c r="Q78" s="41">
        <f t="shared" si="75"/>
        <v>1.075</v>
      </c>
      <c r="R78" s="37">
        <f t="shared" si="76"/>
        <v>1.07</v>
      </c>
      <c r="S78" s="41">
        <f t="shared" si="77"/>
        <v>1.07</v>
      </c>
      <c r="T78" s="37">
        <f t="shared" si="78"/>
        <v>1.065</v>
      </c>
      <c r="U78" s="41">
        <f t="shared" si="79"/>
        <v>1.06</v>
      </c>
      <c r="V78" s="37">
        <f t="shared" si="79"/>
        <v>1.06</v>
      </c>
      <c r="W78" s="41">
        <f t="shared" si="79"/>
        <v>1.06</v>
      </c>
      <c r="X78" s="37">
        <f t="shared" si="79"/>
        <v>1.06</v>
      </c>
      <c r="Y78" s="115">
        <f t="shared" si="79"/>
        <v>1.06</v>
      </c>
      <c r="Z78" s="115">
        <f t="shared" si="79"/>
        <v>1.06</v>
      </c>
      <c r="AA78" s="115">
        <f t="shared" si="79"/>
        <v>1.06</v>
      </c>
    </row>
    <row r="79" spans="1:27" ht="12.75">
      <c r="A79" s="14" t="s">
        <v>134</v>
      </c>
      <c r="B79" s="59">
        <f>+Gastos!G79</f>
        <v>59795934</v>
      </c>
      <c r="C79" s="59">
        <f t="shared" si="63"/>
        <v>64878588.39</v>
      </c>
      <c r="D79" s="232">
        <f>+('[3]PASIVA'!$M$226+'[3]PASIVA'!$O$226)-('[3]PASIVA'!$M$241+'[3]PASIVA'!$O$241+'[3]PASIVA'!$O$242)</f>
        <v>63991697</v>
      </c>
      <c r="E79" s="59">
        <f t="shared" si="64"/>
        <v>68471115.79</v>
      </c>
      <c r="F79" s="232">
        <f t="shared" si="65"/>
        <v>73264093.89530002</v>
      </c>
      <c r="G79" s="59">
        <f t="shared" si="66"/>
        <v>78026259.9984945</v>
      </c>
      <c r="H79" s="232">
        <f t="shared" si="67"/>
        <v>82707835.59840418</v>
      </c>
      <c r="I79" s="59">
        <f t="shared" si="68"/>
        <v>87670305.73430844</v>
      </c>
      <c r="J79" s="232">
        <f t="shared" si="69"/>
        <v>92930524.07836695</v>
      </c>
      <c r="K79" s="59">
        <f t="shared" si="70"/>
        <v>98506355.52306898</v>
      </c>
      <c r="L79" s="59">
        <f t="shared" si="71"/>
        <v>104416736.85445312</v>
      </c>
      <c r="M79" s="59">
        <f t="shared" si="72"/>
        <v>110681741.0657203</v>
      </c>
      <c r="N79" s="59">
        <f t="shared" si="73"/>
        <v>117322645.52966353</v>
      </c>
      <c r="P79" s="37">
        <f t="shared" si="74"/>
        <v>1.085</v>
      </c>
      <c r="Q79" s="41">
        <f t="shared" si="75"/>
        <v>1.075</v>
      </c>
      <c r="R79" s="37">
        <f t="shared" si="76"/>
        <v>1.07</v>
      </c>
      <c r="S79" s="41">
        <f t="shared" si="77"/>
        <v>1.07</v>
      </c>
      <c r="T79" s="37">
        <f t="shared" si="78"/>
        <v>1.065</v>
      </c>
      <c r="U79" s="41">
        <f t="shared" si="79"/>
        <v>1.06</v>
      </c>
      <c r="V79" s="37">
        <f t="shared" si="79"/>
        <v>1.06</v>
      </c>
      <c r="W79" s="41">
        <f t="shared" si="79"/>
        <v>1.06</v>
      </c>
      <c r="X79" s="37">
        <f t="shared" si="79"/>
        <v>1.06</v>
      </c>
      <c r="Y79" s="115">
        <f t="shared" si="79"/>
        <v>1.06</v>
      </c>
      <c r="Z79" s="115">
        <f t="shared" si="79"/>
        <v>1.06</v>
      </c>
      <c r="AA79" s="115">
        <f t="shared" si="79"/>
        <v>1.06</v>
      </c>
    </row>
    <row r="80" spans="1:27" ht="12.75">
      <c r="A80" s="14" t="s">
        <v>135</v>
      </c>
      <c r="B80" s="59">
        <f>+Gastos!G80</f>
        <v>0</v>
      </c>
      <c r="C80" s="59">
        <f t="shared" si="63"/>
        <v>0</v>
      </c>
      <c r="D80" s="232">
        <f>C80*Q80</f>
        <v>0</v>
      </c>
      <c r="E80" s="59">
        <f t="shared" si="64"/>
        <v>0</v>
      </c>
      <c r="F80" s="232">
        <f t="shared" si="65"/>
        <v>0</v>
      </c>
      <c r="G80" s="59">
        <f t="shared" si="66"/>
        <v>0</v>
      </c>
      <c r="H80" s="232">
        <f t="shared" si="67"/>
        <v>0</v>
      </c>
      <c r="I80" s="59">
        <f t="shared" si="68"/>
        <v>0</v>
      </c>
      <c r="J80" s="232">
        <f t="shared" si="69"/>
        <v>0</v>
      </c>
      <c r="K80" s="59">
        <f t="shared" si="70"/>
        <v>0</v>
      </c>
      <c r="L80" s="59">
        <f t="shared" si="71"/>
        <v>0</v>
      </c>
      <c r="M80" s="59">
        <f t="shared" si="72"/>
        <v>0</v>
      </c>
      <c r="N80" s="59">
        <f t="shared" si="73"/>
        <v>0</v>
      </c>
      <c r="P80" s="37">
        <f t="shared" si="74"/>
        <v>1.085</v>
      </c>
      <c r="Q80" s="41">
        <f t="shared" si="75"/>
        <v>1.075</v>
      </c>
      <c r="R80" s="37">
        <f t="shared" si="76"/>
        <v>1.07</v>
      </c>
      <c r="S80" s="41">
        <f t="shared" si="77"/>
        <v>1.07</v>
      </c>
      <c r="T80" s="37">
        <f t="shared" si="78"/>
        <v>1.065</v>
      </c>
      <c r="U80" s="41">
        <f t="shared" si="79"/>
        <v>1.06</v>
      </c>
      <c r="V80" s="37">
        <f t="shared" si="79"/>
        <v>1.06</v>
      </c>
      <c r="W80" s="41">
        <f t="shared" si="79"/>
        <v>1.06</v>
      </c>
      <c r="X80" s="37">
        <f t="shared" si="79"/>
        <v>1.06</v>
      </c>
      <c r="Y80" s="115">
        <f t="shared" si="79"/>
        <v>1.06</v>
      </c>
      <c r="Z80" s="115">
        <f t="shared" si="79"/>
        <v>1.06</v>
      </c>
      <c r="AA80" s="115">
        <f t="shared" si="79"/>
        <v>1.06</v>
      </c>
    </row>
    <row r="81" spans="1:27" ht="12.75">
      <c r="A81" s="14" t="s">
        <v>136</v>
      </c>
      <c r="B81" s="59">
        <f>+Gastos!G81</f>
        <v>41513158</v>
      </c>
      <c r="C81" s="59">
        <f t="shared" si="63"/>
        <v>45041776.43</v>
      </c>
      <c r="D81" s="232">
        <f>+ANEXO!D73</f>
        <v>30960373</v>
      </c>
      <c r="E81" s="59">
        <f t="shared" si="64"/>
        <v>33127599.110000003</v>
      </c>
      <c r="F81" s="232">
        <f t="shared" si="65"/>
        <v>35446531.0477</v>
      </c>
      <c r="G81" s="59">
        <f t="shared" si="66"/>
        <v>37750555.5658005</v>
      </c>
      <c r="H81" s="232">
        <f t="shared" si="67"/>
        <v>40015588.899748534</v>
      </c>
      <c r="I81" s="59">
        <f t="shared" si="68"/>
        <v>42416524.233733445</v>
      </c>
      <c r="J81" s="232">
        <f t="shared" si="69"/>
        <v>44961515.687757455</v>
      </c>
      <c r="K81" s="59">
        <f t="shared" si="70"/>
        <v>47659206.629022904</v>
      </c>
      <c r="L81" s="59">
        <f t="shared" si="71"/>
        <v>50518759.02676428</v>
      </c>
      <c r="M81" s="59">
        <f t="shared" si="72"/>
        <v>53549884.56837014</v>
      </c>
      <c r="N81" s="59">
        <f t="shared" si="73"/>
        <v>56762877.64247235</v>
      </c>
      <c r="P81" s="37">
        <f t="shared" si="74"/>
        <v>1.085</v>
      </c>
      <c r="Q81" s="41">
        <f t="shared" si="75"/>
        <v>1.075</v>
      </c>
      <c r="R81" s="37">
        <f t="shared" si="76"/>
        <v>1.07</v>
      </c>
      <c r="S81" s="41">
        <f t="shared" si="77"/>
        <v>1.07</v>
      </c>
      <c r="T81" s="37">
        <f t="shared" si="78"/>
        <v>1.065</v>
      </c>
      <c r="U81" s="41">
        <f t="shared" si="79"/>
        <v>1.06</v>
      </c>
      <c r="V81" s="37">
        <f t="shared" si="79"/>
        <v>1.06</v>
      </c>
      <c r="W81" s="41">
        <f t="shared" si="79"/>
        <v>1.06</v>
      </c>
      <c r="X81" s="37">
        <f t="shared" si="79"/>
        <v>1.06</v>
      </c>
      <c r="Y81" s="115">
        <f t="shared" si="79"/>
        <v>1.06</v>
      </c>
      <c r="Z81" s="115">
        <f t="shared" si="79"/>
        <v>1.06</v>
      </c>
      <c r="AA81" s="115">
        <f t="shared" si="79"/>
        <v>1.06</v>
      </c>
    </row>
    <row r="82" spans="1:27" ht="12.75">
      <c r="A82" s="14" t="s">
        <v>137</v>
      </c>
      <c r="B82" s="59">
        <f>+Gastos!G82</f>
        <v>21053002</v>
      </c>
      <c r="C82" s="59">
        <f t="shared" si="63"/>
        <v>22842507.169999998</v>
      </c>
      <c r="D82" s="232">
        <f>+ANEXO!D79</f>
        <v>40896061</v>
      </c>
      <c r="E82" s="59">
        <f t="shared" si="64"/>
        <v>43758785.27</v>
      </c>
      <c r="F82" s="232">
        <f t="shared" si="65"/>
        <v>46821900.238900006</v>
      </c>
      <c r="G82" s="59">
        <f t="shared" si="66"/>
        <v>49865323.754428506</v>
      </c>
      <c r="H82" s="232">
        <f t="shared" si="67"/>
        <v>52857243.17969422</v>
      </c>
      <c r="I82" s="59">
        <f t="shared" si="68"/>
        <v>56028677.77047588</v>
      </c>
      <c r="J82" s="232">
        <f t="shared" si="69"/>
        <v>59390398.436704434</v>
      </c>
      <c r="K82" s="59">
        <f t="shared" si="70"/>
        <v>62953822.342906706</v>
      </c>
      <c r="L82" s="59">
        <f t="shared" si="71"/>
        <v>66731051.68348111</v>
      </c>
      <c r="M82" s="59">
        <f t="shared" si="72"/>
        <v>70734914.78448999</v>
      </c>
      <c r="N82" s="59">
        <f t="shared" si="73"/>
        <v>74979009.6715594</v>
      </c>
      <c r="P82" s="37">
        <f t="shared" si="74"/>
        <v>1.085</v>
      </c>
      <c r="Q82" s="41">
        <f t="shared" si="75"/>
        <v>1.075</v>
      </c>
      <c r="R82" s="37">
        <f t="shared" si="76"/>
        <v>1.07</v>
      </c>
      <c r="S82" s="41">
        <f t="shared" si="77"/>
        <v>1.07</v>
      </c>
      <c r="T82" s="37">
        <f t="shared" si="78"/>
        <v>1.065</v>
      </c>
      <c r="U82" s="41">
        <f t="shared" si="79"/>
        <v>1.06</v>
      </c>
      <c r="V82" s="37">
        <f t="shared" si="79"/>
        <v>1.06</v>
      </c>
      <c r="W82" s="41">
        <f t="shared" si="79"/>
        <v>1.06</v>
      </c>
      <c r="X82" s="37">
        <f t="shared" si="79"/>
        <v>1.06</v>
      </c>
      <c r="Y82" s="115">
        <f t="shared" si="79"/>
        <v>1.06</v>
      </c>
      <c r="Z82" s="115">
        <f t="shared" si="79"/>
        <v>1.06</v>
      </c>
      <c r="AA82" s="115">
        <f t="shared" si="79"/>
        <v>1.06</v>
      </c>
    </row>
    <row r="83" spans="1:27" ht="12.75">
      <c r="A83" s="14" t="s">
        <v>138</v>
      </c>
      <c r="B83" s="59">
        <f>+Gastos!G83</f>
        <v>77530826</v>
      </c>
      <c r="C83" s="59">
        <f t="shared" si="63"/>
        <v>84120946.21</v>
      </c>
      <c r="D83" s="232">
        <f>+'[3]PASIVA'!$M$265+'[3]PASIVA'!$O$265</f>
        <v>107912758</v>
      </c>
      <c r="E83" s="59">
        <f t="shared" si="64"/>
        <v>115466651.06</v>
      </c>
      <c r="F83" s="232">
        <f t="shared" si="65"/>
        <v>123549316.6342</v>
      </c>
      <c r="G83" s="59">
        <f t="shared" si="66"/>
        <v>131580022.215423</v>
      </c>
      <c r="H83" s="232">
        <f t="shared" si="67"/>
        <v>139474823.5483484</v>
      </c>
      <c r="I83" s="59">
        <f t="shared" si="68"/>
        <v>147843312.96124932</v>
      </c>
      <c r="J83" s="232">
        <f t="shared" si="69"/>
        <v>156713911.7389243</v>
      </c>
      <c r="K83" s="59">
        <f t="shared" si="70"/>
        <v>166116746.44325978</v>
      </c>
      <c r="L83" s="59">
        <f t="shared" si="71"/>
        <v>176083751.22985536</v>
      </c>
      <c r="M83" s="59">
        <f t="shared" si="72"/>
        <v>186648776.30364668</v>
      </c>
      <c r="N83" s="59">
        <f t="shared" si="73"/>
        <v>197847702.8818655</v>
      </c>
      <c r="P83" s="37">
        <f t="shared" si="74"/>
        <v>1.085</v>
      </c>
      <c r="Q83" s="41">
        <f t="shared" si="75"/>
        <v>1.075</v>
      </c>
      <c r="R83" s="37">
        <f t="shared" si="76"/>
        <v>1.07</v>
      </c>
      <c r="S83" s="41">
        <f t="shared" si="77"/>
        <v>1.07</v>
      </c>
      <c r="T83" s="37">
        <f t="shared" si="78"/>
        <v>1.065</v>
      </c>
      <c r="U83" s="41">
        <f t="shared" si="79"/>
        <v>1.06</v>
      </c>
      <c r="V83" s="37">
        <f t="shared" si="79"/>
        <v>1.06</v>
      </c>
      <c r="W83" s="41">
        <f t="shared" si="79"/>
        <v>1.06</v>
      </c>
      <c r="X83" s="37">
        <f t="shared" si="79"/>
        <v>1.06</v>
      </c>
      <c r="Y83" s="115">
        <f t="shared" si="79"/>
        <v>1.06</v>
      </c>
      <c r="Z83" s="115">
        <f t="shared" si="79"/>
        <v>1.06</v>
      </c>
      <c r="AA83" s="115">
        <f t="shared" si="79"/>
        <v>1.06</v>
      </c>
    </row>
    <row r="84" spans="1:27" ht="12.75">
      <c r="A84" s="14" t="s">
        <v>139</v>
      </c>
      <c r="B84" s="59">
        <f>+Gastos!G84</f>
        <v>0</v>
      </c>
      <c r="C84" s="59">
        <f t="shared" si="63"/>
        <v>0</v>
      </c>
      <c r="D84" s="232">
        <f>C84*Q84</f>
        <v>0</v>
      </c>
      <c r="E84" s="59">
        <f t="shared" si="64"/>
        <v>0</v>
      </c>
      <c r="F84" s="232">
        <f t="shared" si="65"/>
        <v>0</v>
      </c>
      <c r="G84" s="59">
        <f t="shared" si="66"/>
        <v>0</v>
      </c>
      <c r="H84" s="232">
        <f t="shared" si="67"/>
        <v>0</v>
      </c>
      <c r="I84" s="59">
        <f t="shared" si="68"/>
        <v>0</v>
      </c>
      <c r="J84" s="232">
        <f t="shared" si="69"/>
        <v>0</v>
      </c>
      <c r="K84" s="59">
        <f t="shared" si="70"/>
        <v>0</v>
      </c>
      <c r="L84" s="59">
        <f t="shared" si="71"/>
        <v>0</v>
      </c>
      <c r="M84" s="59">
        <f t="shared" si="72"/>
        <v>0</v>
      </c>
      <c r="N84" s="59">
        <f t="shared" si="73"/>
        <v>0</v>
      </c>
      <c r="P84" s="37">
        <f t="shared" si="74"/>
        <v>1.085</v>
      </c>
      <c r="Q84" s="41">
        <f t="shared" si="75"/>
        <v>1.075</v>
      </c>
      <c r="R84" s="37">
        <f t="shared" si="76"/>
        <v>1.07</v>
      </c>
      <c r="S84" s="41">
        <f t="shared" si="77"/>
        <v>1.07</v>
      </c>
      <c r="T84" s="37">
        <f t="shared" si="78"/>
        <v>1.065</v>
      </c>
      <c r="U84" s="41">
        <f t="shared" si="79"/>
        <v>1.06</v>
      </c>
      <c r="V84" s="37">
        <f t="shared" si="79"/>
        <v>1.06</v>
      </c>
      <c r="W84" s="41">
        <f t="shared" si="79"/>
        <v>1.06</v>
      </c>
      <c r="X84" s="37">
        <f t="shared" si="79"/>
        <v>1.06</v>
      </c>
      <c r="Y84" s="115">
        <f t="shared" si="79"/>
        <v>1.06</v>
      </c>
      <c r="Z84" s="115">
        <f t="shared" si="79"/>
        <v>1.06</v>
      </c>
      <c r="AA84" s="115">
        <f t="shared" si="79"/>
        <v>1.06</v>
      </c>
    </row>
    <row r="85" spans="1:27" ht="12.75">
      <c r="A85" s="14" t="s">
        <v>140</v>
      </c>
      <c r="B85" s="59">
        <f>+Gastos!G85</f>
        <v>21025901</v>
      </c>
      <c r="C85" s="59">
        <f t="shared" si="63"/>
        <v>22813102.585</v>
      </c>
      <c r="D85" s="232">
        <f>+ANEXO!D77</f>
        <v>13968722</v>
      </c>
      <c r="E85" s="59">
        <f t="shared" si="64"/>
        <v>14946532.540000001</v>
      </c>
      <c r="F85" s="232">
        <f t="shared" si="65"/>
        <v>15992789.817800002</v>
      </c>
      <c r="G85" s="59">
        <f t="shared" si="66"/>
        <v>17032321.155957002</v>
      </c>
      <c r="H85" s="232">
        <f t="shared" si="67"/>
        <v>18054260.425314423</v>
      </c>
      <c r="I85" s="59">
        <f t="shared" si="68"/>
        <v>19137516.05083329</v>
      </c>
      <c r="J85" s="232">
        <f t="shared" si="69"/>
        <v>20285767.013883285</v>
      </c>
      <c r="K85" s="59">
        <f t="shared" si="70"/>
        <v>21502913.034716282</v>
      </c>
      <c r="L85" s="59">
        <f t="shared" si="71"/>
        <v>22793087.81679926</v>
      </c>
      <c r="M85" s="59">
        <f t="shared" si="72"/>
        <v>24160673.08580722</v>
      </c>
      <c r="N85" s="59">
        <f t="shared" si="73"/>
        <v>25610313.470955655</v>
      </c>
      <c r="P85" s="37">
        <f t="shared" si="74"/>
        <v>1.085</v>
      </c>
      <c r="Q85" s="41">
        <f t="shared" si="75"/>
        <v>1.075</v>
      </c>
      <c r="R85" s="37">
        <f t="shared" si="76"/>
        <v>1.07</v>
      </c>
      <c r="S85" s="41">
        <f t="shared" si="77"/>
        <v>1.07</v>
      </c>
      <c r="T85" s="37">
        <f t="shared" si="78"/>
        <v>1.065</v>
      </c>
      <c r="U85" s="41">
        <f t="shared" si="79"/>
        <v>1.06</v>
      </c>
      <c r="V85" s="37">
        <f t="shared" si="79"/>
        <v>1.06</v>
      </c>
      <c r="W85" s="41">
        <f t="shared" si="79"/>
        <v>1.06</v>
      </c>
      <c r="X85" s="37">
        <f t="shared" si="79"/>
        <v>1.06</v>
      </c>
      <c r="Y85" s="115">
        <f t="shared" si="79"/>
        <v>1.06</v>
      </c>
      <c r="Z85" s="115">
        <f t="shared" si="79"/>
        <v>1.06</v>
      </c>
      <c r="AA85" s="115">
        <f t="shared" si="79"/>
        <v>1.06</v>
      </c>
    </row>
    <row r="86" spans="1:27" ht="12.75">
      <c r="A86" s="14" t="s">
        <v>141</v>
      </c>
      <c r="B86" s="59">
        <f>+Gastos!G86</f>
        <v>83050</v>
      </c>
      <c r="C86" s="59">
        <f t="shared" si="63"/>
        <v>90109.25</v>
      </c>
      <c r="D86" s="232">
        <v>0</v>
      </c>
      <c r="E86" s="59">
        <f t="shared" si="64"/>
        <v>0</v>
      </c>
      <c r="F86" s="232">
        <f t="shared" si="65"/>
        <v>0</v>
      </c>
      <c r="G86" s="59">
        <f t="shared" si="66"/>
        <v>0</v>
      </c>
      <c r="H86" s="232">
        <f t="shared" si="67"/>
        <v>0</v>
      </c>
      <c r="I86" s="59">
        <f t="shared" si="68"/>
        <v>0</v>
      </c>
      <c r="J86" s="232">
        <f t="shared" si="69"/>
        <v>0</v>
      </c>
      <c r="K86" s="59">
        <f t="shared" si="70"/>
        <v>0</v>
      </c>
      <c r="L86" s="59">
        <f t="shared" si="71"/>
        <v>0</v>
      </c>
      <c r="M86" s="59">
        <f t="shared" si="72"/>
        <v>0</v>
      </c>
      <c r="N86" s="59">
        <f t="shared" si="73"/>
        <v>0</v>
      </c>
      <c r="P86" s="37">
        <f t="shared" si="74"/>
        <v>1.085</v>
      </c>
      <c r="Q86" s="41">
        <f t="shared" si="75"/>
        <v>1.075</v>
      </c>
      <c r="R86" s="37">
        <f t="shared" si="76"/>
        <v>1.07</v>
      </c>
      <c r="S86" s="41">
        <f t="shared" si="77"/>
        <v>1.07</v>
      </c>
      <c r="T86" s="37">
        <f t="shared" si="78"/>
        <v>1.065</v>
      </c>
      <c r="U86" s="41">
        <f t="shared" si="79"/>
        <v>1.06</v>
      </c>
      <c r="V86" s="37">
        <f t="shared" si="79"/>
        <v>1.06</v>
      </c>
      <c r="W86" s="41">
        <f t="shared" si="79"/>
        <v>1.06</v>
      </c>
      <c r="X86" s="37">
        <f t="shared" si="79"/>
        <v>1.06</v>
      </c>
      <c r="Y86" s="115">
        <f t="shared" si="79"/>
        <v>1.06</v>
      </c>
      <c r="Z86" s="115">
        <f t="shared" si="79"/>
        <v>1.06</v>
      </c>
      <c r="AA86" s="115">
        <f t="shared" si="79"/>
        <v>1.06</v>
      </c>
    </row>
    <row r="87" spans="1:27" ht="12.75">
      <c r="A87" s="14" t="s">
        <v>142</v>
      </c>
      <c r="B87" s="59">
        <f>+Gastos!G87</f>
        <v>152821218</v>
      </c>
      <c r="C87" s="59">
        <f t="shared" si="63"/>
        <v>165811021.53</v>
      </c>
      <c r="D87" s="232">
        <f>+ANEXO!D81</f>
        <v>166247563.07999998</v>
      </c>
      <c r="E87" s="59">
        <f t="shared" si="64"/>
        <v>177884892.4956</v>
      </c>
      <c r="F87" s="232">
        <f t="shared" si="65"/>
        <v>190336834.970292</v>
      </c>
      <c r="G87" s="59">
        <f t="shared" si="66"/>
        <v>202708729.24336097</v>
      </c>
      <c r="H87" s="232">
        <f t="shared" si="67"/>
        <v>214871252.99796262</v>
      </c>
      <c r="I87" s="59">
        <f t="shared" si="68"/>
        <v>227763528.17784038</v>
      </c>
      <c r="J87" s="232">
        <f t="shared" si="69"/>
        <v>241429339.8685108</v>
      </c>
      <c r="K87" s="59">
        <f t="shared" si="70"/>
        <v>255915100.2606215</v>
      </c>
      <c r="L87" s="59">
        <f t="shared" si="71"/>
        <v>271270006.27625877</v>
      </c>
      <c r="M87" s="59">
        <f t="shared" si="72"/>
        <v>287546206.6528343</v>
      </c>
      <c r="N87" s="59">
        <f t="shared" si="73"/>
        <v>304798979.0520044</v>
      </c>
      <c r="P87" s="37">
        <f t="shared" si="74"/>
        <v>1.085</v>
      </c>
      <c r="Q87" s="41">
        <f t="shared" si="75"/>
        <v>1.075</v>
      </c>
      <c r="R87" s="37">
        <f t="shared" si="76"/>
        <v>1.07</v>
      </c>
      <c r="S87" s="41">
        <f t="shared" si="77"/>
        <v>1.07</v>
      </c>
      <c r="T87" s="37">
        <f t="shared" si="78"/>
        <v>1.065</v>
      </c>
      <c r="U87" s="41">
        <f t="shared" si="79"/>
        <v>1.06</v>
      </c>
      <c r="V87" s="37">
        <f t="shared" si="79"/>
        <v>1.06</v>
      </c>
      <c r="W87" s="41">
        <f t="shared" si="79"/>
        <v>1.06</v>
      </c>
      <c r="X87" s="37">
        <f t="shared" si="79"/>
        <v>1.06</v>
      </c>
      <c r="Y87" s="115">
        <f t="shared" si="79"/>
        <v>1.06</v>
      </c>
      <c r="Z87" s="115">
        <f t="shared" si="79"/>
        <v>1.06</v>
      </c>
      <c r="AA87" s="115">
        <f t="shared" si="79"/>
        <v>1.06</v>
      </c>
    </row>
    <row r="88" spans="1:27" ht="12.75">
      <c r="A88" s="126" t="s">
        <v>143</v>
      </c>
      <c r="B88" s="92">
        <f>SUM(B89:B94)</f>
        <v>0</v>
      </c>
      <c r="C88" s="92">
        <f>SUM(C89:C94)</f>
        <v>0</v>
      </c>
      <c r="D88" s="142">
        <f aca="true" t="shared" si="80" ref="D88:L88">SUM(D89:D94)</f>
        <v>0</v>
      </c>
      <c r="E88" s="92">
        <f t="shared" si="80"/>
        <v>0</v>
      </c>
      <c r="F88" s="142">
        <f t="shared" si="80"/>
        <v>0</v>
      </c>
      <c r="G88" s="92">
        <f t="shared" si="80"/>
        <v>0</v>
      </c>
      <c r="H88" s="142">
        <f t="shared" si="80"/>
        <v>0</v>
      </c>
      <c r="I88" s="92">
        <f t="shared" si="80"/>
        <v>0</v>
      </c>
      <c r="J88" s="142">
        <f t="shared" si="80"/>
        <v>0</v>
      </c>
      <c r="K88" s="92">
        <f t="shared" si="80"/>
        <v>0</v>
      </c>
      <c r="L88" s="92">
        <f t="shared" si="80"/>
        <v>0</v>
      </c>
      <c r="M88" s="92">
        <f>SUM(M89:M94)</f>
        <v>0</v>
      </c>
      <c r="N88" s="92">
        <f>SUM(N89:N94)</f>
        <v>0</v>
      </c>
      <c r="P88" s="191"/>
      <c r="Q88" s="202"/>
      <c r="R88" s="191"/>
      <c r="S88" s="202"/>
      <c r="T88" s="191"/>
      <c r="U88" s="202"/>
      <c r="V88" s="191"/>
      <c r="W88" s="202"/>
      <c r="X88" s="191"/>
      <c r="Y88" s="264"/>
      <c r="Z88" s="264"/>
      <c r="AA88" s="264"/>
    </row>
    <row r="89" spans="1:27" ht="12.75">
      <c r="A89" s="14" t="s">
        <v>130</v>
      </c>
      <c r="B89" s="59">
        <f>+Gastos!G89</f>
        <v>0</v>
      </c>
      <c r="C89" s="59">
        <f aca="true" t="shared" si="81" ref="C89:N94">B89*P89</f>
        <v>0</v>
      </c>
      <c r="D89" s="232">
        <f t="shared" si="81"/>
        <v>0</v>
      </c>
      <c r="E89" s="59">
        <f t="shared" si="81"/>
        <v>0</v>
      </c>
      <c r="F89" s="232">
        <f t="shared" si="81"/>
        <v>0</v>
      </c>
      <c r="G89" s="59">
        <f t="shared" si="81"/>
        <v>0</v>
      </c>
      <c r="H89" s="232">
        <f t="shared" si="81"/>
        <v>0</v>
      </c>
      <c r="I89" s="59">
        <f t="shared" si="81"/>
        <v>0</v>
      </c>
      <c r="J89" s="232">
        <f t="shared" si="81"/>
        <v>0</v>
      </c>
      <c r="K89" s="59">
        <f t="shared" si="81"/>
        <v>0</v>
      </c>
      <c r="L89" s="59">
        <f t="shared" si="81"/>
        <v>0</v>
      </c>
      <c r="M89" s="59">
        <f t="shared" si="81"/>
        <v>0</v>
      </c>
      <c r="N89" s="59">
        <f t="shared" si="81"/>
        <v>0</v>
      </c>
      <c r="P89" s="37">
        <f aca="true" t="shared" si="82" ref="P89:P94">1+(0.06+0.025)</f>
        <v>1.085</v>
      </c>
      <c r="Q89" s="41">
        <f aca="true" t="shared" si="83" ref="Q89:Q94">1+(0.05+0.025)</f>
        <v>1.075</v>
      </c>
      <c r="R89" s="37">
        <f aca="true" t="shared" si="84" ref="R89:R94">1+(0.045+0.025)</f>
        <v>1.07</v>
      </c>
      <c r="S89" s="41">
        <f aca="true" t="shared" si="85" ref="S89:S94">1+(0.04+0.03)</f>
        <v>1.07</v>
      </c>
      <c r="T89" s="37">
        <f aca="true" t="shared" si="86" ref="T89:T94">1+(0.035+0.03)</f>
        <v>1.065</v>
      </c>
      <c r="U89" s="41">
        <f aca="true" t="shared" si="87" ref="U89:AA94">1+(0.03+0.03)</f>
        <v>1.06</v>
      </c>
      <c r="V89" s="37">
        <f t="shared" si="87"/>
        <v>1.06</v>
      </c>
      <c r="W89" s="41">
        <f t="shared" si="87"/>
        <v>1.06</v>
      </c>
      <c r="X89" s="37">
        <f t="shared" si="87"/>
        <v>1.06</v>
      </c>
      <c r="Y89" s="115">
        <f t="shared" si="87"/>
        <v>1.06</v>
      </c>
      <c r="Z89" s="115">
        <f t="shared" si="87"/>
        <v>1.06</v>
      </c>
      <c r="AA89" s="115">
        <f t="shared" si="87"/>
        <v>1.06</v>
      </c>
    </row>
    <row r="90" spans="1:27" ht="12.75">
      <c r="A90" s="14" t="s">
        <v>132</v>
      </c>
      <c r="B90" s="59">
        <f>+Gastos!G90</f>
        <v>0</v>
      </c>
      <c r="C90" s="59">
        <f t="shared" si="81"/>
        <v>0</v>
      </c>
      <c r="D90" s="232">
        <f t="shared" si="81"/>
        <v>0</v>
      </c>
      <c r="E90" s="59">
        <f t="shared" si="81"/>
        <v>0</v>
      </c>
      <c r="F90" s="232">
        <f t="shared" si="81"/>
        <v>0</v>
      </c>
      <c r="G90" s="59">
        <f t="shared" si="81"/>
        <v>0</v>
      </c>
      <c r="H90" s="232">
        <f t="shared" si="81"/>
        <v>0</v>
      </c>
      <c r="I90" s="59">
        <f t="shared" si="81"/>
        <v>0</v>
      </c>
      <c r="J90" s="232">
        <f t="shared" si="81"/>
        <v>0</v>
      </c>
      <c r="K90" s="59">
        <f t="shared" si="81"/>
        <v>0</v>
      </c>
      <c r="L90" s="59">
        <f t="shared" si="81"/>
        <v>0</v>
      </c>
      <c r="M90" s="59">
        <f t="shared" si="81"/>
        <v>0</v>
      </c>
      <c r="N90" s="59">
        <f t="shared" si="81"/>
        <v>0</v>
      </c>
      <c r="P90" s="37">
        <f t="shared" si="82"/>
        <v>1.085</v>
      </c>
      <c r="Q90" s="41">
        <f t="shared" si="83"/>
        <v>1.075</v>
      </c>
      <c r="R90" s="37">
        <f t="shared" si="84"/>
        <v>1.07</v>
      </c>
      <c r="S90" s="41">
        <f t="shared" si="85"/>
        <v>1.07</v>
      </c>
      <c r="T90" s="37">
        <f t="shared" si="86"/>
        <v>1.065</v>
      </c>
      <c r="U90" s="41">
        <f t="shared" si="87"/>
        <v>1.06</v>
      </c>
      <c r="V90" s="37">
        <f t="shared" si="87"/>
        <v>1.06</v>
      </c>
      <c r="W90" s="41">
        <f t="shared" si="87"/>
        <v>1.06</v>
      </c>
      <c r="X90" s="37">
        <f t="shared" si="87"/>
        <v>1.06</v>
      </c>
      <c r="Y90" s="115">
        <f t="shared" si="87"/>
        <v>1.06</v>
      </c>
      <c r="Z90" s="115">
        <f t="shared" si="87"/>
        <v>1.06</v>
      </c>
      <c r="AA90" s="115">
        <f t="shared" si="87"/>
        <v>1.06</v>
      </c>
    </row>
    <row r="91" spans="1:27" ht="12.75">
      <c r="A91" s="14" t="s">
        <v>133</v>
      </c>
      <c r="B91" s="59">
        <f>+Gastos!G91</f>
        <v>0</v>
      </c>
      <c r="C91" s="59">
        <f t="shared" si="81"/>
        <v>0</v>
      </c>
      <c r="D91" s="232">
        <f t="shared" si="81"/>
        <v>0</v>
      </c>
      <c r="E91" s="59">
        <f t="shared" si="81"/>
        <v>0</v>
      </c>
      <c r="F91" s="232">
        <f t="shared" si="81"/>
        <v>0</v>
      </c>
      <c r="G91" s="59">
        <f t="shared" si="81"/>
        <v>0</v>
      </c>
      <c r="H91" s="232">
        <f t="shared" si="81"/>
        <v>0</v>
      </c>
      <c r="I91" s="59">
        <f t="shared" si="81"/>
        <v>0</v>
      </c>
      <c r="J91" s="232">
        <f t="shared" si="81"/>
        <v>0</v>
      </c>
      <c r="K91" s="59">
        <f t="shared" si="81"/>
        <v>0</v>
      </c>
      <c r="L91" s="59">
        <f t="shared" si="81"/>
        <v>0</v>
      </c>
      <c r="M91" s="59">
        <f t="shared" si="81"/>
        <v>0</v>
      </c>
      <c r="N91" s="59">
        <f t="shared" si="81"/>
        <v>0</v>
      </c>
      <c r="P91" s="37">
        <f t="shared" si="82"/>
        <v>1.085</v>
      </c>
      <c r="Q91" s="41">
        <f t="shared" si="83"/>
        <v>1.075</v>
      </c>
      <c r="R91" s="37">
        <f t="shared" si="84"/>
        <v>1.07</v>
      </c>
      <c r="S91" s="41">
        <f t="shared" si="85"/>
        <v>1.07</v>
      </c>
      <c r="T91" s="37">
        <f t="shared" si="86"/>
        <v>1.065</v>
      </c>
      <c r="U91" s="41">
        <f t="shared" si="87"/>
        <v>1.06</v>
      </c>
      <c r="V91" s="37">
        <f t="shared" si="87"/>
        <v>1.06</v>
      </c>
      <c r="W91" s="41">
        <f t="shared" si="87"/>
        <v>1.06</v>
      </c>
      <c r="X91" s="37">
        <f t="shared" si="87"/>
        <v>1.06</v>
      </c>
      <c r="Y91" s="115">
        <f t="shared" si="87"/>
        <v>1.06</v>
      </c>
      <c r="Z91" s="115">
        <f t="shared" si="87"/>
        <v>1.06</v>
      </c>
      <c r="AA91" s="115">
        <f t="shared" si="87"/>
        <v>1.06</v>
      </c>
    </row>
    <row r="92" spans="1:27" ht="12.75">
      <c r="A92" s="14" t="s">
        <v>135</v>
      </c>
      <c r="B92" s="59">
        <f>+Gastos!G92</f>
        <v>0</v>
      </c>
      <c r="C92" s="59">
        <f t="shared" si="81"/>
        <v>0</v>
      </c>
      <c r="D92" s="232">
        <f t="shared" si="81"/>
        <v>0</v>
      </c>
      <c r="E92" s="59">
        <f t="shared" si="81"/>
        <v>0</v>
      </c>
      <c r="F92" s="232">
        <f t="shared" si="81"/>
        <v>0</v>
      </c>
      <c r="G92" s="59">
        <f t="shared" si="81"/>
        <v>0</v>
      </c>
      <c r="H92" s="232">
        <f t="shared" si="81"/>
        <v>0</v>
      </c>
      <c r="I92" s="59">
        <f t="shared" si="81"/>
        <v>0</v>
      </c>
      <c r="J92" s="232">
        <f t="shared" si="81"/>
        <v>0</v>
      </c>
      <c r="K92" s="59">
        <f t="shared" si="81"/>
        <v>0</v>
      </c>
      <c r="L92" s="59">
        <f t="shared" si="81"/>
        <v>0</v>
      </c>
      <c r="M92" s="59">
        <f t="shared" si="81"/>
        <v>0</v>
      </c>
      <c r="N92" s="59">
        <f t="shared" si="81"/>
        <v>0</v>
      </c>
      <c r="P92" s="37">
        <f t="shared" si="82"/>
        <v>1.085</v>
      </c>
      <c r="Q92" s="41">
        <f t="shared" si="83"/>
        <v>1.075</v>
      </c>
      <c r="R92" s="37">
        <f t="shared" si="84"/>
        <v>1.07</v>
      </c>
      <c r="S92" s="41">
        <f t="shared" si="85"/>
        <v>1.07</v>
      </c>
      <c r="T92" s="37">
        <f t="shared" si="86"/>
        <v>1.065</v>
      </c>
      <c r="U92" s="41">
        <f t="shared" si="87"/>
        <v>1.06</v>
      </c>
      <c r="V92" s="37">
        <f t="shared" si="87"/>
        <v>1.06</v>
      </c>
      <c r="W92" s="41">
        <f t="shared" si="87"/>
        <v>1.06</v>
      </c>
      <c r="X92" s="37">
        <f t="shared" si="87"/>
        <v>1.06</v>
      </c>
      <c r="Y92" s="115">
        <f t="shared" si="87"/>
        <v>1.06</v>
      </c>
      <c r="Z92" s="115">
        <f t="shared" si="87"/>
        <v>1.06</v>
      </c>
      <c r="AA92" s="115">
        <f t="shared" si="87"/>
        <v>1.06</v>
      </c>
    </row>
    <row r="93" spans="1:27" ht="12.75">
      <c r="A93" s="14" t="s">
        <v>144</v>
      </c>
      <c r="B93" s="59">
        <f>+Gastos!G93</f>
        <v>0</v>
      </c>
      <c r="C93" s="59">
        <f t="shared" si="81"/>
        <v>0</v>
      </c>
      <c r="D93" s="232">
        <f t="shared" si="81"/>
        <v>0</v>
      </c>
      <c r="E93" s="59">
        <f t="shared" si="81"/>
        <v>0</v>
      </c>
      <c r="F93" s="232">
        <f t="shared" si="81"/>
        <v>0</v>
      </c>
      <c r="G93" s="59">
        <f t="shared" si="81"/>
        <v>0</v>
      </c>
      <c r="H93" s="232">
        <f t="shared" si="81"/>
        <v>0</v>
      </c>
      <c r="I93" s="59">
        <f t="shared" si="81"/>
        <v>0</v>
      </c>
      <c r="J93" s="232">
        <f t="shared" si="81"/>
        <v>0</v>
      </c>
      <c r="K93" s="59">
        <f t="shared" si="81"/>
        <v>0</v>
      </c>
      <c r="L93" s="59">
        <f t="shared" si="81"/>
        <v>0</v>
      </c>
      <c r="M93" s="59">
        <f t="shared" si="81"/>
        <v>0</v>
      </c>
      <c r="N93" s="59">
        <f t="shared" si="81"/>
        <v>0</v>
      </c>
      <c r="P93" s="37">
        <f t="shared" si="82"/>
        <v>1.085</v>
      </c>
      <c r="Q93" s="41">
        <f t="shared" si="83"/>
        <v>1.075</v>
      </c>
      <c r="R93" s="37">
        <f t="shared" si="84"/>
        <v>1.07</v>
      </c>
      <c r="S93" s="41">
        <f t="shared" si="85"/>
        <v>1.07</v>
      </c>
      <c r="T93" s="37">
        <f t="shared" si="86"/>
        <v>1.065</v>
      </c>
      <c r="U93" s="41">
        <f t="shared" si="87"/>
        <v>1.06</v>
      </c>
      <c r="V93" s="37">
        <f t="shared" si="87"/>
        <v>1.06</v>
      </c>
      <c r="W93" s="41">
        <f t="shared" si="87"/>
        <v>1.06</v>
      </c>
      <c r="X93" s="37">
        <f t="shared" si="87"/>
        <v>1.06</v>
      </c>
      <c r="Y93" s="115">
        <f t="shared" si="87"/>
        <v>1.06</v>
      </c>
      <c r="Z93" s="115">
        <f t="shared" si="87"/>
        <v>1.06</v>
      </c>
      <c r="AA93" s="115">
        <f t="shared" si="87"/>
        <v>1.06</v>
      </c>
    </row>
    <row r="94" spans="1:27" ht="12.75">
      <c r="A94" s="14" t="s">
        <v>138</v>
      </c>
      <c r="B94" s="59">
        <f>+Gastos!G94</f>
        <v>0</v>
      </c>
      <c r="C94" s="59">
        <f t="shared" si="81"/>
        <v>0</v>
      </c>
      <c r="D94" s="232">
        <f t="shared" si="81"/>
        <v>0</v>
      </c>
      <c r="E94" s="59">
        <f t="shared" si="81"/>
        <v>0</v>
      </c>
      <c r="F94" s="232">
        <f t="shared" si="81"/>
        <v>0</v>
      </c>
      <c r="G94" s="59">
        <f t="shared" si="81"/>
        <v>0</v>
      </c>
      <c r="H94" s="232">
        <f t="shared" si="81"/>
        <v>0</v>
      </c>
      <c r="I94" s="59">
        <f t="shared" si="81"/>
        <v>0</v>
      </c>
      <c r="J94" s="232">
        <f t="shared" si="81"/>
        <v>0</v>
      </c>
      <c r="K94" s="59">
        <f t="shared" si="81"/>
        <v>0</v>
      </c>
      <c r="L94" s="59">
        <f t="shared" si="81"/>
        <v>0</v>
      </c>
      <c r="M94" s="59">
        <f t="shared" si="81"/>
        <v>0</v>
      </c>
      <c r="N94" s="59">
        <f t="shared" si="81"/>
        <v>0</v>
      </c>
      <c r="P94" s="37">
        <f t="shared" si="82"/>
        <v>1.085</v>
      </c>
      <c r="Q94" s="41">
        <f t="shared" si="83"/>
        <v>1.075</v>
      </c>
      <c r="R94" s="37">
        <f t="shared" si="84"/>
        <v>1.07</v>
      </c>
      <c r="S94" s="41">
        <f t="shared" si="85"/>
        <v>1.07</v>
      </c>
      <c r="T94" s="37">
        <f t="shared" si="86"/>
        <v>1.065</v>
      </c>
      <c r="U94" s="41">
        <f t="shared" si="87"/>
        <v>1.06</v>
      </c>
      <c r="V94" s="37">
        <f t="shared" si="87"/>
        <v>1.06</v>
      </c>
      <c r="W94" s="41">
        <f t="shared" si="87"/>
        <v>1.06</v>
      </c>
      <c r="X94" s="37">
        <f t="shared" si="87"/>
        <v>1.06</v>
      </c>
      <c r="Y94" s="115">
        <f t="shared" si="87"/>
        <v>1.06</v>
      </c>
      <c r="Z94" s="115">
        <f t="shared" si="87"/>
        <v>1.06</v>
      </c>
      <c r="AA94" s="115">
        <f t="shared" si="87"/>
        <v>1.06</v>
      </c>
    </row>
    <row r="95" spans="1:27" ht="12.75">
      <c r="A95" s="126" t="s">
        <v>145</v>
      </c>
      <c r="B95" s="92">
        <f>SUM(B96:B109)</f>
        <v>0</v>
      </c>
      <c r="C95" s="92">
        <f>SUM(C96:C109)</f>
        <v>0</v>
      </c>
      <c r="D95" s="142">
        <f aca="true" t="shared" si="88" ref="D95:L95">SUM(D96:D109)</f>
        <v>0</v>
      </c>
      <c r="E95" s="92">
        <f t="shared" si="88"/>
        <v>0</v>
      </c>
      <c r="F95" s="142">
        <f t="shared" si="88"/>
        <v>0</v>
      </c>
      <c r="G95" s="92">
        <f t="shared" si="88"/>
        <v>0</v>
      </c>
      <c r="H95" s="142">
        <f t="shared" si="88"/>
        <v>0</v>
      </c>
      <c r="I95" s="92">
        <f t="shared" si="88"/>
        <v>0</v>
      </c>
      <c r="J95" s="142">
        <f t="shared" si="88"/>
        <v>0</v>
      </c>
      <c r="K95" s="92">
        <f t="shared" si="88"/>
        <v>0</v>
      </c>
      <c r="L95" s="92">
        <f t="shared" si="88"/>
        <v>0</v>
      </c>
      <c r="M95" s="92">
        <f>SUM(M96:M109)</f>
        <v>0</v>
      </c>
      <c r="N95" s="92">
        <f>SUM(N96:N109)</f>
        <v>0</v>
      </c>
      <c r="P95" s="191"/>
      <c r="Q95" s="202"/>
      <c r="R95" s="191"/>
      <c r="S95" s="202"/>
      <c r="T95" s="191"/>
      <c r="U95" s="202"/>
      <c r="V95" s="191"/>
      <c r="W95" s="202"/>
      <c r="X95" s="191"/>
      <c r="Y95" s="264"/>
      <c r="Z95" s="264"/>
      <c r="AA95" s="264"/>
    </row>
    <row r="96" spans="1:27" ht="12.75">
      <c r="A96" s="14" t="s">
        <v>130</v>
      </c>
      <c r="B96" s="59">
        <f>+Gastos!G96</f>
        <v>0</v>
      </c>
      <c r="C96" s="59">
        <f aca="true" t="shared" si="89" ref="C96:C109">B96*P96</f>
        <v>0</v>
      </c>
      <c r="D96" s="232">
        <f aca="true" t="shared" si="90" ref="D96:D109">C96*Q96</f>
        <v>0</v>
      </c>
      <c r="E96" s="59">
        <f aca="true" t="shared" si="91" ref="E96:E109">D96*R96</f>
        <v>0</v>
      </c>
      <c r="F96" s="232">
        <f aca="true" t="shared" si="92" ref="F96:F109">E96*S96</f>
        <v>0</v>
      </c>
      <c r="G96" s="59">
        <f aca="true" t="shared" si="93" ref="G96:G109">F96*T96</f>
        <v>0</v>
      </c>
      <c r="H96" s="232">
        <f aca="true" t="shared" si="94" ref="H96:H109">G96*U96</f>
        <v>0</v>
      </c>
      <c r="I96" s="59">
        <f aca="true" t="shared" si="95" ref="I96:I109">H96*V96</f>
        <v>0</v>
      </c>
      <c r="J96" s="232">
        <f aca="true" t="shared" si="96" ref="J96:J109">I96*W96</f>
        <v>0</v>
      </c>
      <c r="K96" s="59">
        <f aca="true" t="shared" si="97" ref="K96:K109">J96*X96</f>
        <v>0</v>
      </c>
      <c r="L96" s="59">
        <f aca="true" t="shared" si="98" ref="L96:L109">K96*Y96</f>
        <v>0</v>
      </c>
      <c r="M96" s="59">
        <f aca="true" t="shared" si="99" ref="M96:M109">L96*Z96</f>
        <v>0</v>
      </c>
      <c r="N96" s="59">
        <f aca="true" t="shared" si="100" ref="N96:N109">M96*AA96</f>
        <v>0</v>
      </c>
      <c r="P96" s="37">
        <f aca="true" t="shared" si="101" ref="P96:P109">1+(0.06+0.025)</f>
        <v>1.085</v>
      </c>
      <c r="Q96" s="41">
        <f aca="true" t="shared" si="102" ref="Q96:Q109">1+(0.05+0.025)</f>
        <v>1.075</v>
      </c>
      <c r="R96" s="37">
        <f aca="true" t="shared" si="103" ref="R96:R109">1+(0.045+0.025)</f>
        <v>1.07</v>
      </c>
      <c r="S96" s="41">
        <f aca="true" t="shared" si="104" ref="S96:S109">1+(0.04+0.03)</f>
        <v>1.07</v>
      </c>
      <c r="T96" s="37">
        <f aca="true" t="shared" si="105" ref="T96:T109">1+(0.035+0.03)</f>
        <v>1.065</v>
      </c>
      <c r="U96" s="41">
        <f aca="true" t="shared" si="106" ref="U96:AA109">1+(0.03+0.03)</f>
        <v>1.06</v>
      </c>
      <c r="V96" s="37">
        <f t="shared" si="106"/>
        <v>1.06</v>
      </c>
      <c r="W96" s="41">
        <f t="shared" si="106"/>
        <v>1.06</v>
      </c>
      <c r="X96" s="37">
        <f t="shared" si="106"/>
        <v>1.06</v>
      </c>
      <c r="Y96" s="115">
        <f t="shared" si="106"/>
        <v>1.06</v>
      </c>
      <c r="Z96" s="115">
        <f t="shared" si="106"/>
        <v>1.06</v>
      </c>
      <c r="AA96" s="115">
        <f t="shared" si="106"/>
        <v>1.06</v>
      </c>
    </row>
    <row r="97" spans="1:27" ht="12.75">
      <c r="A97" s="14" t="s">
        <v>131</v>
      </c>
      <c r="B97" s="59">
        <f>+Gastos!G97</f>
        <v>0</v>
      </c>
      <c r="C97" s="59">
        <f t="shared" si="89"/>
        <v>0</v>
      </c>
      <c r="D97" s="232">
        <f t="shared" si="90"/>
        <v>0</v>
      </c>
      <c r="E97" s="59">
        <f t="shared" si="91"/>
        <v>0</v>
      </c>
      <c r="F97" s="232">
        <f t="shared" si="92"/>
        <v>0</v>
      </c>
      <c r="G97" s="59">
        <f t="shared" si="93"/>
        <v>0</v>
      </c>
      <c r="H97" s="232">
        <f t="shared" si="94"/>
        <v>0</v>
      </c>
      <c r="I97" s="59">
        <f t="shared" si="95"/>
        <v>0</v>
      </c>
      <c r="J97" s="232">
        <f t="shared" si="96"/>
        <v>0</v>
      </c>
      <c r="K97" s="59">
        <f t="shared" si="97"/>
        <v>0</v>
      </c>
      <c r="L97" s="59">
        <f t="shared" si="98"/>
        <v>0</v>
      </c>
      <c r="M97" s="59">
        <f t="shared" si="99"/>
        <v>0</v>
      </c>
      <c r="N97" s="59">
        <f t="shared" si="100"/>
        <v>0</v>
      </c>
      <c r="P97" s="37">
        <f t="shared" si="101"/>
        <v>1.085</v>
      </c>
      <c r="Q97" s="41">
        <f t="shared" si="102"/>
        <v>1.075</v>
      </c>
      <c r="R97" s="37">
        <f t="shared" si="103"/>
        <v>1.07</v>
      </c>
      <c r="S97" s="41">
        <f t="shared" si="104"/>
        <v>1.07</v>
      </c>
      <c r="T97" s="37">
        <f t="shared" si="105"/>
        <v>1.065</v>
      </c>
      <c r="U97" s="41">
        <f t="shared" si="106"/>
        <v>1.06</v>
      </c>
      <c r="V97" s="37">
        <f t="shared" si="106"/>
        <v>1.06</v>
      </c>
      <c r="W97" s="41">
        <f t="shared" si="106"/>
        <v>1.06</v>
      </c>
      <c r="X97" s="37">
        <f t="shared" si="106"/>
        <v>1.06</v>
      </c>
      <c r="Y97" s="115">
        <f t="shared" si="106"/>
        <v>1.06</v>
      </c>
      <c r="Z97" s="115">
        <f t="shared" si="106"/>
        <v>1.06</v>
      </c>
      <c r="AA97" s="115">
        <f t="shared" si="106"/>
        <v>1.06</v>
      </c>
    </row>
    <row r="98" spans="1:27" ht="12.75">
      <c r="A98" s="14" t="s">
        <v>132</v>
      </c>
      <c r="B98" s="59">
        <f>+Gastos!G98</f>
        <v>0</v>
      </c>
      <c r="C98" s="59">
        <f t="shared" si="89"/>
        <v>0</v>
      </c>
      <c r="D98" s="232">
        <f t="shared" si="90"/>
        <v>0</v>
      </c>
      <c r="E98" s="59">
        <f t="shared" si="91"/>
        <v>0</v>
      </c>
      <c r="F98" s="232">
        <f t="shared" si="92"/>
        <v>0</v>
      </c>
      <c r="G98" s="59">
        <f t="shared" si="93"/>
        <v>0</v>
      </c>
      <c r="H98" s="232">
        <f t="shared" si="94"/>
        <v>0</v>
      </c>
      <c r="I98" s="59">
        <f t="shared" si="95"/>
        <v>0</v>
      </c>
      <c r="J98" s="232">
        <f t="shared" si="96"/>
        <v>0</v>
      </c>
      <c r="K98" s="59">
        <f t="shared" si="97"/>
        <v>0</v>
      </c>
      <c r="L98" s="59">
        <f t="shared" si="98"/>
        <v>0</v>
      </c>
      <c r="M98" s="59">
        <f t="shared" si="99"/>
        <v>0</v>
      </c>
      <c r="N98" s="59">
        <f t="shared" si="100"/>
        <v>0</v>
      </c>
      <c r="P98" s="37">
        <f t="shared" si="101"/>
        <v>1.085</v>
      </c>
      <c r="Q98" s="41">
        <f t="shared" si="102"/>
        <v>1.075</v>
      </c>
      <c r="R98" s="37">
        <f t="shared" si="103"/>
        <v>1.07</v>
      </c>
      <c r="S98" s="41">
        <f t="shared" si="104"/>
        <v>1.07</v>
      </c>
      <c r="T98" s="37">
        <f t="shared" si="105"/>
        <v>1.065</v>
      </c>
      <c r="U98" s="41">
        <f t="shared" si="106"/>
        <v>1.06</v>
      </c>
      <c r="V98" s="37">
        <f t="shared" si="106"/>
        <v>1.06</v>
      </c>
      <c r="W98" s="41">
        <f t="shared" si="106"/>
        <v>1.06</v>
      </c>
      <c r="X98" s="37">
        <f t="shared" si="106"/>
        <v>1.06</v>
      </c>
      <c r="Y98" s="115">
        <f t="shared" si="106"/>
        <v>1.06</v>
      </c>
      <c r="Z98" s="115">
        <f t="shared" si="106"/>
        <v>1.06</v>
      </c>
      <c r="AA98" s="115">
        <f t="shared" si="106"/>
        <v>1.06</v>
      </c>
    </row>
    <row r="99" spans="1:27" ht="12.75">
      <c r="A99" s="14" t="s">
        <v>133</v>
      </c>
      <c r="B99" s="59">
        <f>+Gastos!G99</f>
        <v>0</v>
      </c>
      <c r="C99" s="59">
        <f t="shared" si="89"/>
        <v>0</v>
      </c>
      <c r="D99" s="232">
        <f t="shared" si="90"/>
        <v>0</v>
      </c>
      <c r="E99" s="59">
        <f t="shared" si="91"/>
        <v>0</v>
      </c>
      <c r="F99" s="232">
        <f t="shared" si="92"/>
        <v>0</v>
      </c>
      <c r="G99" s="59">
        <f t="shared" si="93"/>
        <v>0</v>
      </c>
      <c r="H99" s="232">
        <f t="shared" si="94"/>
        <v>0</v>
      </c>
      <c r="I99" s="59">
        <f t="shared" si="95"/>
        <v>0</v>
      </c>
      <c r="J99" s="232">
        <f t="shared" si="96"/>
        <v>0</v>
      </c>
      <c r="K99" s="59">
        <f t="shared" si="97"/>
        <v>0</v>
      </c>
      <c r="L99" s="59">
        <f t="shared" si="98"/>
        <v>0</v>
      </c>
      <c r="M99" s="59">
        <f t="shared" si="99"/>
        <v>0</v>
      </c>
      <c r="N99" s="59">
        <f t="shared" si="100"/>
        <v>0</v>
      </c>
      <c r="P99" s="37">
        <f t="shared" si="101"/>
        <v>1.085</v>
      </c>
      <c r="Q99" s="41">
        <f t="shared" si="102"/>
        <v>1.075</v>
      </c>
      <c r="R99" s="37">
        <f t="shared" si="103"/>
        <v>1.07</v>
      </c>
      <c r="S99" s="41">
        <f t="shared" si="104"/>
        <v>1.07</v>
      </c>
      <c r="T99" s="37">
        <f t="shared" si="105"/>
        <v>1.065</v>
      </c>
      <c r="U99" s="41">
        <f t="shared" si="106"/>
        <v>1.06</v>
      </c>
      <c r="V99" s="37">
        <f t="shared" si="106"/>
        <v>1.06</v>
      </c>
      <c r="W99" s="41">
        <f t="shared" si="106"/>
        <v>1.06</v>
      </c>
      <c r="X99" s="37">
        <f t="shared" si="106"/>
        <v>1.06</v>
      </c>
      <c r="Y99" s="115">
        <f t="shared" si="106"/>
        <v>1.06</v>
      </c>
      <c r="Z99" s="115">
        <f t="shared" si="106"/>
        <v>1.06</v>
      </c>
      <c r="AA99" s="115">
        <f t="shared" si="106"/>
        <v>1.06</v>
      </c>
    </row>
    <row r="100" spans="1:27" ht="12.75">
      <c r="A100" s="14" t="s">
        <v>134</v>
      </c>
      <c r="B100" s="59">
        <f>+Gastos!G100</f>
        <v>0</v>
      </c>
      <c r="C100" s="59">
        <f t="shared" si="89"/>
        <v>0</v>
      </c>
      <c r="D100" s="232">
        <f t="shared" si="90"/>
        <v>0</v>
      </c>
      <c r="E100" s="59">
        <f t="shared" si="91"/>
        <v>0</v>
      </c>
      <c r="F100" s="232">
        <f t="shared" si="92"/>
        <v>0</v>
      </c>
      <c r="G100" s="59">
        <f t="shared" si="93"/>
        <v>0</v>
      </c>
      <c r="H100" s="232">
        <f t="shared" si="94"/>
        <v>0</v>
      </c>
      <c r="I100" s="59">
        <f t="shared" si="95"/>
        <v>0</v>
      </c>
      <c r="J100" s="232">
        <f t="shared" si="96"/>
        <v>0</v>
      </c>
      <c r="K100" s="59">
        <f t="shared" si="97"/>
        <v>0</v>
      </c>
      <c r="L100" s="59">
        <f t="shared" si="98"/>
        <v>0</v>
      </c>
      <c r="M100" s="59">
        <f t="shared" si="99"/>
        <v>0</v>
      </c>
      <c r="N100" s="59">
        <f t="shared" si="100"/>
        <v>0</v>
      </c>
      <c r="P100" s="37">
        <f t="shared" si="101"/>
        <v>1.085</v>
      </c>
      <c r="Q100" s="41">
        <f t="shared" si="102"/>
        <v>1.075</v>
      </c>
      <c r="R100" s="37">
        <f t="shared" si="103"/>
        <v>1.07</v>
      </c>
      <c r="S100" s="41">
        <f t="shared" si="104"/>
        <v>1.07</v>
      </c>
      <c r="T100" s="37">
        <f t="shared" si="105"/>
        <v>1.065</v>
      </c>
      <c r="U100" s="41">
        <f t="shared" si="106"/>
        <v>1.06</v>
      </c>
      <c r="V100" s="37">
        <f t="shared" si="106"/>
        <v>1.06</v>
      </c>
      <c r="W100" s="41">
        <f t="shared" si="106"/>
        <v>1.06</v>
      </c>
      <c r="X100" s="37">
        <f t="shared" si="106"/>
        <v>1.06</v>
      </c>
      <c r="Y100" s="115">
        <f t="shared" si="106"/>
        <v>1.06</v>
      </c>
      <c r="Z100" s="115">
        <f t="shared" si="106"/>
        <v>1.06</v>
      </c>
      <c r="AA100" s="115">
        <f t="shared" si="106"/>
        <v>1.06</v>
      </c>
    </row>
    <row r="101" spans="1:27" ht="12.75">
      <c r="A101" s="14" t="s">
        <v>135</v>
      </c>
      <c r="B101" s="59">
        <f>+Gastos!G101</f>
        <v>0</v>
      </c>
      <c r="C101" s="59">
        <f t="shared" si="89"/>
        <v>0</v>
      </c>
      <c r="D101" s="232">
        <f t="shared" si="90"/>
        <v>0</v>
      </c>
      <c r="E101" s="59">
        <f t="shared" si="91"/>
        <v>0</v>
      </c>
      <c r="F101" s="232">
        <f t="shared" si="92"/>
        <v>0</v>
      </c>
      <c r="G101" s="59">
        <f t="shared" si="93"/>
        <v>0</v>
      </c>
      <c r="H101" s="232">
        <f t="shared" si="94"/>
        <v>0</v>
      </c>
      <c r="I101" s="59">
        <f t="shared" si="95"/>
        <v>0</v>
      </c>
      <c r="J101" s="232">
        <f t="shared" si="96"/>
        <v>0</v>
      </c>
      <c r="K101" s="59">
        <f t="shared" si="97"/>
        <v>0</v>
      </c>
      <c r="L101" s="59">
        <f t="shared" si="98"/>
        <v>0</v>
      </c>
      <c r="M101" s="59">
        <f t="shared" si="99"/>
        <v>0</v>
      </c>
      <c r="N101" s="59">
        <f t="shared" si="100"/>
        <v>0</v>
      </c>
      <c r="P101" s="37">
        <f t="shared" si="101"/>
        <v>1.085</v>
      </c>
      <c r="Q101" s="41">
        <f t="shared" si="102"/>
        <v>1.075</v>
      </c>
      <c r="R101" s="37">
        <f t="shared" si="103"/>
        <v>1.07</v>
      </c>
      <c r="S101" s="41">
        <f t="shared" si="104"/>
        <v>1.07</v>
      </c>
      <c r="T101" s="37">
        <f t="shared" si="105"/>
        <v>1.065</v>
      </c>
      <c r="U101" s="41">
        <f t="shared" si="106"/>
        <v>1.06</v>
      </c>
      <c r="V101" s="37">
        <f t="shared" si="106"/>
        <v>1.06</v>
      </c>
      <c r="W101" s="41">
        <f t="shared" si="106"/>
        <v>1.06</v>
      </c>
      <c r="X101" s="37">
        <f t="shared" si="106"/>
        <v>1.06</v>
      </c>
      <c r="Y101" s="115">
        <f t="shared" si="106"/>
        <v>1.06</v>
      </c>
      <c r="Z101" s="115">
        <f t="shared" si="106"/>
        <v>1.06</v>
      </c>
      <c r="AA101" s="115">
        <f t="shared" si="106"/>
        <v>1.06</v>
      </c>
    </row>
    <row r="102" spans="1:27" ht="12.75">
      <c r="A102" s="14" t="s">
        <v>136</v>
      </c>
      <c r="B102" s="59">
        <f>+Gastos!G102</f>
        <v>0</v>
      </c>
      <c r="C102" s="59">
        <f t="shared" si="89"/>
        <v>0</v>
      </c>
      <c r="D102" s="232">
        <f t="shared" si="90"/>
        <v>0</v>
      </c>
      <c r="E102" s="59">
        <f t="shared" si="91"/>
        <v>0</v>
      </c>
      <c r="F102" s="232">
        <f t="shared" si="92"/>
        <v>0</v>
      </c>
      <c r="G102" s="59">
        <f t="shared" si="93"/>
        <v>0</v>
      </c>
      <c r="H102" s="232">
        <f t="shared" si="94"/>
        <v>0</v>
      </c>
      <c r="I102" s="59">
        <f t="shared" si="95"/>
        <v>0</v>
      </c>
      <c r="J102" s="232">
        <f t="shared" si="96"/>
        <v>0</v>
      </c>
      <c r="K102" s="59">
        <f t="shared" si="97"/>
        <v>0</v>
      </c>
      <c r="L102" s="59">
        <f t="shared" si="98"/>
        <v>0</v>
      </c>
      <c r="M102" s="59">
        <f t="shared" si="99"/>
        <v>0</v>
      </c>
      <c r="N102" s="59">
        <f t="shared" si="100"/>
        <v>0</v>
      </c>
      <c r="P102" s="37">
        <f t="shared" si="101"/>
        <v>1.085</v>
      </c>
      <c r="Q102" s="41">
        <f t="shared" si="102"/>
        <v>1.075</v>
      </c>
      <c r="R102" s="37">
        <f t="shared" si="103"/>
        <v>1.07</v>
      </c>
      <c r="S102" s="41">
        <f t="shared" si="104"/>
        <v>1.07</v>
      </c>
      <c r="T102" s="37">
        <f t="shared" si="105"/>
        <v>1.065</v>
      </c>
      <c r="U102" s="41">
        <f t="shared" si="106"/>
        <v>1.06</v>
      </c>
      <c r="V102" s="37">
        <f t="shared" si="106"/>
        <v>1.06</v>
      </c>
      <c r="W102" s="41">
        <f t="shared" si="106"/>
        <v>1.06</v>
      </c>
      <c r="X102" s="37">
        <f t="shared" si="106"/>
        <v>1.06</v>
      </c>
      <c r="Y102" s="115">
        <f t="shared" si="106"/>
        <v>1.06</v>
      </c>
      <c r="Z102" s="115">
        <f t="shared" si="106"/>
        <v>1.06</v>
      </c>
      <c r="AA102" s="115">
        <f t="shared" si="106"/>
        <v>1.06</v>
      </c>
    </row>
    <row r="103" spans="1:27" ht="12.75">
      <c r="A103" s="14" t="s">
        <v>137</v>
      </c>
      <c r="B103" s="59">
        <f>+Gastos!G103</f>
        <v>0</v>
      </c>
      <c r="C103" s="59">
        <f t="shared" si="89"/>
        <v>0</v>
      </c>
      <c r="D103" s="232">
        <f t="shared" si="90"/>
        <v>0</v>
      </c>
      <c r="E103" s="59">
        <f t="shared" si="91"/>
        <v>0</v>
      </c>
      <c r="F103" s="232">
        <f t="shared" si="92"/>
        <v>0</v>
      </c>
      <c r="G103" s="59">
        <f t="shared" si="93"/>
        <v>0</v>
      </c>
      <c r="H103" s="232">
        <f t="shared" si="94"/>
        <v>0</v>
      </c>
      <c r="I103" s="59">
        <f t="shared" si="95"/>
        <v>0</v>
      </c>
      <c r="J103" s="232">
        <f t="shared" si="96"/>
        <v>0</v>
      </c>
      <c r="K103" s="59">
        <f t="shared" si="97"/>
        <v>0</v>
      </c>
      <c r="L103" s="59">
        <f t="shared" si="98"/>
        <v>0</v>
      </c>
      <c r="M103" s="59">
        <f t="shared" si="99"/>
        <v>0</v>
      </c>
      <c r="N103" s="59">
        <f t="shared" si="100"/>
        <v>0</v>
      </c>
      <c r="P103" s="37">
        <f t="shared" si="101"/>
        <v>1.085</v>
      </c>
      <c r="Q103" s="41">
        <f t="shared" si="102"/>
        <v>1.075</v>
      </c>
      <c r="R103" s="37">
        <f t="shared" si="103"/>
        <v>1.07</v>
      </c>
      <c r="S103" s="41">
        <f t="shared" si="104"/>
        <v>1.07</v>
      </c>
      <c r="T103" s="37">
        <f t="shared" si="105"/>
        <v>1.065</v>
      </c>
      <c r="U103" s="41">
        <f t="shared" si="106"/>
        <v>1.06</v>
      </c>
      <c r="V103" s="37">
        <f t="shared" si="106"/>
        <v>1.06</v>
      </c>
      <c r="W103" s="41">
        <f t="shared" si="106"/>
        <v>1.06</v>
      </c>
      <c r="X103" s="37">
        <f t="shared" si="106"/>
        <v>1.06</v>
      </c>
      <c r="Y103" s="115">
        <f t="shared" si="106"/>
        <v>1.06</v>
      </c>
      <c r="Z103" s="115">
        <f t="shared" si="106"/>
        <v>1.06</v>
      </c>
      <c r="AA103" s="115">
        <f t="shared" si="106"/>
        <v>1.06</v>
      </c>
    </row>
    <row r="104" spans="1:27" ht="12.75">
      <c r="A104" s="14" t="s">
        <v>138</v>
      </c>
      <c r="B104" s="59">
        <f>+Gastos!G104</f>
        <v>0</v>
      </c>
      <c r="C104" s="59">
        <f t="shared" si="89"/>
        <v>0</v>
      </c>
      <c r="D104" s="232">
        <f t="shared" si="90"/>
        <v>0</v>
      </c>
      <c r="E104" s="59">
        <f t="shared" si="91"/>
        <v>0</v>
      </c>
      <c r="F104" s="232">
        <f t="shared" si="92"/>
        <v>0</v>
      </c>
      <c r="G104" s="59">
        <f t="shared" si="93"/>
        <v>0</v>
      </c>
      <c r="H104" s="232">
        <f t="shared" si="94"/>
        <v>0</v>
      </c>
      <c r="I104" s="59">
        <f t="shared" si="95"/>
        <v>0</v>
      </c>
      <c r="J104" s="232">
        <f t="shared" si="96"/>
        <v>0</v>
      </c>
      <c r="K104" s="59">
        <f t="shared" si="97"/>
        <v>0</v>
      </c>
      <c r="L104" s="59">
        <f t="shared" si="98"/>
        <v>0</v>
      </c>
      <c r="M104" s="59">
        <f t="shared" si="99"/>
        <v>0</v>
      </c>
      <c r="N104" s="59">
        <f t="shared" si="100"/>
        <v>0</v>
      </c>
      <c r="P104" s="37">
        <f t="shared" si="101"/>
        <v>1.085</v>
      </c>
      <c r="Q104" s="41">
        <f t="shared" si="102"/>
        <v>1.075</v>
      </c>
      <c r="R104" s="37">
        <f t="shared" si="103"/>
        <v>1.07</v>
      </c>
      <c r="S104" s="41">
        <f t="shared" si="104"/>
        <v>1.07</v>
      </c>
      <c r="T104" s="37">
        <f t="shared" si="105"/>
        <v>1.065</v>
      </c>
      <c r="U104" s="41">
        <f t="shared" si="106"/>
        <v>1.06</v>
      </c>
      <c r="V104" s="37">
        <f t="shared" si="106"/>
        <v>1.06</v>
      </c>
      <c r="W104" s="41">
        <f t="shared" si="106"/>
        <v>1.06</v>
      </c>
      <c r="X104" s="37">
        <f t="shared" si="106"/>
        <v>1.06</v>
      </c>
      <c r="Y104" s="115">
        <f t="shared" si="106"/>
        <v>1.06</v>
      </c>
      <c r="Z104" s="115">
        <f t="shared" si="106"/>
        <v>1.06</v>
      </c>
      <c r="AA104" s="115">
        <f t="shared" si="106"/>
        <v>1.06</v>
      </c>
    </row>
    <row r="105" spans="1:27" ht="12.75">
      <c r="A105" s="14" t="s">
        <v>139</v>
      </c>
      <c r="B105" s="59">
        <f>+Gastos!G105</f>
        <v>0</v>
      </c>
      <c r="C105" s="59">
        <f t="shared" si="89"/>
        <v>0</v>
      </c>
      <c r="D105" s="232">
        <f t="shared" si="90"/>
        <v>0</v>
      </c>
      <c r="E105" s="59">
        <f t="shared" si="91"/>
        <v>0</v>
      </c>
      <c r="F105" s="232">
        <f t="shared" si="92"/>
        <v>0</v>
      </c>
      <c r="G105" s="59">
        <f t="shared" si="93"/>
        <v>0</v>
      </c>
      <c r="H105" s="232">
        <f t="shared" si="94"/>
        <v>0</v>
      </c>
      <c r="I105" s="59">
        <f t="shared" si="95"/>
        <v>0</v>
      </c>
      <c r="J105" s="232">
        <f t="shared" si="96"/>
        <v>0</v>
      </c>
      <c r="K105" s="59">
        <f t="shared" si="97"/>
        <v>0</v>
      </c>
      <c r="L105" s="59">
        <f t="shared" si="98"/>
        <v>0</v>
      </c>
      <c r="M105" s="59">
        <f t="shared" si="99"/>
        <v>0</v>
      </c>
      <c r="N105" s="59">
        <f t="shared" si="100"/>
        <v>0</v>
      </c>
      <c r="P105" s="37">
        <f t="shared" si="101"/>
        <v>1.085</v>
      </c>
      <c r="Q105" s="41">
        <f t="shared" si="102"/>
        <v>1.075</v>
      </c>
      <c r="R105" s="37">
        <f t="shared" si="103"/>
        <v>1.07</v>
      </c>
      <c r="S105" s="41">
        <f t="shared" si="104"/>
        <v>1.07</v>
      </c>
      <c r="T105" s="37">
        <f t="shared" si="105"/>
        <v>1.065</v>
      </c>
      <c r="U105" s="41">
        <f t="shared" si="106"/>
        <v>1.06</v>
      </c>
      <c r="V105" s="37">
        <f t="shared" si="106"/>
        <v>1.06</v>
      </c>
      <c r="W105" s="41">
        <f t="shared" si="106"/>
        <v>1.06</v>
      </c>
      <c r="X105" s="37">
        <f t="shared" si="106"/>
        <v>1.06</v>
      </c>
      <c r="Y105" s="115">
        <f t="shared" si="106"/>
        <v>1.06</v>
      </c>
      <c r="Z105" s="115">
        <f t="shared" si="106"/>
        <v>1.06</v>
      </c>
      <c r="AA105" s="115">
        <f t="shared" si="106"/>
        <v>1.06</v>
      </c>
    </row>
    <row r="106" spans="1:27" ht="12.75">
      <c r="A106" s="14" t="s">
        <v>140</v>
      </c>
      <c r="B106" s="59">
        <f>+Gastos!G106</f>
        <v>0</v>
      </c>
      <c r="C106" s="59">
        <f t="shared" si="89"/>
        <v>0</v>
      </c>
      <c r="D106" s="232">
        <f t="shared" si="90"/>
        <v>0</v>
      </c>
      <c r="E106" s="59">
        <f t="shared" si="91"/>
        <v>0</v>
      </c>
      <c r="F106" s="232">
        <f t="shared" si="92"/>
        <v>0</v>
      </c>
      <c r="G106" s="59">
        <f t="shared" si="93"/>
        <v>0</v>
      </c>
      <c r="H106" s="232">
        <f t="shared" si="94"/>
        <v>0</v>
      </c>
      <c r="I106" s="59">
        <f t="shared" si="95"/>
        <v>0</v>
      </c>
      <c r="J106" s="232">
        <f t="shared" si="96"/>
        <v>0</v>
      </c>
      <c r="K106" s="59">
        <f t="shared" si="97"/>
        <v>0</v>
      </c>
      <c r="L106" s="59">
        <f t="shared" si="98"/>
        <v>0</v>
      </c>
      <c r="M106" s="59">
        <f t="shared" si="99"/>
        <v>0</v>
      </c>
      <c r="N106" s="59">
        <f t="shared" si="100"/>
        <v>0</v>
      </c>
      <c r="P106" s="37">
        <f t="shared" si="101"/>
        <v>1.085</v>
      </c>
      <c r="Q106" s="41">
        <f t="shared" si="102"/>
        <v>1.075</v>
      </c>
      <c r="R106" s="37">
        <f t="shared" si="103"/>
        <v>1.07</v>
      </c>
      <c r="S106" s="41">
        <f t="shared" si="104"/>
        <v>1.07</v>
      </c>
      <c r="T106" s="37">
        <f t="shared" si="105"/>
        <v>1.065</v>
      </c>
      <c r="U106" s="41">
        <f t="shared" si="106"/>
        <v>1.06</v>
      </c>
      <c r="V106" s="37">
        <f t="shared" si="106"/>
        <v>1.06</v>
      </c>
      <c r="W106" s="41">
        <f t="shared" si="106"/>
        <v>1.06</v>
      </c>
      <c r="X106" s="37">
        <f t="shared" si="106"/>
        <v>1.06</v>
      </c>
      <c r="Y106" s="115">
        <f t="shared" si="106"/>
        <v>1.06</v>
      </c>
      <c r="Z106" s="115">
        <f t="shared" si="106"/>
        <v>1.06</v>
      </c>
      <c r="AA106" s="115">
        <f t="shared" si="106"/>
        <v>1.06</v>
      </c>
    </row>
    <row r="107" spans="1:27" ht="12.75">
      <c r="A107" s="14" t="s">
        <v>141</v>
      </c>
      <c r="B107" s="59">
        <f>+Gastos!G107</f>
        <v>0</v>
      </c>
      <c r="C107" s="59">
        <f t="shared" si="89"/>
        <v>0</v>
      </c>
      <c r="D107" s="232">
        <f t="shared" si="90"/>
        <v>0</v>
      </c>
      <c r="E107" s="59">
        <f t="shared" si="91"/>
        <v>0</v>
      </c>
      <c r="F107" s="232">
        <f t="shared" si="92"/>
        <v>0</v>
      </c>
      <c r="G107" s="59">
        <f t="shared" si="93"/>
        <v>0</v>
      </c>
      <c r="H107" s="232">
        <f t="shared" si="94"/>
        <v>0</v>
      </c>
      <c r="I107" s="59">
        <f t="shared" si="95"/>
        <v>0</v>
      </c>
      <c r="J107" s="232">
        <f t="shared" si="96"/>
        <v>0</v>
      </c>
      <c r="K107" s="59">
        <f t="shared" si="97"/>
        <v>0</v>
      </c>
      <c r="L107" s="59">
        <f t="shared" si="98"/>
        <v>0</v>
      </c>
      <c r="M107" s="59">
        <f t="shared" si="99"/>
        <v>0</v>
      </c>
      <c r="N107" s="59">
        <f t="shared" si="100"/>
        <v>0</v>
      </c>
      <c r="P107" s="37">
        <f t="shared" si="101"/>
        <v>1.085</v>
      </c>
      <c r="Q107" s="41">
        <f t="shared" si="102"/>
        <v>1.075</v>
      </c>
      <c r="R107" s="37">
        <f t="shared" si="103"/>
        <v>1.07</v>
      </c>
      <c r="S107" s="41">
        <f t="shared" si="104"/>
        <v>1.07</v>
      </c>
      <c r="T107" s="37">
        <f t="shared" si="105"/>
        <v>1.065</v>
      </c>
      <c r="U107" s="41">
        <f t="shared" si="106"/>
        <v>1.06</v>
      </c>
      <c r="V107" s="37">
        <f t="shared" si="106"/>
        <v>1.06</v>
      </c>
      <c r="W107" s="41">
        <f t="shared" si="106"/>
        <v>1.06</v>
      </c>
      <c r="X107" s="37">
        <f t="shared" si="106"/>
        <v>1.06</v>
      </c>
      <c r="Y107" s="115">
        <f t="shared" si="106"/>
        <v>1.06</v>
      </c>
      <c r="Z107" s="115">
        <f t="shared" si="106"/>
        <v>1.06</v>
      </c>
      <c r="AA107" s="115">
        <f t="shared" si="106"/>
        <v>1.06</v>
      </c>
    </row>
    <row r="108" spans="1:27" ht="12.75">
      <c r="A108" s="14" t="s">
        <v>146</v>
      </c>
      <c r="B108" s="59">
        <f>+Gastos!G108</f>
        <v>0</v>
      </c>
      <c r="C108" s="59">
        <f t="shared" si="89"/>
        <v>0</v>
      </c>
      <c r="D108" s="232">
        <f t="shared" si="90"/>
        <v>0</v>
      </c>
      <c r="E108" s="59">
        <f t="shared" si="91"/>
        <v>0</v>
      </c>
      <c r="F108" s="232">
        <f t="shared" si="92"/>
        <v>0</v>
      </c>
      <c r="G108" s="59">
        <f t="shared" si="93"/>
        <v>0</v>
      </c>
      <c r="H108" s="232">
        <f t="shared" si="94"/>
        <v>0</v>
      </c>
      <c r="I108" s="59">
        <f t="shared" si="95"/>
        <v>0</v>
      </c>
      <c r="J108" s="232">
        <f t="shared" si="96"/>
        <v>0</v>
      </c>
      <c r="K108" s="59">
        <f t="shared" si="97"/>
        <v>0</v>
      </c>
      <c r="L108" s="59">
        <f t="shared" si="98"/>
        <v>0</v>
      </c>
      <c r="M108" s="59">
        <f t="shared" si="99"/>
        <v>0</v>
      </c>
      <c r="N108" s="59">
        <f t="shared" si="100"/>
        <v>0</v>
      </c>
      <c r="P108" s="37">
        <f t="shared" si="101"/>
        <v>1.085</v>
      </c>
      <c r="Q108" s="41">
        <f t="shared" si="102"/>
        <v>1.075</v>
      </c>
      <c r="R108" s="37">
        <f t="shared" si="103"/>
        <v>1.07</v>
      </c>
      <c r="S108" s="41">
        <f t="shared" si="104"/>
        <v>1.07</v>
      </c>
      <c r="T108" s="37">
        <f t="shared" si="105"/>
        <v>1.065</v>
      </c>
      <c r="U108" s="41">
        <f t="shared" si="106"/>
        <v>1.06</v>
      </c>
      <c r="V108" s="37">
        <f t="shared" si="106"/>
        <v>1.06</v>
      </c>
      <c r="W108" s="41">
        <f t="shared" si="106"/>
        <v>1.06</v>
      </c>
      <c r="X108" s="37">
        <f t="shared" si="106"/>
        <v>1.06</v>
      </c>
      <c r="Y108" s="115">
        <f t="shared" si="106"/>
        <v>1.06</v>
      </c>
      <c r="Z108" s="115">
        <f t="shared" si="106"/>
        <v>1.06</v>
      </c>
      <c r="AA108" s="115">
        <f t="shared" si="106"/>
        <v>1.06</v>
      </c>
    </row>
    <row r="109" spans="1:27" ht="12.75">
      <c r="A109" s="14" t="s">
        <v>142</v>
      </c>
      <c r="B109" s="59">
        <f>+Gastos!G109</f>
        <v>0</v>
      </c>
      <c r="C109" s="59">
        <f t="shared" si="89"/>
        <v>0</v>
      </c>
      <c r="D109" s="232">
        <f t="shared" si="90"/>
        <v>0</v>
      </c>
      <c r="E109" s="59">
        <f t="shared" si="91"/>
        <v>0</v>
      </c>
      <c r="F109" s="232">
        <f t="shared" si="92"/>
        <v>0</v>
      </c>
      <c r="G109" s="59">
        <f t="shared" si="93"/>
        <v>0</v>
      </c>
      <c r="H109" s="232">
        <f t="shared" si="94"/>
        <v>0</v>
      </c>
      <c r="I109" s="59">
        <f t="shared" si="95"/>
        <v>0</v>
      </c>
      <c r="J109" s="232">
        <f t="shared" si="96"/>
        <v>0</v>
      </c>
      <c r="K109" s="59">
        <f t="shared" si="97"/>
        <v>0</v>
      </c>
      <c r="L109" s="59">
        <f t="shared" si="98"/>
        <v>0</v>
      </c>
      <c r="M109" s="59">
        <f t="shared" si="99"/>
        <v>0</v>
      </c>
      <c r="N109" s="59">
        <f t="shared" si="100"/>
        <v>0</v>
      </c>
      <c r="P109" s="37">
        <f t="shared" si="101"/>
        <v>1.085</v>
      </c>
      <c r="Q109" s="41">
        <f t="shared" si="102"/>
        <v>1.075</v>
      </c>
      <c r="R109" s="37">
        <f t="shared" si="103"/>
        <v>1.07</v>
      </c>
      <c r="S109" s="41">
        <f t="shared" si="104"/>
        <v>1.07</v>
      </c>
      <c r="T109" s="37">
        <f t="shared" si="105"/>
        <v>1.065</v>
      </c>
      <c r="U109" s="41">
        <f t="shared" si="106"/>
        <v>1.06</v>
      </c>
      <c r="V109" s="37">
        <f t="shared" si="106"/>
        <v>1.06</v>
      </c>
      <c r="W109" s="41">
        <f t="shared" si="106"/>
        <v>1.06</v>
      </c>
      <c r="X109" s="37">
        <f t="shared" si="106"/>
        <v>1.06</v>
      </c>
      <c r="Y109" s="115">
        <f t="shared" si="106"/>
        <v>1.06</v>
      </c>
      <c r="Z109" s="115">
        <f t="shared" si="106"/>
        <v>1.06</v>
      </c>
      <c r="AA109" s="115">
        <f t="shared" si="106"/>
        <v>1.06</v>
      </c>
    </row>
    <row r="110" spans="1:27" ht="12.75">
      <c r="A110" s="125" t="s">
        <v>147</v>
      </c>
      <c r="B110" s="137">
        <f>B111+B125+B132</f>
        <v>0</v>
      </c>
      <c r="C110" s="137">
        <f>C111+C125+C132</f>
        <v>0</v>
      </c>
      <c r="D110" s="138">
        <f aca="true" t="shared" si="107" ref="D110:L110">D111+D125+D132</f>
        <v>0</v>
      </c>
      <c r="E110" s="137">
        <f t="shared" si="107"/>
        <v>0</v>
      </c>
      <c r="F110" s="138">
        <f t="shared" si="107"/>
        <v>0</v>
      </c>
      <c r="G110" s="137">
        <f t="shared" si="107"/>
        <v>0</v>
      </c>
      <c r="H110" s="138">
        <f t="shared" si="107"/>
        <v>0</v>
      </c>
      <c r="I110" s="137">
        <f t="shared" si="107"/>
        <v>0</v>
      </c>
      <c r="J110" s="138">
        <f t="shared" si="107"/>
        <v>0</v>
      </c>
      <c r="K110" s="137">
        <f t="shared" si="107"/>
        <v>0</v>
      </c>
      <c r="L110" s="137">
        <f t="shared" si="107"/>
        <v>0</v>
      </c>
      <c r="M110" s="137">
        <f>M111+M125+M132</f>
        <v>0</v>
      </c>
      <c r="N110" s="137">
        <f>N111+N125+N132</f>
        <v>0</v>
      </c>
      <c r="P110" s="191"/>
      <c r="Q110" s="202"/>
      <c r="R110" s="191"/>
      <c r="S110" s="202"/>
      <c r="T110" s="191"/>
      <c r="U110" s="202"/>
      <c r="V110" s="191"/>
      <c r="W110" s="202"/>
      <c r="X110" s="191"/>
      <c r="Y110" s="264"/>
      <c r="Z110" s="264"/>
      <c r="AA110" s="264"/>
    </row>
    <row r="111" spans="1:27" ht="12.75">
      <c r="A111" s="126" t="s">
        <v>129</v>
      </c>
      <c r="B111" s="92">
        <f>SUM(B112:B124)</f>
        <v>0</v>
      </c>
      <c r="C111" s="92">
        <f>SUM(C112:C124)</f>
        <v>0</v>
      </c>
      <c r="D111" s="142">
        <f aca="true" t="shared" si="108" ref="D111:L111">SUM(D112:D124)</f>
        <v>0</v>
      </c>
      <c r="E111" s="92">
        <f t="shared" si="108"/>
        <v>0</v>
      </c>
      <c r="F111" s="142">
        <f t="shared" si="108"/>
        <v>0</v>
      </c>
      <c r="G111" s="92">
        <f t="shared" si="108"/>
        <v>0</v>
      </c>
      <c r="H111" s="142">
        <f t="shared" si="108"/>
        <v>0</v>
      </c>
      <c r="I111" s="92">
        <f t="shared" si="108"/>
        <v>0</v>
      </c>
      <c r="J111" s="142">
        <f t="shared" si="108"/>
        <v>0</v>
      </c>
      <c r="K111" s="92">
        <f t="shared" si="108"/>
        <v>0</v>
      </c>
      <c r="L111" s="92">
        <f t="shared" si="108"/>
        <v>0</v>
      </c>
      <c r="M111" s="92">
        <f>SUM(M112:M124)</f>
        <v>0</v>
      </c>
      <c r="N111" s="92">
        <f>SUM(N112:N124)</f>
        <v>0</v>
      </c>
      <c r="P111" s="191"/>
      <c r="Q111" s="202"/>
      <c r="R111" s="191"/>
      <c r="S111" s="202"/>
      <c r="T111" s="191"/>
      <c r="U111" s="202"/>
      <c r="V111" s="191"/>
      <c r="W111" s="202"/>
      <c r="X111" s="191"/>
      <c r="Y111" s="264"/>
      <c r="Z111" s="264"/>
      <c r="AA111" s="264"/>
    </row>
    <row r="112" spans="1:27" ht="12.75">
      <c r="A112" s="14" t="s">
        <v>130</v>
      </c>
      <c r="B112" s="59">
        <f>+Gastos!G112</f>
        <v>0</v>
      </c>
      <c r="C112" s="59">
        <f aca="true" t="shared" si="109" ref="C112:C124">B112*P112</f>
        <v>0</v>
      </c>
      <c r="D112" s="232">
        <f aca="true" t="shared" si="110" ref="D112:D124">C112*Q112</f>
        <v>0</v>
      </c>
      <c r="E112" s="59">
        <f aca="true" t="shared" si="111" ref="E112:E124">D112*R112</f>
        <v>0</v>
      </c>
      <c r="F112" s="232">
        <f aca="true" t="shared" si="112" ref="F112:F124">E112*S112</f>
        <v>0</v>
      </c>
      <c r="G112" s="59">
        <f aca="true" t="shared" si="113" ref="G112:G124">F112*T112</f>
        <v>0</v>
      </c>
      <c r="H112" s="232">
        <f aca="true" t="shared" si="114" ref="H112:H124">G112*U112</f>
        <v>0</v>
      </c>
      <c r="I112" s="59">
        <f aca="true" t="shared" si="115" ref="I112:I124">H112*V112</f>
        <v>0</v>
      </c>
      <c r="J112" s="232">
        <f aca="true" t="shared" si="116" ref="J112:J124">I112*W112</f>
        <v>0</v>
      </c>
      <c r="K112" s="59">
        <f aca="true" t="shared" si="117" ref="K112:K124">J112*X112</f>
        <v>0</v>
      </c>
      <c r="L112" s="59">
        <f aca="true" t="shared" si="118" ref="L112:L124">K112*Y112</f>
        <v>0</v>
      </c>
      <c r="M112" s="59">
        <f aca="true" t="shared" si="119" ref="M112:M124">L112*Z112</f>
        <v>0</v>
      </c>
      <c r="N112" s="59">
        <f aca="true" t="shared" si="120" ref="N112:N124">M112*AA112</f>
        <v>0</v>
      </c>
      <c r="P112" s="37">
        <f aca="true" t="shared" si="121" ref="P112:P131">1+(0.06+0.025)</f>
        <v>1.085</v>
      </c>
      <c r="Q112" s="41">
        <f aca="true" t="shared" si="122" ref="Q112:Q124">1+(0.045)</f>
        <v>1.045</v>
      </c>
      <c r="R112" s="37">
        <f aca="true" t="shared" si="123" ref="R112:R124">1+(0.04)</f>
        <v>1.04</v>
      </c>
      <c r="S112" s="41">
        <f aca="true" t="shared" si="124" ref="S112:S124">1+(0.035)</f>
        <v>1.035</v>
      </c>
      <c r="T112" s="37">
        <f aca="true" t="shared" si="125" ref="T112:AA127">1+(0.03)</f>
        <v>1.03</v>
      </c>
      <c r="U112" s="41">
        <f t="shared" si="125"/>
        <v>1.03</v>
      </c>
      <c r="V112" s="37">
        <f t="shared" si="125"/>
        <v>1.03</v>
      </c>
      <c r="W112" s="41">
        <f t="shared" si="125"/>
        <v>1.03</v>
      </c>
      <c r="X112" s="37">
        <f t="shared" si="125"/>
        <v>1.03</v>
      </c>
      <c r="Y112" s="115">
        <f t="shared" si="125"/>
        <v>1.03</v>
      </c>
      <c r="Z112" s="115">
        <f t="shared" si="125"/>
        <v>1.03</v>
      </c>
      <c r="AA112" s="115">
        <f t="shared" si="125"/>
        <v>1.03</v>
      </c>
    </row>
    <row r="113" spans="1:27" ht="12.75">
      <c r="A113" s="14" t="s">
        <v>131</v>
      </c>
      <c r="B113" s="59">
        <f>+Gastos!G113</f>
        <v>0</v>
      </c>
      <c r="C113" s="59">
        <f t="shared" si="109"/>
        <v>0</v>
      </c>
      <c r="D113" s="232">
        <f t="shared" si="110"/>
        <v>0</v>
      </c>
      <c r="E113" s="59">
        <f t="shared" si="111"/>
        <v>0</v>
      </c>
      <c r="F113" s="232">
        <f t="shared" si="112"/>
        <v>0</v>
      </c>
      <c r="G113" s="59">
        <f t="shared" si="113"/>
        <v>0</v>
      </c>
      <c r="H113" s="232">
        <f t="shared" si="114"/>
        <v>0</v>
      </c>
      <c r="I113" s="59">
        <f t="shared" si="115"/>
        <v>0</v>
      </c>
      <c r="J113" s="232">
        <f t="shared" si="116"/>
        <v>0</v>
      </c>
      <c r="K113" s="59">
        <f t="shared" si="117"/>
        <v>0</v>
      </c>
      <c r="L113" s="59">
        <f t="shared" si="118"/>
        <v>0</v>
      </c>
      <c r="M113" s="59">
        <f t="shared" si="119"/>
        <v>0</v>
      </c>
      <c r="N113" s="59">
        <f t="shared" si="120"/>
        <v>0</v>
      </c>
      <c r="P113" s="37">
        <f t="shared" si="121"/>
        <v>1.085</v>
      </c>
      <c r="Q113" s="41">
        <f t="shared" si="122"/>
        <v>1.045</v>
      </c>
      <c r="R113" s="37">
        <f t="shared" si="123"/>
        <v>1.04</v>
      </c>
      <c r="S113" s="41">
        <f t="shared" si="124"/>
        <v>1.035</v>
      </c>
      <c r="T113" s="37">
        <f t="shared" si="125"/>
        <v>1.03</v>
      </c>
      <c r="U113" s="41">
        <f t="shared" si="125"/>
        <v>1.03</v>
      </c>
      <c r="V113" s="37">
        <f t="shared" si="125"/>
        <v>1.03</v>
      </c>
      <c r="W113" s="41">
        <f t="shared" si="125"/>
        <v>1.03</v>
      </c>
      <c r="X113" s="37">
        <f t="shared" si="125"/>
        <v>1.03</v>
      </c>
      <c r="Y113" s="115">
        <f t="shared" si="125"/>
        <v>1.03</v>
      </c>
      <c r="Z113" s="115">
        <f t="shared" si="125"/>
        <v>1.03</v>
      </c>
      <c r="AA113" s="115">
        <f t="shared" si="125"/>
        <v>1.03</v>
      </c>
    </row>
    <row r="114" spans="1:27" ht="12.75">
      <c r="A114" s="14" t="s">
        <v>132</v>
      </c>
      <c r="B114" s="59">
        <f>+Gastos!G114</f>
        <v>0</v>
      </c>
      <c r="C114" s="59">
        <f t="shared" si="109"/>
        <v>0</v>
      </c>
      <c r="D114" s="232">
        <f t="shared" si="110"/>
        <v>0</v>
      </c>
      <c r="E114" s="59">
        <f t="shared" si="111"/>
        <v>0</v>
      </c>
      <c r="F114" s="232">
        <f t="shared" si="112"/>
        <v>0</v>
      </c>
      <c r="G114" s="59">
        <f t="shared" si="113"/>
        <v>0</v>
      </c>
      <c r="H114" s="232">
        <f t="shared" si="114"/>
        <v>0</v>
      </c>
      <c r="I114" s="59">
        <f t="shared" si="115"/>
        <v>0</v>
      </c>
      <c r="J114" s="232">
        <f t="shared" si="116"/>
        <v>0</v>
      </c>
      <c r="K114" s="59">
        <f t="shared" si="117"/>
        <v>0</v>
      </c>
      <c r="L114" s="59">
        <f t="shared" si="118"/>
        <v>0</v>
      </c>
      <c r="M114" s="59">
        <f t="shared" si="119"/>
        <v>0</v>
      </c>
      <c r="N114" s="59">
        <f t="shared" si="120"/>
        <v>0</v>
      </c>
      <c r="P114" s="37">
        <f t="shared" si="121"/>
        <v>1.085</v>
      </c>
      <c r="Q114" s="41">
        <f t="shared" si="122"/>
        <v>1.045</v>
      </c>
      <c r="R114" s="37">
        <f t="shared" si="123"/>
        <v>1.04</v>
      </c>
      <c r="S114" s="41">
        <f t="shared" si="124"/>
        <v>1.035</v>
      </c>
      <c r="T114" s="37">
        <f t="shared" si="125"/>
        <v>1.03</v>
      </c>
      <c r="U114" s="41">
        <f t="shared" si="125"/>
        <v>1.03</v>
      </c>
      <c r="V114" s="37">
        <f t="shared" si="125"/>
        <v>1.03</v>
      </c>
      <c r="W114" s="41">
        <f t="shared" si="125"/>
        <v>1.03</v>
      </c>
      <c r="X114" s="37">
        <f t="shared" si="125"/>
        <v>1.03</v>
      </c>
      <c r="Y114" s="115">
        <f t="shared" si="125"/>
        <v>1.03</v>
      </c>
      <c r="Z114" s="115">
        <f t="shared" si="125"/>
        <v>1.03</v>
      </c>
      <c r="AA114" s="115">
        <f t="shared" si="125"/>
        <v>1.03</v>
      </c>
    </row>
    <row r="115" spans="1:27" ht="12.75">
      <c r="A115" s="14" t="s">
        <v>133</v>
      </c>
      <c r="B115" s="59">
        <f>+Gastos!G115</f>
        <v>0</v>
      </c>
      <c r="C115" s="59">
        <f t="shared" si="109"/>
        <v>0</v>
      </c>
      <c r="D115" s="232">
        <f t="shared" si="110"/>
        <v>0</v>
      </c>
      <c r="E115" s="59">
        <f t="shared" si="111"/>
        <v>0</v>
      </c>
      <c r="F115" s="232">
        <f t="shared" si="112"/>
        <v>0</v>
      </c>
      <c r="G115" s="59">
        <f t="shared" si="113"/>
        <v>0</v>
      </c>
      <c r="H115" s="232">
        <f t="shared" si="114"/>
        <v>0</v>
      </c>
      <c r="I115" s="59">
        <f t="shared" si="115"/>
        <v>0</v>
      </c>
      <c r="J115" s="232">
        <f t="shared" si="116"/>
        <v>0</v>
      </c>
      <c r="K115" s="59">
        <f t="shared" si="117"/>
        <v>0</v>
      </c>
      <c r="L115" s="59">
        <f t="shared" si="118"/>
        <v>0</v>
      </c>
      <c r="M115" s="59">
        <f t="shared" si="119"/>
        <v>0</v>
      </c>
      <c r="N115" s="59">
        <f t="shared" si="120"/>
        <v>0</v>
      </c>
      <c r="P115" s="37">
        <f t="shared" si="121"/>
        <v>1.085</v>
      </c>
      <c r="Q115" s="41">
        <f t="shared" si="122"/>
        <v>1.045</v>
      </c>
      <c r="R115" s="37">
        <f t="shared" si="123"/>
        <v>1.04</v>
      </c>
      <c r="S115" s="41">
        <f t="shared" si="124"/>
        <v>1.035</v>
      </c>
      <c r="T115" s="37">
        <f t="shared" si="125"/>
        <v>1.03</v>
      </c>
      <c r="U115" s="41">
        <f t="shared" si="125"/>
        <v>1.03</v>
      </c>
      <c r="V115" s="37">
        <f t="shared" si="125"/>
        <v>1.03</v>
      </c>
      <c r="W115" s="41">
        <f t="shared" si="125"/>
        <v>1.03</v>
      </c>
      <c r="X115" s="37">
        <f t="shared" si="125"/>
        <v>1.03</v>
      </c>
      <c r="Y115" s="115">
        <f t="shared" si="125"/>
        <v>1.03</v>
      </c>
      <c r="Z115" s="115">
        <f t="shared" si="125"/>
        <v>1.03</v>
      </c>
      <c r="AA115" s="115">
        <f t="shared" si="125"/>
        <v>1.03</v>
      </c>
    </row>
    <row r="116" spans="1:27" ht="12.75">
      <c r="A116" s="14" t="s">
        <v>134</v>
      </c>
      <c r="B116" s="59">
        <f>+Gastos!G116</f>
        <v>0</v>
      </c>
      <c r="C116" s="59">
        <f t="shared" si="109"/>
        <v>0</v>
      </c>
      <c r="D116" s="232">
        <f t="shared" si="110"/>
        <v>0</v>
      </c>
      <c r="E116" s="59">
        <f t="shared" si="111"/>
        <v>0</v>
      </c>
      <c r="F116" s="232">
        <f t="shared" si="112"/>
        <v>0</v>
      </c>
      <c r="G116" s="59">
        <f t="shared" si="113"/>
        <v>0</v>
      </c>
      <c r="H116" s="232">
        <f t="shared" si="114"/>
        <v>0</v>
      </c>
      <c r="I116" s="59">
        <f t="shared" si="115"/>
        <v>0</v>
      </c>
      <c r="J116" s="232">
        <f t="shared" si="116"/>
        <v>0</v>
      </c>
      <c r="K116" s="59">
        <f t="shared" si="117"/>
        <v>0</v>
      </c>
      <c r="L116" s="59">
        <f t="shared" si="118"/>
        <v>0</v>
      </c>
      <c r="M116" s="59">
        <f t="shared" si="119"/>
        <v>0</v>
      </c>
      <c r="N116" s="59">
        <f t="shared" si="120"/>
        <v>0</v>
      </c>
      <c r="P116" s="37">
        <f t="shared" si="121"/>
        <v>1.085</v>
      </c>
      <c r="Q116" s="41">
        <f t="shared" si="122"/>
        <v>1.045</v>
      </c>
      <c r="R116" s="37">
        <f t="shared" si="123"/>
        <v>1.04</v>
      </c>
      <c r="S116" s="41">
        <f t="shared" si="124"/>
        <v>1.035</v>
      </c>
      <c r="T116" s="37">
        <f t="shared" si="125"/>
        <v>1.03</v>
      </c>
      <c r="U116" s="41">
        <f t="shared" si="125"/>
        <v>1.03</v>
      </c>
      <c r="V116" s="37">
        <f t="shared" si="125"/>
        <v>1.03</v>
      </c>
      <c r="W116" s="41">
        <f t="shared" si="125"/>
        <v>1.03</v>
      </c>
      <c r="X116" s="37">
        <f t="shared" si="125"/>
        <v>1.03</v>
      </c>
      <c r="Y116" s="115">
        <f t="shared" si="125"/>
        <v>1.03</v>
      </c>
      <c r="Z116" s="115">
        <f t="shared" si="125"/>
        <v>1.03</v>
      </c>
      <c r="AA116" s="115">
        <f t="shared" si="125"/>
        <v>1.03</v>
      </c>
    </row>
    <row r="117" spans="1:27" ht="12.75">
      <c r="A117" s="14" t="s">
        <v>135</v>
      </c>
      <c r="B117" s="59">
        <f>+Gastos!G117</f>
        <v>0</v>
      </c>
      <c r="C117" s="59">
        <f t="shared" si="109"/>
        <v>0</v>
      </c>
      <c r="D117" s="232">
        <f t="shared" si="110"/>
        <v>0</v>
      </c>
      <c r="E117" s="59">
        <f t="shared" si="111"/>
        <v>0</v>
      </c>
      <c r="F117" s="232">
        <f t="shared" si="112"/>
        <v>0</v>
      </c>
      <c r="G117" s="59">
        <f t="shared" si="113"/>
        <v>0</v>
      </c>
      <c r="H117" s="232">
        <f t="shared" si="114"/>
        <v>0</v>
      </c>
      <c r="I117" s="59">
        <f t="shared" si="115"/>
        <v>0</v>
      </c>
      <c r="J117" s="232">
        <f t="shared" si="116"/>
        <v>0</v>
      </c>
      <c r="K117" s="59">
        <f t="shared" si="117"/>
        <v>0</v>
      </c>
      <c r="L117" s="59">
        <f t="shared" si="118"/>
        <v>0</v>
      </c>
      <c r="M117" s="59">
        <f t="shared" si="119"/>
        <v>0</v>
      </c>
      <c r="N117" s="59">
        <f t="shared" si="120"/>
        <v>0</v>
      </c>
      <c r="P117" s="37">
        <f t="shared" si="121"/>
        <v>1.085</v>
      </c>
      <c r="Q117" s="41">
        <f t="shared" si="122"/>
        <v>1.045</v>
      </c>
      <c r="R117" s="37">
        <f t="shared" si="123"/>
        <v>1.04</v>
      </c>
      <c r="S117" s="41">
        <f t="shared" si="124"/>
        <v>1.035</v>
      </c>
      <c r="T117" s="37">
        <f t="shared" si="125"/>
        <v>1.03</v>
      </c>
      <c r="U117" s="41">
        <f t="shared" si="125"/>
        <v>1.03</v>
      </c>
      <c r="V117" s="37">
        <f t="shared" si="125"/>
        <v>1.03</v>
      </c>
      <c r="W117" s="41">
        <f t="shared" si="125"/>
        <v>1.03</v>
      </c>
      <c r="X117" s="37">
        <f t="shared" si="125"/>
        <v>1.03</v>
      </c>
      <c r="Y117" s="115">
        <f t="shared" si="125"/>
        <v>1.03</v>
      </c>
      <c r="Z117" s="115">
        <f t="shared" si="125"/>
        <v>1.03</v>
      </c>
      <c r="AA117" s="115">
        <f t="shared" si="125"/>
        <v>1.03</v>
      </c>
    </row>
    <row r="118" spans="1:27" ht="12.75">
      <c r="A118" s="14" t="s">
        <v>136</v>
      </c>
      <c r="B118" s="59">
        <f>+Gastos!G118</f>
        <v>0</v>
      </c>
      <c r="C118" s="59">
        <f t="shared" si="109"/>
        <v>0</v>
      </c>
      <c r="D118" s="232">
        <f t="shared" si="110"/>
        <v>0</v>
      </c>
      <c r="E118" s="59">
        <f t="shared" si="111"/>
        <v>0</v>
      </c>
      <c r="F118" s="232">
        <f t="shared" si="112"/>
        <v>0</v>
      </c>
      <c r="G118" s="59">
        <f t="shared" si="113"/>
        <v>0</v>
      </c>
      <c r="H118" s="232">
        <f t="shared" si="114"/>
        <v>0</v>
      </c>
      <c r="I118" s="59">
        <f t="shared" si="115"/>
        <v>0</v>
      </c>
      <c r="J118" s="232">
        <f t="shared" si="116"/>
        <v>0</v>
      </c>
      <c r="K118" s="59">
        <f t="shared" si="117"/>
        <v>0</v>
      </c>
      <c r="L118" s="59">
        <f t="shared" si="118"/>
        <v>0</v>
      </c>
      <c r="M118" s="59">
        <f t="shared" si="119"/>
        <v>0</v>
      </c>
      <c r="N118" s="59">
        <f t="shared" si="120"/>
        <v>0</v>
      </c>
      <c r="P118" s="37">
        <f t="shared" si="121"/>
        <v>1.085</v>
      </c>
      <c r="Q118" s="41">
        <f t="shared" si="122"/>
        <v>1.045</v>
      </c>
      <c r="R118" s="37">
        <f t="shared" si="123"/>
        <v>1.04</v>
      </c>
      <c r="S118" s="41">
        <f t="shared" si="124"/>
        <v>1.035</v>
      </c>
      <c r="T118" s="37">
        <f t="shared" si="125"/>
        <v>1.03</v>
      </c>
      <c r="U118" s="41">
        <f t="shared" si="125"/>
        <v>1.03</v>
      </c>
      <c r="V118" s="37">
        <f t="shared" si="125"/>
        <v>1.03</v>
      </c>
      <c r="W118" s="41">
        <f t="shared" si="125"/>
        <v>1.03</v>
      </c>
      <c r="X118" s="37">
        <f t="shared" si="125"/>
        <v>1.03</v>
      </c>
      <c r="Y118" s="115">
        <f t="shared" si="125"/>
        <v>1.03</v>
      </c>
      <c r="Z118" s="115">
        <f t="shared" si="125"/>
        <v>1.03</v>
      </c>
      <c r="AA118" s="115">
        <f t="shared" si="125"/>
        <v>1.03</v>
      </c>
    </row>
    <row r="119" spans="1:27" ht="12.75">
      <c r="A119" s="14" t="s">
        <v>137</v>
      </c>
      <c r="B119" s="59">
        <f>+Gastos!G119</f>
        <v>0</v>
      </c>
      <c r="C119" s="59">
        <f t="shared" si="109"/>
        <v>0</v>
      </c>
      <c r="D119" s="232">
        <f t="shared" si="110"/>
        <v>0</v>
      </c>
      <c r="E119" s="59">
        <f t="shared" si="111"/>
        <v>0</v>
      </c>
      <c r="F119" s="232">
        <f t="shared" si="112"/>
        <v>0</v>
      </c>
      <c r="G119" s="59">
        <f t="shared" si="113"/>
        <v>0</v>
      </c>
      <c r="H119" s="232">
        <f t="shared" si="114"/>
        <v>0</v>
      </c>
      <c r="I119" s="59">
        <f t="shared" si="115"/>
        <v>0</v>
      </c>
      <c r="J119" s="232">
        <f t="shared" si="116"/>
        <v>0</v>
      </c>
      <c r="K119" s="59">
        <f t="shared" si="117"/>
        <v>0</v>
      </c>
      <c r="L119" s="59">
        <f t="shared" si="118"/>
        <v>0</v>
      </c>
      <c r="M119" s="59">
        <f t="shared" si="119"/>
        <v>0</v>
      </c>
      <c r="N119" s="59">
        <f t="shared" si="120"/>
        <v>0</v>
      </c>
      <c r="P119" s="37">
        <f t="shared" si="121"/>
        <v>1.085</v>
      </c>
      <c r="Q119" s="41">
        <f t="shared" si="122"/>
        <v>1.045</v>
      </c>
      <c r="R119" s="37">
        <f t="shared" si="123"/>
        <v>1.04</v>
      </c>
      <c r="S119" s="41">
        <f t="shared" si="124"/>
        <v>1.035</v>
      </c>
      <c r="T119" s="37">
        <f t="shared" si="125"/>
        <v>1.03</v>
      </c>
      <c r="U119" s="41">
        <f t="shared" si="125"/>
        <v>1.03</v>
      </c>
      <c r="V119" s="37">
        <f t="shared" si="125"/>
        <v>1.03</v>
      </c>
      <c r="W119" s="41">
        <f t="shared" si="125"/>
        <v>1.03</v>
      </c>
      <c r="X119" s="37">
        <f t="shared" si="125"/>
        <v>1.03</v>
      </c>
      <c r="Y119" s="115">
        <f t="shared" si="125"/>
        <v>1.03</v>
      </c>
      <c r="Z119" s="115">
        <f t="shared" si="125"/>
        <v>1.03</v>
      </c>
      <c r="AA119" s="115">
        <f t="shared" si="125"/>
        <v>1.03</v>
      </c>
    </row>
    <row r="120" spans="1:27" ht="12.75">
      <c r="A120" s="14" t="s">
        <v>138</v>
      </c>
      <c r="B120" s="59">
        <f>+Gastos!G120</f>
        <v>0</v>
      </c>
      <c r="C120" s="59">
        <f t="shared" si="109"/>
        <v>0</v>
      </c>
      <c r="D120" s="232">
        <f t="shared" si="110"/>
        <v>0</v>
      </c>
      <c r="E120" s="59">
        <f t="shared" si="111"/>
        <v>0</v>
      </c>
      <c r="F120" s="232">
        <f t="shared" si="112"/>
        <v>0</v>
      </c>
      <c r="G120" s="59">
        <f t="shared" si="113"/>
        <v>0</v>
      </c>
      <c r="H120" s="232">
        <f t="shared" si="114"/>
        <v>0</v>
      </c>
      <c r="I120" s="59">
        <f t="shared" si="115"/>
        <v>0</v>
      </c>
      <c r="J120" s="232">
        <f t="shared" si="116"/>
        <v>0</v>
      </c>
      <c r="K120" s="59">
        <f t="shared" si="117"/>
        <v>0</v>
      </c>
      <c r="L120" s="59">
        <f t="shared" si="118"/>
        <v>0</v>
      </c>
      <c r="M120" s="59">
        <f t="shared" si="119"/>
        <v>0</v>
      </c>
      <c r="N120" s="59">
        <f t="shared" si="120"/>
        <v>0</v>
      </c>
      <c r="P120" s="37">
        <f t="shared" si="121"/>
        <v>1.085</v>
      </c>
      <c r="Q120" s="41">
        <f t="shared" si="122"/>
        <v>1.045</v>
      </c>
      <c r="R120" s="37">
        <f t="shared" si="123"/>
        <v>1.04</v>
      </c>
      <c r="S120" s="41">
        <f t="shared" si="124"/>
        <v>1.035</v>
      </c>
      <c r="T120" s="37">
        <f t="shared" si="125"/>
        <v>1.03</v>
      </c>
      <c r="U120" s="41">
        <f t="shared" si="125"/>
        <v>1.03</v>
      </c>
      <c r="V120" s="37">
        <f t="shared" si="125"/>
        <v>1.03</v>
      </c>
      <c r="W120" s="41">
        <f t="shared" si="125"/>
        <v>1.03</v>
      </c>
      <c r="X120" s="37">
        <f t="shared" si="125"/>
        <v>1.03</v>
      </c>
      <c r="Y120" s="115">
        <f t="shared" si="125"/>
        <v>1.03</v>
      </c>
      <c r="Z120" s="115">
        <f t="shared" si="125"/>
        <v>1.03</v>
      </c>
      <c r="AA120" s="115">
        <f t="shared" si="125"/>
        <v>1.03</v>
      </c>
    </row>
    <row r="121" spans="1:27" ht="12.75">
      <c r="A121" s="14" t="s">
        <v>139</v>
      </c>
      <c r="B121" s="59">
        <f>+Gastos!G121</f>
        <v>0</v>
      </c>
      <c r="C121" s="59">
        <f t="shared" si="109"/>
        <v>0</v>
      </c>
      <c r="D121" s="232">
        <f t="shared" si="110"/>
        <v>0</v>
      </c>
      <c r="E121" s="59">
        <f t="shared" si="111"/>
        <v>0</v>
      </c>
      <c r="F121" s="232">
        <f t="shared" si="112"/>
        <v>0</v>
      </c>
      <c r="G121" s="59">
        <f t="shared" si="113"/>
        <v>0</v>
      </c>
      <c r="H121" s="232">
        <f t="shared" si="114"/>
        <v>0</v>
      </c>
      <c r="I121" s="59">
        <f t="shared" si="115"/>
        <v>0</v>
      </c>
      <c r="J121" s="232">
        <f t="shared" si="116"/>
        <v>0</v>
      </c>
      <c r="K121" s="59">
        <f t="shared" si="117"/>
        <v>0</v>
      </c>
      <c r="L121" s="59">
        <f t="shared" si="118"/>
        <v>0</v>
      </c>
      <c r="M121" s="59">
        <f t="shared" si="119"/>
        <v>0</v>
      </c>
      <c r="N121" s="59">
        <f t="shared" si="120"/>
        <v>0</v>
      </c>
      <c r="P121" s="37">
        <f t="shared" si="121"/>
        <v>1.085</v>
      </c>
      <c r="Q121" s="41">
        <f t="shared" si="122"/>
        <v>1.045</v>
      </c>
      <c r="R121" s="37">
        <f t="shared" si="123"/>
        <v>1.04</v>
      </c>
      <c r="S121" s="41">
        <f t="shared" si="124"/>
        <v>1.035</v>
      </c>
      <c r="T121" s="37">
        <f t="shared" si="125"/>
        <v>1.03</v>
      </c>
      <c r="U121" s="41">
        <f t="shared" si="125"/>
        <v>1.03</v>
      </c>
      <c r="V121" s="37">
        <f t="shared" si="125"/>
        <v>1.03</v>
      </c>
      <c r="W121" s="41">
        <f t="shared" si="125"/>
        <v>1.03</v>
      </c>
      <c r="X121" s="37">
        <f t="shared" si="125"/>
        <v>1.03</v>
      </c>
      <c r="Y121" s="115">
        <f t="shared" si="125"/>
        <v>1.03</v>
      </c>
      <c r="Z121" s="115">
        <f t="shared" si="125"/>
        <v>1.03</v>
      </c>
      <c r="AA121" s="115">
        <f t="shared" si="125"/>
        <v>1.03</v>
      </c>
    </row>
    <row r="122" spans="1:27" ht="12.75">
      <c r="A122" s="14" t="s">
        <v>140</v>
      </c>
      <c r="B122" s="59">
        <f>+Gastos!G122</f>
        <v>0</v>
      </c>
      <c r="C122" s="59">
        <f t="shared" si="109"/>
        <v>0</v>
      </c>
      <c r="D122" s="232">
        <f t="shared" si="110"/>
        <v>0</v>
      </c>
      <c r="E122" s="59">
        <f t="shared" si="111"/>
        <v>0</v>
      </c>
      <c r="F122" s="232">
        <f t="shared" si="112"/>
        <v>0</v>
      </c>
      <c r="G122" s="59">
        <f t="shared" si="113"/>
        <v>0</v>
      </c>
      <c r="H122" s="232">
        <f t="shared" si="114"/>
        <v>0</v>
      </c>
      <c r="I122" s="59">
        <f t="shared" si="115"/>
        <v>0</v>
      </c>
      <c r="J122" s="232">
        <f t="shared" si="116"/>
        <v>0</v>
      </c>
      <c r="K122" s="59">
        <f t="shared" si="117"/>
        <v>0</v>
      </c>
      <c r="L122" s="59">
        <f t="shared" si="118"/>
        <v>0</v>
      </c>
      <c r="M122" s="59">
        <f t="shared" si="119"/>
        <v>0</v>
      </c>
      <c r="N122" s="59">
        <f t="shared" si="120"/>
        <v>0</v>
      </c>
      <c r="P122" s="37">
        <f t="shared" si="121"/>
        <v>1.085</v>
      </c>
      <c r="Q122" s="41">
        <f t="shared" si="122"/>
        <v>1.045</v>
      </c>
      <c r="R122" s="37">
        <f t="shared" si="123"/>
        <v>1.04</v>
      </c>
      <c r="S122" s="41">
        <f t="shared" si="124"/>
        <v>1.035</v>
      </c>
      <c r="T122" s="37">
        <f t="shared" si="125"/>
        <v>1.03</v>
      </c>
      <c r="U122" s="41">
        <f t="shared" si="125"/>
        <v>1.03</v>
      </c>
      <c r="V122" s="37">
        <f t="shared" si="125"/>
        <v>1.03</v>
      </c>
      <c r="W122" s="41">
        <f t="shared" si="125"/>
        <v>1.03</v>
      </c>
      <c r="X122" s="37">
        <f t="shared" si="125"/>
        <v>1.03</v>
      </c>
      <c r="Y122" s="115">
        <f t="shared" si="125"/>
        <v>1.03</v>
      </c>
      <c r="Z122" s="115">
        <f t="shared" si="125"/>
        <v>1.03</v>
      </c>
      <c r="AA122" s="115">
        <f t="shared" si="125"/>
        <v>1.03</v>
      </c>
    </row>
    <row r="123" spans="1:27" ht="12.75">
      <c r="A123" s="14" t="s">
        <v>141</v>
      </c>
      <c r="B123" s="59">
        <f>+Gastos!G123</f>
        <v>0</v>
      </c>
      <c r="C123" s="59">
        <f t="shared" si="109"/>
        <v>0</v>
      </c>
      <c r="D123" s="232">
        <f t="shared" si="110"/>
        <v>0</v>
      </c>
      <c r="E123" s="59">
        <f t="shared" si="111"/>
        <v>0</v>
      </c>
      <c r="F123" s="232">
        <f t="shared" si="112"/>
        <v>0</v>
      </c>
      <c r="G123" s="59">
        <f t="shared" si="113"/>
        <v>0</v>
      </c>
      <c r="H123" s="232">
        <f t="shared" si="114"/>
        <v>0</v>
      </c>
      <c r="I123" s="59">
        <f t="shared" si="115"/>
        <v>0</v>
      </c>
      <c r="J123" s="232">
        <f t="shared" si="116"/>
        <v>0</v>
      </c>
      <c r="K123" s="59">
        <f t="shared" si="117"/>
        <v>0</v>
      </c>
      <c r="L123" s="59">
        <f t="shared" si="118"/>
        <v>0</v>
      </c>
      <c r="M123" s="59">
        <f t="shared" si="119"/>
        <v>0</v>
      </c>
      <c r="N123" s="59">
        <f t="shared" si="120"/>
        <v>0</v>
      </c>
      <c r="P123" s="37">
        <f t="shared" si="121"/>
        <v>1.085</v>
      </c>
      <c r="Q123" s="41">
        <f t="shared" si="122"/>
        <v>1.045</v>
      </c>
      <c r="R123" s="37">
        <f t="shared" si="123"/>
        <v>1.04</v>
      </c>
      <c r="S123" s="41">
        <f t="shared" si="124"/>
        <v>1.035</v>
      </c>
      <c r="T123" s="37">
        <f t="shared" si="125"/>
        <v>1.03</v>
      </c>
      <c r="U123" s="41">
        <f t="shared" si="125"/>
        <v>1.03</v>
      </c>
      <c r="V123" s="37">
        <f t="shared" si="125"/>
        <v>1.03</v>
      </c>
      <c r="W123" s="41">
        <f t="shared" si="125"/>
        <v>1.03</v>
      </c>
      <c r="X123" s="37">
        <f t="shared" si="125"/>
        <v>1.03</v>
      </c>
      <c r="Y123" s="115">
        <f t="shared" si="125"/>
        <v>1.03</v>
      </c>
      <c r="Z123" s="115">
        <f t="shared" si="125"/>
        <v>1.03</v>
      </c>
      <c r="AA123" s="115">
        <f t="shared" si="125"/>
        <v>1.03</v>
      </c>
    </row>
    <row r="124" spans="1:27" ht="12.75">
      <c r="A124" s="14" t="s">
        <v>148</v>
      </c>
      <c r="B124" s="59">
        <f>+Gastos!G124</f>
        <v>0</v>
      </c>
      <c r="C124" s="59">
        <f t="shared" si="109"/>
        <v>0</v>
      </c>
      <c r="D124" s="232">
        <f t="shared" si="110"/>
        <v>0</v>
      </c>
      <c r="E124" s="59">
        <f t="shared" si="111"/>
        <v>0</v>
      </c>
      <c r="F124" s="232">
        <f t="shared" si="112"/>
        <v>0</v>
      </c>
      <c r="G124" s="59">
        <f t="shared" si="113"/>
        <v>0</v>
      </c>
      <c r="H124" s="232">
        <f t="shared" si="114"/>
        <v>0</v>
      </c>
      <c r="I124" s="59">
        <f t="shared" si="115"/>
        <v>0</v>
      </c>
      <c r="J124" s="232">
        <f t="shared" si="116"/>
        <v>0</v>
      </c>
      <c r="K124" s="59">
        <f t="shared" si="117"/>
        <v>0</v>
      </c>
      <c r="L124" s="59">
        <f t="shared" si="118"/>
        <v>0</v>
      </c>
      <c r="M124" s="59">
        <f t="shared" si="119"/>
        <v>0</v>
      </c>
      <c r="N124" s="59">
        <f t="shared" si="120"/>
        <v>0</v>
      </c>
      <c r="P124" s="37">
        <f t="shared" si="121"/>
        <v>1.085</v>
      </c>
      <c r="Q124" s="41">
        <f t="shared" si="122"/>
        <v>1.045</v>
      </c>
      <c r="R124" s="37">
        <f t="shared" si="123"/>
        <v>1.04</v>
      </c>
      <c r="S124" s="41">
        <f t="shared" si="124"/>
        <v>1.035</v>
      </c>
      <c r="T124" s="37">
        <f t="shared" si="125"/>
        <v>1.03</v>
      </c>
      <c r="U124" s="41">
        <f t="shared" si="125"/>
        <v>1.03</v>
      </c>
      <c r="V124" s="37">
        <f t="shared" si="125"/>
        <v>1.03</v>
      </c>
      <c r="W124" s="41">
        <f t="shared" si="125"/>
        <v>1.03</v>
      </c>
      <c r="X124" s="37">
        <f t="shared" si="125"/>
        <v>1.03</v>
      </c>
      <c r="Y124" s="115">
        <f t="shared" si="125"/>
        <v>1.03</v>
      </c>
      <c r="Z124" s="115">
        <f t="shared" si="125"/>
        <v>1.03</v>
      </c>
      <c r="AA124" s="115">
        <f t="shared" si="125"/>
        <v>1.03</v>
      </c>
    </row>
    <row r="125" spans="1:27" ht="12.75">
      <c r="A125" s="126" t="s">
        <v>143</v>
      </c>
      <c r="B125" s="92">
        <f>SUM(B126:B131)</f>
        <v>0</v>
      </c>
      <c r="C125" s="92">
        <f>SUM(C126:C131)</f>
        <v>0</v>
      </c>
      <c r="D125" s="142">
        <f aca="true" t="shared" si="126" ref="D125:L125">SUM(D126:D131)</f>
        <v>0</v>
      </c>
      <c r="E125" s="92">
        <f t="shared" si="126"/>
        <v>0</v>
      </c>
      <c r="F125" s="142">
        <f t="shared" si="126"/>
        <v>0</v>
      </c>
      <c r="G125" s="92">
        <f t="shared" si="126"/>
        <v>0</v>
      </c>
      <c r="H125" s="142">
        <f t="shared" si="126"/>
        <v>0</v>
      </c>
      <c r="I125" s="92">
        <f t="shared" si="126"/>
        <v>0</v>
      </c>
      <c r="J125" s="142">
        <f t="shared" si="126"/>
        <v>0</v>
      </c>
      <c r="K125" s="92">
        <f t="shared" si="126"/>
        <v>0</v>
      </c>
      <c r="L125" s="92">
        <f t="shared" si="126"/>
        <v>0</v>
      </c>
      <c r="M125" s="92">
        <f>SUM(M126:M131)</f>
        <v>0</v>
      </c>
      <c r="N125" s="92">
        <f>SUM(N126:N131)</f>
        <v>0</v>
      </c>
      <c r="P125" s="191"/>
      <c r="Q125" s="202"/>
      <c r="R125" s="191"/>
      <c r="S125" s="202"/>
      <c r="T125" s="191"/>
      <c r="U125" s="202"/>
      <c r="V125" s="191"/>
      <c r="W125" s="202"/>
      <c r="X125" s="191"/>
      <c r="Y125" s="264"/>
      <c r="Z125" s="264"/>
      <c r="AA125" s="264"/>
    </row>
    <row r="126" spans="1:27" ht="12.75">
      <c r="A126" s="14" t="s">
        <v>130</v>
      </c>
      <c r="B126" s="59">
        <f>+Gastos!G126</f>
        <v>0</v>
      </c>
      <c r="C126" s="59">
        <f aca="true" t="shared" si="127" ref="C126:N131">B126*P126</f>
        <v>0</v>
      </c>
      <c r="D126" s="232">
        <f t="shared" si="127"/>
        <v>0</v>
      </c>
      <c r="E126" s="59">
        <f t="shared" si="127"/>
        <v>0</v>
      </c>
      <c r="F126" s="232">
        <f t="shared" si="127"/>
        <v>0</v>
      </c>
      <c r="G126" s="59">
        <f t="shared" si="127"/>
        <v>0</v>
      </c>
      <c r="H126" s="232">
        <f t="shared" si="127"/>
        <v>0</v>
      </c>
      <c r="I126" s="59">
        <f t="shared" si="127"/>
        <v>0</v>
      </c>
      <c r="J126" s="232">
        <f t="shared" si="127"/>
        <v>0</v>
      </c>
      <c r="K126" s="59">
        <f t="shared" si="127"/>
        <v>0</v>
      </c>
      <c r="L126" s="59">
        <f t="shared" si="127"/>
        <v>0</v>
      </c>
      <c r="M126" s="59">
        <f t="shared" si="127"/>
        <v>0</v>
      </c>
      <c r="N126" s="59">
        <f t="shared" si="127"/>
        <v>0</v>
      </c>
      <c r="P126" s="37">
        <f t="shared" si="121"/>
        <v>1.085</v>
      </c>
      <c r="Q126" s="41">
        <f aca="true" t="shared" si="128" ref="Q126:Q131">1+(0.045)</f>
        <v>1.045</v>
      </c>
      <c r="R126" s="37">
        <f aca="true" t="shared" si="129" ref="R126:R131">1+(0.04)</f>
        <v>1.04</v>
      </c>
      <c r="S126" s="41">
        <f aca="true" t="shared" si="130" ref="S126:S131">1+(0.035)</f>
        <v>1.035</v>
      </c>
      <c r="T126" s="37">
        <f aca="true" t="shared" si="131" ref="T126:X131">1+(0.03)</f>
        <v>1.03</v>
      </c>
      <c r="U126" s="41">
        <f t="shared" si="131"/>
        <v>1.03</v>
      </c>
      <c r="V126" s="37">
        <f t="shared" si="131"/>
        <v>1.03</v>
      </c>
      <c r="W126" s="41">
        <f t="shared" si="131"/>
        <v>1.03</v>
      </c>
      <c r="X126" s="37">
        <f t="shared" si="131"/>
        <v>1.03</v>
      </c>
      <c r="Y126" s="115">
        <f t="shared" si="125"/>
        <v>1.03</v>
      </c>
      <c r="Z126" s="115">
        <f t="shared" si="125"/>
        <v>1.03</v>
      </c>
      <c r="AA126" s="115">
        <f t="shared" si="125"/>
        <v>1.03</v>
      </c>
    </row>
    <row r="127" spans="1:27" ht="12.75">
      <c r="A127" s="14" t="s">
        <v>132</v>
      </c>
      <c r="B127" s="59">
        <f>+Gastos!G127</f>
        <v>0</v>
      </c>
      <c r="C127" s="59">
        <f t="shared" si="127"/>
        <v>0</v>
      </c>
      <c r="D127" s="232">
        <f t="shared" si="127"/>
        <v>0</v>
      </c>
      <c r="E127" s="59">
        <f t="shared" si="127"/>
        <v>0</v>
      </c>
      <c r="F127" s="232">
        <f t="shared" si="127"/>
        <v>0</v>
      </c>
      <c r="G127" s="59">
        <f t="shared" si="127"/>
        <v>0</v>
      </c>
      <c r="H127" s="232">
        <f t="shared" si="127"/>
        <v>0</v>
      </c>
      <c r="I127" s="59">
        <f t="shared" si="127"/>
        <v>0</v>
      </c>
      <c r="J127" s="232">
        <f t="shared" si="127"/>
        <v>0</v>
      </c>
      <c r="K127" s="59">
        <f t="shared" si="127"/>
        <v>0</v>
      </c>
      <c r="L127" s="59">
        <f t="shared" si="127"/>
        <v>0</v>
      </c>
      <c r="M127" s="59">
        <f t="shared" si="127"/>
        <v>0</v>
      </c>
      <c r="N127" s="59">
        <f t="shared" si="127"/>
        <v>0</v>
      </c>
      <c r="P127" s="37">
        <f t="shared" si="121"/>
        <v>1.085</v>
      </c>
      <c r="Q127" s="41">
        <f t="shared" si="128"/>
        <v>1.045</v>
      </c>
      <c r="R127" s="37">
        <f t="shared" si="129"/>
        <v>1.04</v>
      </c>
      <c r="S127" s="41">
        <f t="shared" si="130"/>
        <v>1.035</v>
      </c>
      <c r="T127" s="37">
        <f t="shared" si="131"/>
        <v>1.03</v>
      </c>
      <c r="U127" s="41">
        <f t="shared" si="131"/>
        <v>1.03</v>
      </c>
      <c r="V127" s="37">
        <f t="shared" si="131"/>
        <v>1.03</v>
      </c>
      <c r="W127" s="41">
        <f t="shared" si="131"/>
        <v>1.03</v>
      </c>
      <c r="X127" s="37">
        <f t="shared" si="131"/>
        <v>1.03</v>
      </c>
      <c r="Y127" s="115">
        <f t="shared" si="125"/>
        <v>1.03</v>
      </c>
      <c r="Z127" s="115">
        <f t="shared" si="125"/>
        <v>1.03</v>
      </c>
      <c r="AA127" s="115">
        <f t="shared" si="125"/>
        <v>1.03</v>
      </c>
    </row>
    <row r="128" spans="1:27" ht="12.75">
      <c r="A128" s="14" t="s">
        <v>133</v>
      </c>
      <c r="B128" s="59">
        <f>+Gastos!G128</f>
        <v>0</v>
      </c>
      <c r="C128" s="59">
        <f t="shared" si="127"/>
        <v>0</v>
      </c>
      <c r="D128" s="232">
        <f t="shared" si="127"/>
        <v>0</v>
      </c>
      <c r="E128" s="59">
        <f t="shared" si="127"/>
        <v>0</v>
      </c>
      <c r="F128" s="232">
        <f t="shared" si="127"/>
        <v>0</v>
      </c>
      <c r="G128" s="59">
        <f t="shared" si="127"/>
        <v>0</v>
      </c>
      <c r="H128" s="232">
        <f t="shared" si="127"/>
        <v>0</v>
      </c>
      <c r="I128" s="59">
        <f t="shared" si="127"/>
        <v>0</v>
      </c>
      <c r="J128" s="232">
        <f t="shared" si="127"/>
        <v>0</v>
      </c>
      <c r="K128" s="59">
        <f t="shared" si="127"/>
        <v>0</v>
      </c>
      <c r="L128" s="59">
        <f t="shared" si="127"/>
        <v>0</v>
      </c>
      <c r="M128" s="59">
        <f t="shared" si="127"/>
        <v>0</v>
      </c>
      <c r="N128" s="59">
        <f t="shared" si="127"/>
        <v>0</v>
      </c>
      <c r="P128" s="37">
        <f t="shared" si="121"/>
        <v>1.085</v>
      </c>
      <c r="Q128" s="41">
        <f t="shared" si="128"/>
        <v>1.045</v>
      </c>
      <c r="R128" s="37">
        <f t="shared" si="129"/>
        <v>1.04</v>
      </c>
      <c r="S128" s="41">
        <f t="shared" si="130"/>
        <v>1.035</v>
      </c>
      <c r="T128" s="37">
        <f t="shared" si="131"/>
        <v>1.03</v>
      </c>
      <c r="U128" s="41">
        <f t="shared" si="131"/>
        <v>1.03</v>
      </c>
      <c r="V128" s="37">
        <f t="shared" si="131"/>
        <v>1.03</v>
      </c>
      <c r="W128" s="41">
        <f t="shared" si="131"/>
        <v>1.03</v>
      </c>
      <c r="X128" s="37">
        <f t="shared" si="131"/>
        <v>1.03</v>
      </c>
      <c r="Y128" s="115">
        <f>1+(0.03)</f>
        <v>1.03</v>
      </c>
      <c r="Z128" s="115">
        <f aca="true" t="shared" si="132" ref="Z128:AA131">1+(0.03)</f>
        <v>1.03</v>
      </c>
      <c r="AA128" s="115">
        <f t="shared" si="132"/>
        <v>1.03</v>
      </c>
    </row>
    <row r="129" spans="1:27" ht="12.75">
      <c r="A129" s="14" t="s">
        <v>135</v>
      </c>
      <c r="B129" s="59">
        <f>+Gastos!G129</f>
        <v>0</v>
      </c>
      <c r="C129" s="59">
        <f t="shared" si="127"/>
        <v>0</v>
      </c>
      <c r="D129" s="232">
        <f t="shared" si="127"/>
        <v>0</v>
      </c>
      <c r="E129" s="59">
        <f t="shared" si="127"/>
        <v>0</v>
      </c>
      <c r="F129" s="232">
        <f t="shared" si="127"/>
        <v>0</v>
      </c>
      <c r="G129" s="59">
        <f t="shared" si="127"/>
        <v>0</v>
      </c>
      <c r="H129" s="232">
        <f t="shared" si="127"/>
        <v>0</v>
      </c>
      <c r="I129" s="59">
        <f t="shared" si="127"/>
        <v>0</v>
      </c>
      <c r="J129" s="232">
        <f t="shared" si="127"/>
        <v>0</v>
      </c>
      <c r="K129" s="59">
        <f t="shared" si="127"/>
        <v>0</v>
      </c>
      <c r="L129" s="59">
        <f t="shared" si="127"/>
        <v>0</v>
      </c>
      <c r="M129" s="59">
        <f t="shared" si="127"/>
        <v>0</v>
      </c>
      <c r="N129" s="59">
        <f t="shared" si="127"/>
        <v>0</v>
      </c>
      <c r="P129" s="37">
        <f t="shared" si="121"/>
        <v>1.085</v>
      </c>
      <c r="Q129" s="41">
        <f t="shared" si="128"/>
        <v>1.045</v>
      </c>
      <c r="R129" s="37">
        <f t="shared" si="129"/>
        <v>1.04</v>
      </c>
      <c r="S129" s="41">
        <f t="shared" si="130"/>
        <v>1.035</v>
      </c>
      <c r="T129" s="37">
        <f t="shared" si="131"/>
        <v>1.03</v>
      </c>
      <c r="U129" s="41">
        <f t="shared" si="131"/>
        <v>1.03</v>
      </c>
      <c r="V129" s="37">
        <f t="shared" si="131"/>
        <v>1.03</v>
      </c>
      <c r="W129" s="41">
        <f t="shared" si="131"/>
        <v>1.03</v>
      </c>
      <c r="X129" s="37">
        <f t="shared" si="131"/>
        <v>1.03</v>
      </c>
      <c r="Y129" s="115">
        <f>1+(0.03)</f>
        <v>1.03</v>
      </c>
      <c r="Z129" s="115">
        <f t="shared" si="132"/>
        <v>1.03</v>
      </c>
      <c r="AA129" s="115">
        <f t="shared" si="132"/>
        <v>1.03</v>
      </c>
    </row>
    <row r="130" spans="1:27" ht="12.75">
      <c r="A130" s="14" t="s">
        <v>137</v>
      </c>
      <c r="B130" s="59">
        <f>+Gastos!G130</f>
        <v>0</v>
      </c>
      <c r="C130" s="59">
        <f t="shared" si="127"/>
        <v>0</v>
      </c>
      <c r="D130" s="232">
        <f t="shared" si="127"/>
        <v>0</v>
      </c>
      <c r="E130" s="59">
        <f t="shared" si="127"/>
        <v>0</v>
      </c>
      <c r="F130" s="232">
        <f t="shared" si="127"/>
        <v>0</v>
      </c>
      <c r="G130" s="59">
        <f t="shared" si="127"/>
        <v>0</v>
      </c>
      <c r="H130" s="232">
        <f t="shared" si="127"/>
        <v>0</v>
      </c>
      <c r="I130" s="59">
        <f t="shared" si="127"/>
        <v>0</v>
      </c>
      <c r="J130" s="232">
        <f t="shared" si="127"/>
        <v>0</v>
      </c>
      <c r="K130" s="59">
        <f t="shared" si="127"/>
        <v>0</v>
      </c>
      <c r="L130" s="59">
        <f t="shared" si="127"/>
        <v>0</v>
      </c>
      <c r="M130" s="59">
        <f t="shared" si="127"/>
        <v>0</v>
      </c>
      <c r="N130" s="59">
        <f t="shared" si="127"/>
        <v>0</v>
      </c>
      <c r="P130" s="37">
        <f t="shared" si="121"/>
        <v>1.085</v>
      </c>
      <c r="Q130" s="41">
        <f t="shared" si="128"/>
        <v>1.045</v>
      </c>
      <c r="R130" s="37">
        <f t="shared" si="129"/>
        <v>1.04</v>
      </c>
      <c r="S130" s="41">
        <f t="shared" si="130"/>
        <v>1.035</v>
      </c>
      <c r="T130" s="37">
        <f t="shared" si="131"/>
        <v>1.03</v>
      </c>
      <c r="U130" s="41">
        <f t="shared" si="131"/>
        <v>1.03</v>
      </c>
      <c r="V130" s="37">
        <f t="shared" si="131"/>
        <v>1.03</v>
      </c>
      <c r="W130" s="41">
        <f t="shared" si="131"/>
        <v>1.03</v>
      </c>
      <c r="X130" s="37">
        <f t="shared" si="131"/>
        <v>1.03</v>
      </c>
      <c r="Y130" s="115">
        <f>1+(0.03)</f>
        <v>1.03</v>
      </c>
      <c r="Z130" s="115">
        <f t="shared" si="132"/>
        <v>1.03</v>
      </c>
      <c r="AA130" s="115">
        <f t="shared" si="132"/>
        <v>1.03</v>
      </c>
    </row>
    <row r="131" spans="1:27" ht="12.75">
      <c r="A131" s="14" t="s">
        <v>138</v>
      </c>
      <c r="B131" s="59">
        <f>+Gastos!G131</f>
        <v>0</v>
      </c>
      <c r="C131" s="59">
        <f t="shared" si="127"/>
        <v>0</v>
      </c>
      <c r="D131" s="232">
        <f t="shared" si="127"/>
        <v>0</v>
      </c>
      <c r="E131" s="59">
        <f t="shared" si="127"/>
        <v>0</v>
      </c>
      <c r="F131" s="232">
        <f t="shared" si="127"/>
        <v>0</v>
      </c>
      <c r="G131" s="59">
        <f t="shared" si="127"/>
        <v>0</v>
      </c>
      <c r="H131" s="232">
        <f t="shared" si="127"/>
        <v>0</v>
      </c>
      <c r="I131" s="59">
        <f t="shared" si="127"/>
        <v>0</v>
      </c>
      <c r="J131" s="232">
        <f t="shared" si="127"/>
        <v>0</v>
      </c>
      <c r="K131" s="59">
        <f t="shared" si="127"/>
        <v>0</v>
      </c>
      <c r="L131" s="59">
        <f t="shared" si="127"/>
        <v>0</v>
      </c>
      <c r="M131" s="59">
        <f t="shared" si="127"/>
        <v>0</v>
      </c>
      <c r="N131" s="59">
        <f t="shared" si="127"/>
        <v>0</v>
      </c>
      <c r="P131" s="37">
        <f t="shared" si="121"/>
        <v>1.085</v>
      </c>
      <c r="Q131" s="41">
        <f t="shared" si="128"/>
        <v>1.045</v>
      </c>
      <c r="R131" s="37">
        <f t="shared" si="129"/>
        <v>1.04</v>
      </c>
      <c r="S131" s="41">
        <f t="shared" si="130"/>
        <v>1.035</v>
      </c>
      <c r="T131" s="37">
        <f t="shared" si="131"/>
        <v>1.03</v>
      </c>
      <c r="U131" s="41">
        <f t="shared" si="131"/>
        <v>1.03</v>
      </c>
      <c r="V131" s="37">
        <f t="shared" si="131"/>
        <v>1.03</v>
      </c>
      <c r="W131" s="41">
        <f t="shared" si="131"/>
        <v>1.03</v>
      </c>
      <c r="X131" s="37">
        <f t="shared" si="131"/>
        <v>1.03</v>
      </c>
      <c r="Y131" s="115">
        <f>1+(0.03)</f>
        <v>1.03</v>
      </c>
      <c r="Z131" s="115">
        <f t="shared" si="132"/>
        <v>1.03</v>
      </c>
      <c r="AA131" s="115">
        <f t="shared" si="132"/>
        <v>1.03</v>
      </c>
    </row>
    <row r="132" spans="1:27" ht="12.75">
      <c r="A132" s="126" t="s">
        <v>145</v>
      </c>
      <c r="B132" s="92">
        <f>SUM(B133:B146)</f>
        <v>0</v>
      </c>
      <c r="C132" s="92">
        <f>SUM(C133:C146)</f>
        <v>0</v>
      </c>
      <c r="D132" s="142">
        <f aca="true" t="shared" si="133" ref="D132:L132">SUM(D133:D146)</f>
        <v>0</v>
      </c>
      <c r="E132" s="92">
        <f t="shared" si="133"/>
        <v>0</v>
      </c>
      <c r="F132" s="142">
        <f t="shared" si="133"/>
        <v>0</v>
      </c>
      <c r="G132" s="92">
        <f t="shared" si="133"/>
        <v>0</v>
      </c>
      <c r="H132" s="142">
        <f t="shared" si="133"/>
        <v>0</v>
      </c>
      <c r="I132" s="92">
        <f t="shared" si="133"/>
        <v>0</v>
      </c>
      <c r="J132" s="142">
        <f t="shared" si="133"/>
        <v>0</v>
      </c>
      <c r="K132" s="92">
        <f t="shared" si="133"/>
        <v>0</v>
      </c>
      <c r="L132" s="92">
        <f t="shared" si="133"/>
        <v>0</v>
      </c>
      <c r="M132" s="92">
        <f>SUM(M133:M146)</f>
        <v>0</v>
      </c>
      <c r="N132" s="92">
        <f>SUM(N133:N146)</f>
        <v>0</v>
      </c>
      <c r="P132" s="191"/>
      <c r="Q132" s="202"/>
      <c r="R132" s="191"/>
      <c r="S132" s="202"/>
      <c r="T132" s="191"/>
      <c r="U132" s="202"/>
      <c r="V132" s="191"/>
      <c r="W132" s="202"/>
      <c r="X132" s="191"/>
      <c r="Y132" s="264"/>
      <c r="Z132" s="264"/>
      <c r="AA132" s="264"/>
    </row>
    <row r="133" spans="1:27" ht="12.75">
      <c r="A133" s="14" t="s">
        <v>130</v>
      </c>
      <c r="B133" s="59">
        <f>+Gastos!G133</f>
        <v>0</v>
      </c>
      <c r="C133" s="59">
        <f aca="true" t="shared" si="134" ref="C133:C146">B133*P133</f>
        <v>0</v>
      </c>
      <c r="D133" s="232">
        <f aca="true" t="shared" si="135" ref="D133:D146">C133*Q133</f>
        <v>0</v>
      </c>
      <c r="E133" s="59">
        <f aca="true" t="shared" si="136" ref="E133:E146">D133*R133</f>
        <v>0</v>
      </c>
      <c r="F133" s="232">
        <f aca="true" t="shared" si="137" ref="F133:F146">E133*S133</f>
        <v>0</v>
      </c>
      <c r="G133" s="59">
        <f aca="true" t="shared" si="138" ref="G133:G146">F133*T133</f>
        <v>0</v>
      </c>
      <c r="H133" s="232">
        <f aca="true" t="shared" si="139" ref="H133:H146">G133*U133</f>
        <v>0</v>
      </c>
      <c r="I133" s="59">
        <f aca="true" t="shared" si="140" ref="I133:I146">H133*V133</f>
        <v>0</v>
      </c>
      <c r="J133" s="232">
        <f aca="true" t="shared" si="141" ref="J133:J146">I133*W133</f>
        <v>0</v>
      </c>
      <c r="K133" s="59">
        <f aca="true" t="shared" si="142" ref="K133:K146">J133*X133</f>
        <v>0</v>
      </c>
      <c r="L133" s="59">
        <f aca="true" t="shared" si="143" ref="L133:L146">K133*Y133</f>
        <v>0</v>
      </c>
      <c r="M133" s="59">
        <f aca="true" t="shared" si="144" ref="M133:M146">L133*Z133</f>
        <v>0</v>
      </c>
      <c r="N133" s="59">
        <f aca="true" t="shared" si="145" ref="N133:N146">M133*AA133</f>
        <v>0</v>
      </c>
      <c r="P133" s="37">
        <f aca="true" t="shared" si="146" ref="P133:P146">1+(0.06+0.025)</f>
        <v>1.085</v>
      </c>
      <c r="Q133" s="41">
        <f aca="true" t="shared" si="147" ref="Q133:Q146">1+(0.045)</f>
        <v>1.045</v>
      </c>
      <c r="R133" s="37">
        <f aca="true" t="shared" si="148" ref="R133:R146">1+(0.04)</f>
        <v>1.04</v>
      </c>
      <c r="S133" s="41">
        <f aca="true" t="shared" si="149" ref="S133:S146">1+(0.035)</f>
        <v>1.035</v>
      </c>
      <c r="T133" s="37">
        <f aca="true" t="shared" si="150" ref="T133:AA146">1+(0.03)</f>
        <v>1.03</v>
      </c>
      <c r="U133" s="41">
        <f t="shared" si="150"/>
        <v>1.03</v>
      </c>
      <c r="V133" s="37">
        <f t="shared" si="150"/>
        <v>1.03</v>
      </c>
      <c r="W133" s="41">
        <f t="shared" si="150"/>
        <v>1.03</v>
      </c>
      <c r="X133" s="37">
        <f t="shared" si="150"/>
        <v>1.03</v>
      </c>
      <c r="Y133" s="115">
        <f t="shared" si="150"/>
        <v>1.03</v>
      </c>
      <c r="Z133" s="115">
        <f t="shared" si="150"/>
        <v>1.03</v>
      </c>
      <c r="AA133" s="115">
        <f t="shared" si="150"/>
        <v>1.03</v>
      </c>
    </row>
    <row r="134" spans="1:27" ht="12.75">
      <c r="A134" s="14" t="s">
        <v>131</v>
      </c>
      <c r="B134" s="59">
        <f>+Gastos!G134</f>
        <v>0</v>
      </c>
      <c r="C134" s="59">
        <f t="shared" si="134"/>
        <v>0</v>
      </c>
      <c r="D134" s="232">
        <f t="shared" si="135"/>
        <v>0</v>
      </c>
      <c r="E134" s="59">
        <f t="shared" si="136"/>
        <v>0</v>
      </c>
      <c r="F134" s="232">
        <f t="shared" si="137"/>
        <v>0</v>
      </c>
      <c r="G134" s="59">
        <f t="shared" si="138"/>
        <v>0</v>
      </c>
      <c r="H134" s="232">
        <f t="shared" si="139"/>
        <v>0</v>
      </c>
      <c r="I134" s="59">
        <f t="shared" si="140"/>
        <v>0</v>
      </c>
      <c r="J134" s="232">
        <f t="shared" si="141"/>
        <v>0</v>
      </c>
      <c r="K134" s="59">
        <f t="shared" si="142"/>
        <v>0</v>
      </c>
      <c r="L134" s="59">
        <f t="shared" si="143"/>
        <v>0</v>
      </c>
      <c r="M134" s="59">
        <f t="shared" si="144"/>
        <v>0</v>
      </c>
      <c r="N134" s="59">
        <f t="shared" si="145"/>
        <v>0</v>
      </c>
      <c r="P134" s="37">
        <f t="shared" si="146"/>
        <v>1.085</v>
      </c>
      <c r="Q134" s="41">
        <f t="shared" si="147"/>
        <v>1.045</v>
      </c>
      <c r="R134" s="37">
        <f t="shared" si="148"/>
        <v>1.04</v>
      </c>
      <c r="S134" s="41">
        <f t="shared" si="149"/>
        <v>1.035</v>
      </c>
      <c r="T134" s="37">
        <f t="shared" si="150"/>
        <v>1.03</v>
      </c>
      <c r="U134" s="41">
        <f t="shared" si="150"/>
        <v>1.03</v>
      </c>
      <c r="V134" s="37">
        <f t="shared" si="150"/>
        <v>1.03</v>
      </c>
      <c r="W134" s="41">
        <f t="shared" si="150"/>
        <v>1.03</v>
      </c>
      <c r="X134" s="37">
        <f t="shared" si="150"/>
        <v>1.03</v>
      </c>
      <c r="Y134" s="115">
        <f t="shared" si="150"/>
        <v>1.03</v>
      </c>
      <c r="Z134" s="115">
        <f t="shared" si="150"/>
        <v>1.03</v>
      </c>
      <c r="AA134" s="115">
        <f t="shared" si="150"/>
        <v>1.03</v>
      </c>
    </row>
    <row r="135" spans="1:27" ht="12.75">
      <c r="A135" s="14" t="s">
        <v>132</v>
      </c>
      <c r="B135" s="59">
        <f>+Gastos!G135</f>
        <v>0</v>
      </c>
      <c r="C135" s="59">
        <f t="shared" si="134"/>
        <v>0</v>
      </c>
      <c r="D135" s="232">
        <f t="shared" si="135"/>
        <v>0</v>
      </c>
      <c r="E135" s="59">
        <f t="shared" si="136"/>
        <v>0</v>
      </c>
      <c r="F135" s="232">
        <f t="shared" si="137"/>
        <v>0</v>
      </c>
      <c r="G135" s="59">
        <f t="shared" si="138"/>
        <v>0</v>
      </c>
      <c r="H135" s="232">
        <f t="shared" si="139"/>
        <v>0</v>
      </c>
      <c r="I135" s="59">
        <f t="shared" si="140"/>
        <v>0</v>
      </c>
      <c r="J135" s="232">
        <f t="shared" si="141"/>
        <v>0</v>
      </c>
      <c r="K135" s="59">
        <f t="shared" si="142"/>
        <v>0</v>
      </c>
      <c r="L135" s="59">
        <f t="shared" si="143"/>
        <v>0</v>
      </c>
      <c r="M135" s="59">
        <f t="shared" si="144"/>
        <v>0</v>
      </c>
      <c r="N135" s="59">
        <f t="shared" si="145"/>
        <v>0</v>
      </c>
      <c r="P135" s="37">
        <f t="shared" si="146"/>
        <v>1.085</v>
      </c>
      <c r="Q135" s="41">
        <f t="shared" si="147"/>
        <v>1.045</v>
      </c>
      <c r="R135" s="37">
        <f t="shared" si="148"/>
        <v>1.04</v>
      </c>
      <c r="S135" s="41">
        <f t="shared" si="149"/>
        <v>1.035</v>
      </c>
      <c r="T135" s="37">
        <f t="shared" si="150"/>
        <v>1.03</v>
      </c>
      <c r="U135" s="41">
        <f t="shared" si="150"/>
        <v>1.03</v>
      </c>
      <c r="V135" s="37">
        <f t="shared" si="150"/>
        <v>1.03</v>
      </c>
      <c r="W135" s="41">
        <f t="shared" si="150"/>
        <v>1.03</v>
      </c>
      <c r="X135" s="37">
        <f t="shared" si="150"/>
        <v>1.03</v>
      </c>
      <c r="Y135" s="115">
        <f t="shared" si="150"/>
        <v>1.03</v>
      </c>
      <c r="Z135" s="115">
        <f t="shared" si="150"/>
        <v>1.03</v>
      </c>
      <c r="AA135" s="115">
        <f t="shared" si="150"/>
        <v>1.03</v>
      </c>
    </row>
    <row r="136" spans="1:27" ht="12.75">
      <c r="A136" s="14" t="s">
        <v>133</v>
      </c>
      <c r="B136" s="59">
        <f>+Gastos!G136</f>
        <v>0</v>
      </c>
      <c r="C136" s="59">
        <f t="shared" si="134"/>
        <v>0</v>
      </c>
      <c r="D136" s="232">
        <f t="shared" si="135"/>
        <v>0</v>
      </c>
      <c r="E136" s="59">
        <f t="shared" si="136"/>
        <v>0</v>
      </c>
      <c r="F136" s="232">
        <f t="shared" si="137"/>
        <v>0</v>
      </c>
      <c r="G136" s="59">
        <f t="shared" si="138"/>
        <v>0</v>
      </c>
      <c r="H136" s="232">
        <f t="shared" si="139"/>
        <v>0</v>
      </c>
      <c r="I136" s="59">
        <f t="shared" si="140"/>
        <v>0</v>
      </c>
      <c r="J136" s="232">
        <f t="shared" si="141"/>
        <v>0</v>
      </c>
      <c r="K136" s="59">
        <f t="shared" si="142"/>
        <v>0</v>
      </c>
      <c r="L136" s="59">
        <f t="shared" si="143"/>
        <v>0</v>
      </c>
      <c r="M136" s="59">
        <f t="shared" si="144"/>
        <v>0</v>
      </c>
      <c r="N136" s="59">
        <f t="shared" si="145"/>
        <v>0</v>
      </c>
      <c r="P136" s="37">
        <f t="shared" si="146"/>
        <v>1.085</v>
      </c>
      <c r="Q136" s="41">
        <f t="shared" si="147"/>
        <v>1.045</v>
      </c>
      <c r="R136" s="37">
        <f t="shared" si="148"/>
        <v>1.04</v>
      </c>
      <c r="S136" s="41">
        <f t="shared" si="149"/>
        <v>1.035</v>
      </c>
      <c r="T136" s="37">
        <f t="shared" si="150"/>
        <v>1.03</v>
      </c>
      <c r="U136" s="41">
        <f t="shared" si="150"/>
        <v>1.03</v>
      </c>
      <c r="V136" s="37">
        <f t="shared" si="150"/>
        <v>1.03</v>
      </c>
      <c r="W136" s="41">
        <f t="shared" si="150"/>
        <v>1.03</v>
      </c>
      <c r="X136" s="37">
        <f t="shared" si="150"/>
        <v>1.03</v>
      </c>
      <c r="Y136" s="115">
        <f t="shared" si="150"/>
        <v>1.03</v>
      </c>
      <c r="Z136" s="115">
        <f t="shared" si="150"/>
        <v>1.03</v>
      </c>
      <c r="AA136" s="115">
        <f t="shared" si="150"/>
        <v>1.03</v>
      </c>
    </row>
    <row r="137" spans="1:27" ht="12.75">
      <c r="A137" s="14" t="s">
        <v>134</v>
      </c>
      <c r="B137" s="59">
        <f>+Gastos!G137</f>
        <v>0</v>
      </c>
      <c r="C137" s="59">
        <f t="shared" si="134"/>
        <v>0</v>
      </c>
      <c r="D137" s="232">
        <f t="shared" si="135"/>
        <v>0</v>
      </c>
      <c r="E137" s="59">
        <f t="shared" si="136"/>
        <v>0</v>
      </c>
      <c r="F137" s="232">
        <f t="shared" si="137"/>
        <v>0</v>
      </c>
      <c r="G137" s="59">
        <f t="shared" si="138"/>
        <v>0</v>
      </c>
      <c r="H137" s="232">
        <f t="shared" si="139"/>
        <v>0</v>
      </c>
      <c r="I137" s="59">
        <f t="shared" si="140"/>
        <v>0</v>
      </c>
      <c r="J137" s="232">
        <f t="shared" si="141"/>
        <v>0</v>
      </c>
      <c r="K137" s="59">
        <f t="shared" si="142"/>
        <v>0</v>
      </c>
      <c r="L137" s="59">
        <f t="shared" si="143"/>
        <v>0</v>
      </c>
      <c r="M137" s="59">
        <f t="shared" si="144"/>
        <v>0</v>
      </c>
      <c r="N137" s="59">
        <f t="shared" si="145"/>
        <v>0</v>
      </c>
      <c r="P137" s="37">
        <f t="shared" si="146"/>
        <v>1.085</v>
      </c>
      <c r="Q137" s="41">
        <f t="shared" si="147"/>
        <v>1.045</v>
      </c>
      <c r="R137" s="37">
        <f t="shared" si="148"/>
        <v>1.04</v>
      </c>
      <c r="S137" s="41">
        <f t="shared" si="149"/>
        <v>1.035</v>
      </c>
      <c r="T137" s="37">
        <f t="shared" si="150"/>
        <v>1.03</v>
      </c>
      <c r="U137" s="41">
        <f t="shared" si="150"/>
        <v>1.03</v>
      </c>
      <c r="V137" s="37">
        <f t="shared" si="150"/>
        <v>1.03</v>
      </c>
      <c r="W137" s="41">
        <f t="shared" si="150"/>
        <v>1.03</v>
      </c>
      <c r="X137" s="37">
        <f t="shared" si="150"/>
        <v>1.03</v>
      </c>
      <c r="Y137" s="115">
        <f t="shared" si="150"/>
        <v>1.03</v>
      </c>
      <c r="Z137" s="115">
        <f t="shared" si="150"/>
        <v>1.03</v>
      </c>
      <c r="AA137" s="115">
        <f t="shared" si="150"/>
        <v>1.03</v>
      </c>
    </row>
    <row r="138" spans="1:27" ht="12.75">
      <c r="A138" s="14" t="s">
        <v>135</v>
      </c>
      <c r="B138" s="59">
        <f>+Gastos!G138</f>
        <v>0</v>
      </c>
      <c r="C138" s="59">
        <f t="shared" si="134"/>
        <v>0</v>
      </c>
      <c r="D138" s="232">
        <f t="shared" si="135"/>
        <v>0</v>
      </c>
      <c r="E138" s="59">
        <f t="shared" si="136"/>
        <v>0</v>
      </c>
      <c r="F138" s="232">
        <f t="shared" si="137"/>
        <v>0</v>
      </c>
      <c r="G138" s="59">
        <f t="shared" si="138"/>
        <v>0</v>
      </c>
      <c r="H138" s="232">
        <f t="shared" si="139"/>
        <v>0</v>
      </c>
      <c r="I138" s="59">
        <f t="shared" si="140"/>
        <v>0</v>
      </c>
      <c r="J138" s="232">
        <f t="shared" si="141"/>
        <v>0</v>
      </c>
      <c r="K138" s="59">
        <f t="shared" si="142"/>
        <v>0</v>
      </c>
      <c r="L138" s="59">
        <f t="shared" si="143"/>
        <v>0</v>
      </c>
      <c r="M138" s="59">
        <f t="shared" si="144"/>
        <v>0</v>
      </c>
      <c r="N138" s="59">
        <f t="shared" si="145"/>
        <v>0</v>
      </c>
      <c r="P138" s="37">
        <f t="shared" si="146"/>
        <v>1.085</v>
      </c>
      <c r="Q138" s="41">
        <f t="shared" si="147"/>
        <v>1.045</v>
      </c>
      <c r="R138" s="37">
        <f t="shared" si="148"/>
        <v>1.04</v>
      </c>
      <c r="S138" s="41">
        <f t="shared" si="149"/>
        <v>1.035</v>
      </c>
      <c r="T138" s="37">
        <f t="shared" si="150"/>
        <v>1.03</v>
      </c>
      <c r="U138" s="41">
        <f t="shared" si="150"/>
        <v>1.03</v>
      </c>
      <c r="V138" s="37">
        <f t="shared" si="150"/>
        <v>1.03</v>
      </c>
      <c r="W138" s="41">
        <f t="shared" si="150"/>
        <v>1.03</v>
      </c>
      <c r="X138" s="37">
        <f t="shared" si="150"/>
        <v>1.03</v>
      </c>
      <c r="Y138" s="115">
        <f t="shared" si="150"/>
        <v>1.03</v>
      </c>
      <c r="Z138" s="115">
        <f t="shared" si="150"/>
        <v>1.03</v>
      </c>
      <c r="AA138" s="115">
        <f t="shared" si="150"/>
        <v>1.03</v>
      </c>
    </row>
    <row r="139" spans="1:27" ht="12.75">
      <c r="A139" s="14" t="s">
        <v>136</v>
      </c>
      <c r="B139" s="59">
        <f>+Gastos!G139</f>
        <v>0</v>
      </c>
      <c r="C139" s="59">
        <f t="shared" si="134"/>
        <v>0</v>
      </c>
      <c r="D139" s="232">
        <f t="shared" si="135"/>
        <v>0</v>
      </c>
      <c r="E139" s="59">
        <f t="shared" si="136"/>
        <v>0</v>
      </c>
      <c r="F139" s="232">
        <f t="shared" si="137"/>
        <v>0</v>
      </c>
      <c r="G139" s="59">
        <f t="shared" si="138"/>
        <v>0</v>
      </c>
      <c r="H139" s="232">
        <f t="shared" si="139"/>
        <v>0</v>
      </c>
      <c r="I139" s="59">
        <f t="shared" si="140"/>
        <v>0</v>
      </c>
      <c r="J139" s="232">
        <f t="shared" si="141"/>
        <v>0</v>
      </c>
      <c r="K139" s="59">
        <f t="shared" si="142"/>
        <v>0</v>
      </c>
      <c r="L139" s="59">
        <f t="shared" si="143"/>
        <v>0</v>
      </c>
      <c r="M139" s="59">
        <f t="shared" si="144"/>
        <v>0</v>
      </c>
      <c r="N139" s="59">
        <f t="shared" si="145"/>
        <v>0</v>
      </c>
      <c r="P139" s="37">
        <f t="shared" si="146"/>
        <v>1.085</v>
      </c>
      <c r="Q139" s="41">
        <f t="shared" si="147"/>
        <v>1.045</v>
      </c>
      <c r="R139" s="37">
        <f t="shared" si="148"/>
        <v>1.04</v>
      </c>
      <c r="S139" s="41">
        <f t="shared" si="149"/>
        <v>1.035</v>
      </c>
      <c r="T139" s="37">
        <f t="shared" si="150"/>
        <v>1.03</v>
      </c>
      <c r="U139" s="41">
        <f t="shared" si="150"/>
        <v>1.03</v>
      </c>
      <c r="V139" s="37">
        <f t="shared" si="150"/>
        <v>1.03</v>
      </c>
      <c r="W139" s="41">
        <f t="shared" si="150"/>
        <v>1.03</v>
      </c>
      <c r="X139" s="37">
        <f t="shared" si="150"/>
        <v>1.03</v>
      </c>
      <c r="Y139" s="115">
        <f t="shared" si="150"/>
        <v>1.03</v>
      </c>
      <c r="Z139" s="115">
        <f t="shared" si="150"/>
        <v>1.03</v>
      </c>
      <c r="AA139" s="115">
        <f t="shared" si="150"/>
        <v>1.03</v>
      </c>
    </row>
    <row r="140" spans="1:27" ht="12.75">
      <c r="A140" s="14" t="s">
        <v>137</v>
      </c>
      <c r="B140" s="59">
        <f>+Gastos!G140</f>
        <v>0</v>
      </c>
      <c r="C140" s="59">
        <f t="shared" si="134"/>
        <v>0</v>
      </c>
      <c r="D140" s="232">
        <f t="shared" si="135"/>
        <v>0</v>
      </c>
      <c r="E140" s="59">
        <f t="shared" si="136"/>
        <v>0</v>
      </c>
      <c r="F140" s="232">
        <f t="shared" si="137"/>
        <v>0</v>
      </c>
      <c r="G140" s="59">
        <f t="shared" si="138"/>
        <v>0</v>
      </c>
      <c r="H140" s="232">
        <f t="shared" si="139"/>
        <v>0</v>
      </c>
      <c r="I140" s="59">
        <f t="shared" si="140"/>
        <v>0</v>
      </c>
      <c r="J140" s="232">
        <f t="shared" si="141"/>
        <v>0</v>
      </c>
      <c r="K140" s="59">
        <f t="shared" si="142"/>
        <v>0</v>
      </c>
      <c r="L140" s="59">
        <f t="shared" si="143"/>
        <v>0</v>
      </c>
      <c r="M140" s="59">
        <f t="shared" si="144"/>
        <v>0</v>
      </c>
      <c r="N140" s="59">
        <f t="shared" si="145"/>
        <v>0</v>
      </c>
      <c r="P140" s="37">
        <f t="shared" si="146"/>
        <v>1.085</v>
      </c>
      <c r="Q140" s="41">
        <f t="shared" si="147"/>
        <v>1.045</v>
      </c>
      <c r="R140" s="37">
        <f t="shared" si="148"/>
        <v>1.04</v>
      </c>
      <c r="S140" s="41">
        <f t="shared" si="149"/>
        <v>1.035</v>
      </c>
      <c r="T140" s="37">
        <f t="shared" si="150"/>
        <v>1.03</v>
      </c>
      <c r="U140" s="41">
        <f t="shared" si="150"/>
        <v>1.03</v>
      </c>
      <c r="V140" s="37">
        <f t="shared" si="150"/>
        <v>1.03</v>
      </c>
      <c r="W140" s="41">
        <f t="shared" si="150"/>
        <v>1.03</v>
      </c>
      <c r="X140" s="37">
        <f t="shared" si="150"/>
        <v>1.03</v>
      </c>
      <c r="Y140" s="115">
        <f t="shared" si="150"/>
        <v>1.03</v>
      </c>
      <c r="Z140" s="115">
        <f t="shared" si="150"/>
        <v>1.03</v>
      </c>
      <c r="AA140" s="115">
        <f t="shared" si="150"/>
        <v>1.03</v>
      </c>
    </row>
    <row r="141" spans="1:27" ht="12.75">
      <c r="A141" s="14" t="s">
        <v>138</v>
      </c>
      <c r="B141" s="59">
        <f>+Gastos!G141</f>
        <v>0</v>
      </c>
      <c r="C141" s="59">
        <f t="shared" si="134"/>
        <v>0</v>
      </c>
      <c r="D141" s="232">
        <f t="shared" si="135"/>
        <v>0</v>
      </c>
      <c r="E141" s="59">
        <f t="shared" si="136"/>
        <v>0</v>
      </c>
      <c r="F141" s="232">
        <f t="shared" si="137"/>
        <v>0</v>
      </c>
      <c r="G141" s="59">
        <f t="shared" si="138"/>
        <v>0</v>
      </c>
      <c r="H141" s="232">
        <f t="shared" si="139"/>
        <v>0</v>
      </c>
      <c r="I141" s="59">
        <f t="shared" si="140"/>
        <v>0</v>
      </c>
      <c r="J141" s="232">
        <f t="shared" si="141"/>
        <v>0</v>
      </c>
      <c r="K141" s="59">
        <f t="shared" si="142"/>
        <v>0</v>
      </c>
      <c r="L141" s="59">
        <f t="shared" si="143"/>
        <v>0</v>
      </c>
      <c r="M141" s="59">
        <f t="shared" si="144"/>
        <v>0</v>
      </c>
      <c r="N141" s="59">
        <f t="shared" si="145"/>
        <v>0</v>
      </c>
      <c r="P141" s="37">
        <f t="shared" si="146"/>
        <v>1.085</v>
      </c>
      <c r="Q141" s="41">
        <f t="shared" si="147"/>
        <v>1.045</v>
      </c>
      <c r="R141" s="37">
        <f t="shared" si="148"/>
        <v>1.04</v>
      </c>
      <c r="S141" s="41">
        <f t="shared" si="149"/>
        <v>1.035</v>
      </c>
      <c r="T141" s="37">
        <f t="shared" si="150"/>
        <v>1.03</v>
      </c>
      <c r="U141" s="41">
        <f t="shared" si="150"/>
        <v>1.03</v>
      </c>
      <c r="V141" s="37">
        <f t="shared" si="150"/>
        <v>1.03</v>
      </c>
      <c r="W141" s="41">
        <f t="shared" si="150"/>
        <v>1.03</v>
      </c>
      <c r="X141" s="37">
        <f t="shared" si="150"/>
        <v>1.03</v>
      </c>
      <c r="Y141" s="115">
        <f t="shared" si="150"/>
        <v>1.03</v>
      </c>
      <c r="Z141" s="115">
        <f t="shared" si="150"/>
        <v>1.03</v>
      </c>
      <c r="AA141" s="115">
        <f t="shared" si="150"/>
        <v>1.03</v>
      </c>
    </row>
    <row r="142" spans="1:27" ht="12.75">
      <c r="A142" s="14" t="s">
        <v>139</v>
      </c>
      <c r="B142" s="59">
        <f>+Gastos!G142</f>
        <v>0</v>
      </c>
      <c r="C142" s="59">
        <f t="shared" si="134"/>
        <v>0</v>
      </c>
      <c r="D142" s="232">
        <f t="shared" si="135"/>
        <v>0</v>
      </c>
      <c r="E142" s="59">
        <f t="shared" si="136"/>
        <v>0</v>
      </c>
      <c r="F142" s="232">
        <f t="shared" si="137"/>
        <v>0</v>
      </c>
      <c r="G142" s="59">
        <f t="shared" si="138"/>
        <v>0</v>
      </c>
      <c r="H142" s="232">
        <f t="shared" si="139"/>
        <v>0</v>
      </c>
      <c r="I142" s="59">
        <f t="shared" si="140"/>
        <v>0</v>
      </c>
      <c r="J142" s="232">
        <f t="shared" si="141"/>
        <v>0</v>
      </c>
      <c r="K142" s="59">
        <f t="shared" si="142"/>
        <v>0</v>
      </c>
      <c r="L142" s="59">
        <f t="shared" si="143"/>
        <v>0</v>
      </c>
      <c r="M142" s="59">
        <f t="shared" si="144"/>
        <v>0</v>
      </c>
      <c r="N142" s="59">
        <f t="shared" si="145"/>
        <v>0</v>
      </c>
      <c r="P142" s="37">
        <f t="shared" si="146"/>
        <v>1.085</v>
      </c>
      <c r="Q142" s="41">
        <f t="shared" si="147"/>
        <v>1.045</v>
      </c>
      <c r="R142" s="37">
        <f t="shared" si="148"/>
        <v>1.04</v>
      </c>
      <c r="S142" s="41">
        <f t="shared" si="149"/>
        <v>1.035</v>
      </c>
      <c r="T142" s="37">
        <f t="shared" si="150"/>
        <v>1.03</v>
      </c>
      <c r="U142" s="41">
        <f t="shared" si="150"/>
        <v>1.03</v>
      </c>
      <c r="V142" s="37">
        <f t="shared" si="150"/>
        <v>1.03</v>
      </c>
      <c r="W142" s="41">
        <f t="shared" si="150"/>
        <v>1.03</v>
      </c>
      <c r="X142" s="37">
        <f t="shared" si="150"/>
        <v>1.03</v>
      </c>
      <c r="Y142" s="115">
        <f t="shared" si="150"/>
        <v>1.03</v>
      </c>
      <c r="Z142" s="115">
        <f t="shared" si="150"/>
        <v>1.03</v>
      </c>
      <c r="AA142" s="115">
        <f t="shared" si="150"/>
        <v>1.03</v>
      </c>
    </row>
    <row r="143" spans="1:27" ht="12.75">
      <c r="A143" s="14" t="s">
        <v>140</v>
      </c>
      <c r="B143" s="59">
        <f>+Gastos!G143</f>
        <v>0</v>
      </c>
      <c r="C143" s="59">
        <f t="shared" si="134"/>
        <v>0</v>
      </c>
      <c r="D143" s="232">
        <f t="shared" si="135"/>
        <v>0</v>
      </c>
      <c r="E143" s="59">
        <f t="shared" si="136"/>
        <v>0</v>
      </c>
      <c r="F143" s="232">
        <f t="shared" si="137"/>
        <v>0</v>
      </c>
      <c r="G143" s="59">
        <f t="shared" si="138"/>
        <v>0</v>
      </c>
      <c r="H143" s="232">
        <f t="shared" si="139"/>
        <v>0</v>
      </c>
      <c r="I143" s="59">
        <f t="shared" si="140"/>
        <v>0</v>
      </c>
      <c r="J143" s="232">
        <f t="shared" si="141"/>
        <v>0</v>
      </c>
      <c r="K143" s="59">
        <f t="shared" si="142"/>
        <v>0</v>
      </c>
      <c r="L143" s="59">
        <f t="shared" si="143"/>
        <v>0</v>
      </c>
      <c r="M143" s="59">
        <f t="shared" si="144"/>
        <v>0</v>
      </c>
      <c r="N143" s="59">
        <f t="shared" si="145"/>
        <v>0</v>
      </c>
      <c r="P143" s="37">
        <f t="shared" si="146"/>
        <v>1.085</v>
      </c>
      <c r="Q143" s="41">
        <f t="shared" si="147"/>
        <v>1.045</v>
      </c>
      <c r="R143" s="37">
        <f t="shared" si="148"/>
        <v>1.04</v>
      </c>
      <c r="S143" s="41">
        <f t="shared" si="149"/>
        <v>1.035</v>
      </c>
      <c r="T143" s="37">
        <f t="shared" si="150"/>
        <v>1.03</v>
      </c>
      <c r="U143" s="41">
        <f t="shared" si="150"/>
        <v>1.03</v>
      </c>
      <c r="V143" s="37">
        <f t="shared" si="150"/>
        <v>1.03</v>
      </c>
      <c r="W143" s="41">
        <f t="shared" si="150"/>
        <v>1.03</v>
      </c>
      <c r="X143" s="37">
        <f t="shared" si="150"/>
        <v>1.03</v>
      </c>
      <c r="Y143" s="115">
        <f t="shared" si="150"/>
        <v>1.03</v>
      </c>
      <c r="Z143" s="115">
        <f t="shared" si="150"/>
        <v>1.03</v>
      </c>
      <c r="AA143" s="115">
        <f t="shared" si="150"/>
        <v>1.03</v>
      </c>
    </row>
    <row r="144" spans="1:27" ht="12.75">
      <c r="A144" s="14" t="s">
        <v>141</v>
      </c>
      <c r="B144" s="59">
        <f>+Gastos!G144</f>
        <v>0</v>
      </c>
      <c r="C144" s="59">
        <f t="shared" si="134"/>
        <v>0</v>
      </c>
      <c r="D144" s="232">
        <f t="shared" si="135"/>
        <v>0</v>
      </c>
      <c r="E144" s="59">
        <f t="shared" si="136"/>
        <v>0</v>
      </c>
      <c r="F144" s="232">
        <f t="shared" si="137"/>
        <v>0</v>
      </c>
      <c r="G144" s="59">
        <f t="shared" si="138"/>
        <v>0</v>
      </c>
      <c r="H144" s="232">
        <f t="shared" si="139"/>
        <v>0</v>
      </c>
      <c r="I144" s="59">
        <f t="shared" si="140"/>
        <v>0</v>
      </c>
      <c r="J144" s="232">
        <f t="shared" si="141"/>
        <v>0</v>
      </c>
      <c r="K144" s="59">
        <f t="shared" si="142"/>
        <v>0</v>
      </c>
      <c r="L144" s="59">
        <f t="shared" si="143"/>
        <v>0</v>
      </c>
      <c r="M144" s="59">
        <f t="shared" si="144"/>
        <v>0</v>
      </c>
      <c r="N144" s="59">
        <f t="shared" si="145"/>
        <v>0</v>
      </c>
      <c r="P144" s="37">
        <f t="shared" si="146"/>
        <v>1.085</v>
      </c>
      <c r="Q144" s="41">
        <f t="shared" si="147"/>
        <v>1.045</v>
      </c>
      <c r="R144" s="37">
        <f t="shared" si="148"/>
        <v>1.04</v>
      </c>
      <c r="S144" s="41">
        <f t="shared" si="149"/>
        <v>1.035</v>
      </c>
      <c r="T144" s="37">
        <f t="shared" si="150"/>
        <v>1.03</v>
      </c>
      <c r="U144" s="41">
        <f t="shared" si="150"/>
        <v>1.03</v>
      </c>
      <c r="V144" s="37">
        <f t="shared" si="150"/>
        <v>1.03</v>
      </c>
      <c r="W144" s="41">
        <f t="shared" si="150"/>
        <v>1.03</v>
      </c>
      <c r="X144" s="37">
        <f t="shared" si="150"/>
        <v>1.03</v>
      </c>
      <c r="Y144" s="115">
        <f t="shared" si="150"/>
        <v>1.03</v>
      </c>
      <c r="Z144" s="115">
        <f t="shared" si="150"/>
        <v>1.03</v>
      </c>
      <c r="AA144" s="115">
        <f t="shared" si="150"/>
        <v>1.03</v>
      </c>
    </row>
    <row r="145" spans="1:27" ht="12.75">
      <c r="A145" s="14" t="s">
        <v>146</v>
      </c>
      <c r="B145" s="59">
        <f>+Gastos!G145</f>
        <v>0</v>
      </c>
      <c r="C145" s="59">
        <f t="shared" si="134"/>
        <v>0</v>
      </c>
      <c r="D145" s="232">
        <f t="shared" si="135"/>
        <v>0</v>
      </c>
      <c r="E145" s="59">
        <f t="shared" si="136"/>
        <v>0</v>
      </c>
      <c r="F145" s="232">
        <f t="shared" si="137"/>
        <v>0</v>
      </c>
      <c r="G145" s="59">
        <f t="shared" si="138"/>
        <v>0</v>
      </c>
      <c r="H145" s="232">
        <f t="shared" si="139"/>
        <v>0</v>
      </c>
      <c r="I145" s="59">
        <f t="shared" si="140"/>
        <v>0</v>
      </c>
      <c r="J145" s="232">
        <f t="shared" si="141"/>
        <v>0</v>
      </c>
      <c r="K145" s="59">
        <f t="shared" si="142"/>
        <v>0</v>
      </c>
      <c r="L145" s="59">
        <f t="shared" si="143"/>
        <v>0</v>
      </c>
      <c r="M145" s="59">
        <f t="shared" si="144"/>
        <v>0</v>
      </c>
      <c r="N145" s="59">
        <f t="shared" si="145"/>
        <v>0</v>
      </c>
      <c r="P145" s="37">
        <f t="shared" si="146"/>
        <v>1.085</v>
      </c>
      <c r="Q145" s="41">
        <f t="shared" si="147"/>
        <v>1.045</v>
      </c>
      <c r="R145" s="37">
        <f t="shared" si="148"/>
        <v>1.04</v>
      </c>
      <c r="S145" s="41">
        <f t="shared" si="149"/>
        <v>1.035</v>
      </c>
      <c r="T145" s="37">
        <f t="shared" si="150"/>
        <v>1.03</v>
      </c>
      <c r="U145" s="41">
        <f t="shared" si="150"/>
        <v>1.03</v>
      </c>
      <c r="V145" s="37">
        <f t="shared" si="150"/>
        <v>1.03</v>
      </c>
      <c r="W145" s="41">
        <f t="shared" si="150"/>
        <v>1.03</v>
      </c>
      <c r="X145" s="37">
        <f t="shared" si="150"/>
        <v>1.03</v>
      </c>
      <c r="Y145" s="115">
        <f t="shared" si="150"/>
        <v>1.03</v>
      </c>
      <c r="Z145" s="115">
        <f t="shared" si="150"/>
        <v>1.03</v>
      </c>
      <c r="AA145" s="115">
        <f t="shared" si="150"/>
        <v>1.03</v>
      </c>
    </row>
    <row r="146" spans="1:27" ht="12.75">
      <c r="A146" s="14" t="s">
        <v>148</v>
      </c>
      <c r="B146" s="59">
        <f>+Gastos!G146</f>
        <v>0</v>
      </c>
      <c r="C146" s="59">
        <f t="shared" si="134"/>
        <v>0</v>
      </c>
      <c r="D146" s="232">
        <f t="shared" si="135"/>
        <v>0</v>
      </c>
      <c r="E146" s="59">
        <f t="shared" si="136"/>
        <v>0</v>
      </c>
      <c r="F146" s="232">
        <f t="shared" si="137"/>
        <v>0</v>
      </c>
      <c r="G146" s="59">
        <f t="shared" si="138"/>
        <v>0</v>
      </c>
      <c r="H146" s="232">
        <f t="shared" si="139"/>
        <v>0</v>
      </c>
      <c r="I146" s="59">
        <f t="shared" si="140"/>
        <v>0</v>
      </c>
      <c r="J146" s="232">
        <f t="shared" si="141"/>
        <v>0</v>
      </c>
      <c r="K146" s="59">
        <f t="shared" si="142"/>
        <v>0</v>
      </c>
      <c r="L146" s="59">
        <f t="shared" si="143"/>
        <v>0</v>
      </c>
      <c r="M146" s="59">
        <f t="shared" si="144"/>
        <v>0</v>
      </c>
      <c r="N146" s="59">
        <f t="shared" si="145"/>
        <v>0</v>
      </c>
      <c r="P146" s="37">
        <f t="shared" si="146"/>
        <v>1.085</v>
      </c>
      <c r="Q146" s="41">
        <f t="shared" si="147"/>
        <v>1.045</v>
      </c>
      <c r="R146" s="37">
        <f t="shared" si="148"/>
        <v>1.04</v>
      </c>
      <c r="S146" s="41">
        <f t="shared" si="149"/>
        <v>1.035</v>
      </c>
      <c r="T146" s="37">
        <f t="shared" si="150"/>
        <v>1.03</v>
      </c>
      <c r="U146" s="41">
        <f t="shared" si="150"/>
        <v>1.03</v>
      </c>
      <c r="V146" s="37">
        <f t="shared" si="150"/>
        <v>1.03</v>
      </c>
      <c r="W146" s="41">
        <f t="shared" si="150"/>
        <v>1.03</v>
      </c>
      <c r="X146" s="37">
        <f t="shared" si="150"/>
        <v>1.03</v>
      </c>
      <c r="Y146" s="115">
        <f t="shared" si="150"/>
        <v>1.03</v>
      </c>
      <c r="Z146" s="115">
        <f t="shared" si="150"/>
        <v>1.03</v>
      </c>
      <c r="AA146" s="115">
        <f t="shared" si="150"/>
        <v>1.03</v>
      </c>
    </row>
    <row r="147" spans="1:27" ht="12.75">
      <c r="A147" s="125" t="s">
        <v>149</v>
      </c>
      <c r="B147" s="137">
        <f>B148+B162+B168</f>
        <v>72952432</v>
      </c>
      <c r="C147" s="137">
        <f>C148+C162+C168</f>
        <v>79153388.72</v>
      </c>
      <c r="D147" s="138">
        <f aca="true" t="shared" si="151" ref="D147:L147">D148+D162+D168</f>
        <v>94600308.82</v>
      </c>
      <c r="E147" s="137">
        <f t="shared" si="151"/>
        <v>98384321.1728</v>
      </c>
      <c r="F147" s="138">
        <f t="shared" si="151"/>
        <v>101827772.41384801</v>
      </c>
      <c r="G147" s="137">
        <f t="shared" si="151"/>
        <v>104882605.58626345</v>
      </c>
      <c r="H147" s="138">
        <f t="shared" si="151"/>
        <v>108029083.75385134</v>
      </c>
      <c r="I147" s="137">
        <f t="shared" si="151"/>
        <v>111269956.26646689</v>
      </c>
      <c r="J147" s="138">
        <f t="shared" si="151"/>
        <v>114608054.9544609</v>
      </c>
      <c r="K147" s="137">
        <f t="shared" si="151"/>
        <v>118046296.60309474</v>
      </c>
      <c r="L147" s="137">
        <f t="shared" si="151"/>
        <v>121587685.50118756</v>
      </c>
      <c r="M147" s="137">
        <f>M148+M162+M168</f>
        <v>125235316.0662232</v>
      </c>
      <c r="N147" s="137">
        <f>N148+N162+N168</f>
        <v>128992375.5482099</v>
      </c>
      <c r="P147" s="191"/>
      <c r="Q147" s="202"/>
      <c r="R147" s="191"/>
      <c r="S147" s="202"/>
      <c r="T147" s="191"/>
      <c r="U147" s="202"/>
      <c r="V147" s="191"/>
      <c r="W147" s="202"/>
      <c r="X147" s="191"/>
      <c r="Y147" s="264"/>
      <c r="Z147" s="264"/>
      <c r="AA147" s="264"/>
    </row>
    <row r="148" spans="1:27" ht="12.75">
      <c r="A148" s="126" t="s">
        <v>129</v>
      </c>
      <c r="B148" s="92">
        <f>SUM(B149:B161)</f>
        <v>72952432</v>
      </c>
      <c r="C148" s="92">
        <f>SUM(C149:C161)</f>
        <v>79153388.72</v>
      </c>
      <c r="D148" s="142">
        <f aca="true" t="shared" si="152" ref="D148:L148">SUM(D149:D161)</f>
        <v>94600308.82</v>
      </c>
      <c r="E148" s="92">
        <f t="shared" si="152"/>
        <v>98384321.1728</v>
      </c>
      <c r="F148" s="142">
        <f t="shared" si="152"/>
        <v>101827772.41384801</v>
      </c>
      <c r="G148" s="92">
        <f t="shared" si="152"/>
        <v>104882605.58626345</v>
      </c>
      <c r="H148" s="142">
        <f t="shared" si="152"/>
        <v>108029083.75385134</v>
      </c>
      <c r="I148" s="92">
        <f t="shared" si="152"/>
        <v>111269956.26646689</v>
      </c>
      <c r="J148" s="142">
        <f t="shared" si="152"/>
        <v>114608054.9544609</v>
      </c>
      <c r="K148" s="92">
        <f t="shared" si="152"/>
        <v>118046296.60309474</v>
      </c>
      <c r="L148" s="92">
        <f t="shared" si="152"/>
        <v>121587685.50118756</v>
      </c>
      <c r="M148" s="92">
        <f>SUM(M149:M161)</f>
        <v>125235316.0662232</v>
      </c>
      <c r="N148" s="92">
        <f>SUM(N149:N161)</f>
        <v>128992375.5482099</v>
      </c>
      <c r="P148" s="191"/>
      <c r="Q148" s="202"/>
      <c r="R148" s="191"/>
      <c r="S148" s="202"/>
      <c r="T148" s="191"/>
      <c r="U148" s="202"/>
      <c r="V148" s="191"/>
      <c r="W148" s="202"/>
      <c r="X148" s="191"/>
      <c r="Y148" s="264"/>
      <c r="Z148" s="264"/>
      <c r="AA148" s="264"/>
    </row>
    <row r="149" spans="1:27" ht="12.75">
      <c r="A149" s="14" t="s">
        <v>130</v>
      </c>
      <c r="B149" s="59">
        <f>+Gastos!G149</f>
        <v>0</v>
      </c>
      <c r="C149" s="59">
        <f aca="true" t="shared" si="153" ref="C149:N149">B149*P149</f>
        <v>0</v>
      </c>
      <c r="D149" s="232">
        <f t="shared" si="153"/>
        <v>0</v>
      </c>
      <c r="E149" s="59">
        <f t="shared" si="153"/>
        <v>0</v>
      </c>
      <c r="F149" s="232">
        <f t="shared" si="153"/>
        <v>0</v>
      </c>
      <c r="G149" s="59">
        <f t="shared" si="153"/>
        <v>0</v>
      </c>
      <c r="H149" s="232">
        <f t="shared" si="153"/>
        <v>0</v>
      </c>
      <c r="I149" s="59">
        <f t="shared" si="153"/>
        <v>0</v>
      </c>
      <c r="J149" s="232">
        <f t="shared" si="153"/>
        <v>0</v>
      </c>
      <c r="K149" s="59">
        <f t="shared" si="153"/>
        <v>0</v>
      </c>
      <c r="L149" s="59">
        <f t="shared" si="153"/>
        <v>0</v>
      </c>
      <c r="M149" s="59">
        <f t="shared" si="153"/>
        <v>0</v>
      </c>
      <c r="N149" s="59">
        <f t="shared" si="153"/>
        <v>0</v>
      </c>
      <c r="P149" s="37">
        <f aca="true" t="shared" si="154" ref="P149:P161">1+(0.06+0.025)</f>
        <v>1.085</v>
      </c>
      <c r="Q149" s="41">
        <f aca="true" t="shared" si="155" ref="Q149:Q161">1+(0.045)</f>
        <v>1.045</v>
      </c>
      <c r="R149" s="37">
        <f aca="true" t="shared" si="156" ref="R149:R161">1+(0.04)</f>
        <v>1.04</v>
      </c>
      <c r="S149" s="41">
        <f aca="true" t="shared" si="157" ref="S149:S161">1+(0.035)</f>
        <v>1.035</v>
      </c>
      <c r="T149" s="37">
        <f aca="true" t="shared" si="158" ref="T149:AA161">1+(0.03)</f>
        <v>1.03</v>
      </c>
      <c r="U149" s="41">
        <f t="shared" si="158"/>
        <v>1.03</v>
      </c>
      <c r="V149" s="37">
        <f t="shared" si="158"/>
        <v>1.03</v>
      </c>
      <c r="W149" s="41">
        <f t="shared" si="158"/>
        <v>1.03</v>
      </c>
      <c r="X149" s="37">
        <f t="shared" si="158"/>
        <v>1.03</v>
      </c>
      <c r="Y149" s="115">
        <f t="shared" si="158"/>
        <v>1.03</v>
      </c>
      <c r="Z149" s="115">
        <f t="shared" si="158"/>
        <v>1.03</v>
      </c>
      <c r="AA149" s="115">
        <f t="shared" si="158"/>
        <v>1.03</v>
      </c>
    </row>
    <row r="150" spans="1:27" ht="12.75">
      <c r="A150" s="14" t="s">
        <v>131</v>
      </c>
      <c r="B150" s="59">
        <f>+Gastos!G150</f>
        <v>0</v>
      </c>
      <c r="C150" s="59">
        <f aca="true" t="shared" si="159" ref="C150:C161">B150*P150</f>
        <v>0</v>
      </c>
      <c r="D150" s="232">
        <f>+ANEXO!D76</f>
        <v>51631162</v>
      </c>
      <c r="E150" s="59">
        <f aca="true" t="shared" si="160" ref="E150:E161">D150*R150</f>
        <v>53696408.480000004</v>
      </c>
      <c r="F150" s="232">
        <f aca="true" t="shared" si="161" ref="F150:F161">E150*S150</f>
        <v>55575782.7768</v>
      </c>
      <c r="G150" s="59">
        <f aca="true" t="shared" si="162" ref="G150:G161">F150*T150</f>
        <v>57243056.260104</v>
      </c>
      <c r="H150" s="232">
        <f aca="true" t="shared" si="163" ref="H150:H161">G150*U150</f>
        <v>58960347.94790712</v>
      </c>
      <c r="I150" s="59">
        <f aca="true" t="shared" si="164" ref="I150:I161">H150*V150</f>
        <v>60729158.386344336</v>
      </c>
      <c r="J150" s="232">
        <f aca="true" t="shared" si="165" ref="J150:J161">I150*W150</f>
        <v>62551033.13793467</v>
      </c>
      <c r="K150" s="59">
        <f aca="true" t="shared" si="166" ref="K150:K161">J150*X150</f>
        <v>64427564.13207271</v>
      </c>
      <c r="L150" s="59">
        <f aca="true" t="shared" si="167" ref="L150:L161">K150*Y150</f>
        <v>66360391.05603489</v>
      </c>
      <c r="M150" s="59">
        <f aca="true" t="shared" si="168" ref="M150:M161">L150*Z150</f>
        <v>68351202.78771594</v>
      </c>
      <c r="N150" s="59">
        <f aca="true" t="shared" si="169" ref="N150:N161">M150*AA150</f>
        <v>70401738.87134743</v>
      </c>
      <c r="P150" s="37">
        <f t="shared" si="154"/>
        <v>1.085</v>
      </c>
      <c r="Q150" s="41">
        <f t="shared" si="155"/>
        <v>1.045</v>
      </c>
      <c r="R150" s="37">
        <f t="shared" si="156"/>
        <v>1.04</v>
      </c>
      <c r="S150" s="41">
        <f t="shared" si="157"/>
        <v>1.035</v>
      </c>
      <c r="T150" s="37">
        <f t="shared" si="158"/>
        <v>1.03</v>
      </c>
      <c r="U150" s="41">
        <f t="shared" si="158"/>
        <v>1.03</v>
      </c>
      <c r="V150" s="37">
        <f t="shared" si="158"/>
        <v>1.03</v>
      </c>
      <c r="W150" s="41">
        <f t="shared" si="158"/>
        <v>1.03</v>
      </c>
      <c r="X150" s="37">
        <f t="shared" si="158"/>
        <v>1.03</v>
      </c>
      <c r="Y150" s="115">
        <f t="shared" si="158"/>
        <v>1.03</v>
      </c>
      <c r="Z150" s="115">
        <f t="shared" si="158"/>
        <v>1.03</v>
      </c>
      <c r="AA150" s="115">
        <f t="shared" si="158"/>
        <v>1.03</v>
      </c>
    </row>
    <row r="151" spans="1:27" ht="12.75">
      <c r="A151" s="14" t="s">
        <v>132</v>
      </c>
      <c r="B151" s="59">
        <f>+Gastos!G151</f>
        <v>0</v>
      </c>
      <c r="C151" s="59">
        <f t="shared" si="159"/>
        <v>0</v>
      </c>
      <c r="D151" s="232">
        <f>C151*Q151</f>
        <v>0</v>
      </c>
      <c r="E151" s="59">
        <f t="shared" si="160"/>
        <v>0</v>
      </c>
      <c r="F151" s="232">
        <f t="shared" si="161"/>
        <v>0</v>
      </c>
      <c r="G151" s="59">
        <f t="shared" si="162"/>
        <v>0</v>
      </c>
      <c r="H151" s="232">
        <f t="shared" si="163"/>
        <v>0</v>
      </c>
      <c r="I151" s="59">
        <f t="shared" si="164"/>
        <v>0</v>
      </c>
      <c r="J151" s="232">
        <f t="shared" si="165"/>
        <v>0</v>
      </c>
      <c r="K151" s="59">
        <f t="shared" si="166"/>
        <v>0</v>
      </c>
      <c r="L151" s="59">
        <f t="shared" si="167"/>
        <v>0</v>
      </c>
      <c r="M151" s="59">
        <f t="shared" si="168"/>
        <v>0</v>
      </c>
      <c r="N151" s="59">
        <f t="shared" si="169"/>
        <v>0</v>
      </c>
      <c r="P151" s="37">
        <f t="shared" si="154"/>
        <v>1.085</v>
      </c>
      <c r="Q151" s="41">
        <f t="shared" si="155"/>
        <v>1.045</v>
      </c>
      <c r="R151" s="37">
        <f t="shared" si="156"/>
        <v>1.04</v>
      </c>
      <c r="S151" s="41">
        <f t="shared" si="157"/>
        <v>1.035</v>
      </c>
      <c r="T151" s="37">
        <f t="shared" si="158"/>
        <v>1.03</v>
      </c>
      <c r="U151" s="41">
        <f t="shared" si="158"/>
        <v>1.03</v>
      </c>
      <c r="V151" s="37">
        <f t="shared" si="158"/>
        <v>1.03</v>
      </c>
      <c r="W151" s="41">
        <f t="shared" si="158"/>
        <v>1.03</v>
      </c>
      <c r="X151" s="37">
        <f t="shared" si="158"/>
        <v>1.03</v>
      </c>
      <c r="Y151" s="115">
        <f t="shared" si="158"/>
        <v>1.03</v>
      </c>
      <c r="Z151" s="115">
        <f t="shared" si="158"/>
        <v>1.03</v>
      </c>
      <c r="AA151" s="115">
        <f t="shared" si="158"/>
        <v>1.03</v>
      </c>
    </row>
    <row r="152" spans="1:27" ht="12.75">
      <c r="A152" s="14" t="s">
        <v>133</v>
      </c>
      <c r="B152" s="59">
        <f>+Gastos!G152</f>
        <v>0</v>
      </c>
      <c r="C152" s="59">
        <f t="shared" si="159"/>
        <v>0</v>
      </c>
      <c r="D152" s="232">
        <f>C152*Q152</f>
        <v>0</v>
      </c>
      <c r="E152" s="59">
        <f t="shared" si="160"/>
        <v>0</v>
      </c>
      <c r="F152" s="232">
        <f t="shared" si="161"/>
        <v>0</v>
      </c>
      <c r="G152" s="59">
        <f t="shared" si="162"/>
        <v>0</v>
      </c>
      <c r="H152" s="232">
        <f t="shared" si="163"/>
        <v>0</v>
      </c>
      <c r="I152" s="59">
        <f t="shared" si="164"/>
        <v>0</v>
      </c>
      <c r="J152" s="232">
        <f t="shared" si="165"/>
        <v>0</v>
      </c>
      <c r="K152" s="59">
        <f t="shared" si="166"/>
        <v>0</v>
      </c>
      <c r="L152" s="59">
        <f t="shared" si="167"/>
        <v>0</v>
      </c>
      <c r="M152" s="59">
        <f t="shared" si="168"/>
        <v>0</v>
      </c>
      <c r="N152" s="59">
        <f t="shared" si="169"/>
        <v>0</v>
      </c>
      <c r="P152" s="37">
        <f t="shared" si="154"/>
        <v>1.085</v>
      </c>
      <c r="Q152" s="41">
        <f t="shared" si="155"/>
        <v>1.045</v>
      </c>
      <c r="R152" s="37">
        <f t="shared" si="156"/>
        <v>1.04</v>
      </c>
      <c r="S152" s="41">
        <f t="shared" si="157"/>
        <v>1.035</v>
      </c>
      <c r="T152" s="37">
        <f t="shared" si="158"/>
        <v>1.03</v>
      </c>
      <c r="U152" s="41">
        <f t="shared" si="158"/>
        <v>1.03</v>
      </c>
      <c r="V152" s="37">
        <f t="shared" si="158"/>
        <v>1.03</v>
      </c>
      <c r="W152" s="41">
        <f t="shared" si="158"/>
        <v>1.03</v>
      </c>
      <c r="X152" s="37">
        <f t="shared" si="158"/>
        <v>1.03</v>
      </c>
      <c r="Y152" s="115">
        <f t="shared" si="158"/>
        <v>1.03</v>
      </c>
      <c r="Z152" s="115">
        <f t="shared" si="158"/>
        <v>1.03</v>
      </c>
      <c r="AA152" s="115">
        <f t="shared" si="158"/>
        <v>1.03</v>
      </c>
    </row>
    <row r="153" spans="1:27" ht="12.75">
      <c r="A153" s="14" t="s">
        <v>134</v>
      </c>
      <c r="B153" s="59">
        <f>+Gastos!G153</f>
        <v>0</v>
      </c>
      <c r="C153" s="59">
        <f t="shared" si="159"/>
        <v>0</v>
      </c>
      <c r="D153" s="232">
        <f>C153*Q153</f>
        <v>0</v>
      </c>
      <c r="E153" s="59">
        <f t="shared" si="160"/>
        <v>0</v>
      </c>
      <c r="F153" s="232">
        <f t="shared" si="161"/>
        <v>0</v>
      </c>
      <c r="G153" s="59">
        <f t="shared" si="162"/>
        <v>0</v>
      </c>
      <c r="H153" s="232">
        <f t="shared" si="163"/>
        <v>0</v>
      </c>
      <c r="I153" s="59">
        <f t="shared" si="164"/>
        <v>0</v>
      </c>
      <c r="J153" s="232">
        <f t="shared" si="165"/>
        <v>0</v>
      </c>
      <c r="K153" s="59">
        <f t="shared" si="166"/>
        <v>0</v>
      </c>
      <c r="L153" s="59">
        <f t="shared" si="167"/>
        <v>0</v>
      </c>
      <c r="M153" s="59">
        <f t="shared" si="168"/>
        <v>0</v>
      </c>
      <c r="N153" s="59">
        <f t="shared" si="169"/>
        <v>0</v>
      </c>
      <c r="P153" s="37">
        <f t="shared" si="154"/>
        <v>1.085</v>
      </c>
      <c r="Q153" s="41">
        <f t="shared" si="155"/>
        <v>1.045</v>
      </c>
      <c r="R153" s="37">
        <f t="shared" si="156"/>
        <v>1.04</v>
      </c>
      <c r="S153" s="41">
        <f t="shared" si="157"/>
        <v>1.035</v>
      </c>
      <c r="T153" s="37">
        <f t="shared" si="158"/>
        <v>1.03</v>
      </c>
      <c r="U153" s="41">
        <f t="shared" si="158"/>
        <v>1.03</v>
      </c>
      <c r="V153" s="37">
        <f t="shared" si="158"/>
        <v>1.03</v>
      </c>
      <c r="W153" s="41">
        <f t="shared" si="158"/>
        <v>1.03</v>
      </c>
      <c r="X153" s="37">
        <f t="shared" si="158"/>
        <v>1.03</v>
      </c>
      <c r="Y153" s="115">
        <f t="shared" si="158"/>
        <v>1.03</v>
      </c>
      <c r="Z153" s="115">
        <f t="shared" si="158"/>
        <v>1.03</v>
      </c>
      <c r="AA153" s="115">
        <f t="shared" si="158"/>
        <v>1.03</v>
      </c>
    </row>
    <row r="154" spans="1:27" ht="12.75">
      <c r="A154" s="14" t="s">
        <v>135</v>
      </c>
      <c r="B154" s="59">
        <f>+Gastos!G154</f>
        <v>0</v>
      </c>
      <c r="C154" s="59">
        <f t="shared" si="159"/>
        <v>0</v>
      </c>
      <c r="D154" s="232">
        <f>C154*Q154</f>
        <v>0</v>
      </c>
      <c r="E154" s="59">
        <f t="shared" si="160"/>
        <v>0</v>
      </c>
      <c r="F154" s="232">
        <f t="shared" si="161"/>
        <v>0</v>
      </c>
      <c r="G154" s="59">
        <f t="shared" si="162"/>
        <v>0</v>
      </c>
      <c r="H154" s="232">
        <f t="shared" si="163"/>
        <v>0</v>
      </c>
      <c r="I154" s="59">
        <f t="shared" si="164"/>
        <v>0</v>
      </c>
      <c r="J154" s="232">
        <f t="shared" si="165"/>
        <v>0</v>
      </c>
      <c r="K154" s="59">
        <f t="shared" si="166"/>
        <v>0</v>
      </c>
      <c r="L154" s="59">
        <f t="shared" si="167"/>
        <v>0</v>
      </c>
      <c r="M154" s="59">
        <f t="shared" si="168"/>
        <v>0</v>
      </c>
      <c r="N154" s="59">
        <f t="shared" si="169"/>
        <v>0</v>
      </c>
      <c r="P154" s="37">
        <f t="shared" si="154"/>
        <v>1.085</v>
      </c>
      <c r="Q154" s="41">
        <f t="shared" si="155"/>
        <v>1.045</v>
      </c>
      <c r="R154" s="37">
        <f t="shared" si="156"/>
        <v>1.04</v>
      </c>
      <c r="S154" s="41">
        <f t="shared" si="157"/>
        <v>1.035</v>
      </c>
      <c r="T154" s="37">
        <f t="shared" si="158"/>
        <v>1.03</v>
      </c>
      <c r="U154" s="41">
        <f t="shared" si="158"/>
        <v>1.03</v>
      </c>
      <c r="V154" s="37">
        <f t="shared" si="158"/>
        <v>1.03</v>
      </c>
      <c r="W154" s="41">
        <f t="shared" si="158"/>
        <v>1.03</v>
      </c>
      <c r="X154" s="37">
        <f t="shared" si="158"/>
        <v>1.03</v>
      </c>
      <c r="Y154" s="115">
        <f t="shared" si="158"/>
        <v>1.03</v>
      </c>
      <c r="Z154" s="115">
        <f t="shared" si="158"/>
        <v>1.03</v>
      </c>
      <c r="AA154" s="115">
        <f t="shared" si="158"/>
        <v>1.03</v>
      </c>
    </row>
    <row r="155" spans="1:27" ht="12.75">
      <c r="A155" s="14" t="s">
        <v>136</v>
      </c>
      <c r="B155" s="59">
        <f>+Gastos!G155</f>
        <v>0</v>
      </c>
      <c r="C155" s="59">
        <f t="shared" si="159"/>
        <v>0</v>
      </c>
      <c r="D155" s="232">
        <f>+ANEXO!D74</f>
        <v>22000000</v>
      </c>
      <c r="E155" s="59">
        <f t="shared" si="160"/>
        <v>22880000</v>
      </c>
      <c r="F155" s="232">
        <f t="shared" si="161"/>
        <v>23680800</v>
      </c>
      <c r="G155" s="59">
        <f t="shared" si="162"/>
        <v>24391224</v>
      </c>
      <c r="H155" s="232">
        <f t="shared" si="163"/>
        <v>25122960.72</v>
      </c>
      <c r="I155" s="59">
        <f t="shared" si="164"/>
        <v>25876649.5416</v>
      </c>
      <c r="J155" s="232">
        <f t="shared" si="165"/>
        <v>26652949.027848</v>
      </c>
      <c r="K155" s="59">
        <f t="shared" si="166"/>
        <v>27452537.49868344</v>
      </c>
      <c r="L155" s="59">
        <f t="shared" si="167"/>
        <v>28276113.623643946</v>
      </c>
      <c r="M155" s="59">
        <f t="shared" si="168"/>
        <v>29124397.032353263</v>
      </c>
      <c r="N155" s="59">
        <f t="shared" si="169"/>
        <v>29998128.94332386</v>
      </c>
      <c r="P155" s="37">
        <f t="shared" si="154"/>
        <v>1.085</v>
      </c>
      <c r="Q155" s="41">
        <f t="shared" si="155"/>
        <v>1.045</v>
      </c>
      <c r="R155" s="37">
        <f t="shared" si="156"/>
        <v>1.04</v>
      </c>
      <c r="S155" s="41">
        <f t="shared" si="157"/>
        <v>1.035</v>
      </c>
      <c r="T155" s="37">
        <f t="shared" si="158"/>
        <v>1.03</v>
      </c>
      <c r="U155" s="41">
        <f t="shared" si="158"/>
        <v>1.03</v>
      </c>
      <c r="V155" s="37">
        <f t="shared" si="158"/>
        <v>1.03</v>
      </c>
      <c r="W155" s="41">
        <f t="shared" si="158"/>
        <v>1.03</v>
      </c>
      <c r="X155" s="37">
        <f t="shared" si="158"/>
        <v>1.03</v>
      </c>
      <c r="Y155" s="115">
        <f t="shared" si="158"/>
        <v>1.03</v>
      </c>
      <c r="Z155" s="115">
        <f t="shared" si="158"/>
        <v>1.03</v>
      </c>
      <c r="AA155" s="115">
        <f t="shared" si="158"/>
        <v>1.03</v>
      </c>
    </row>
    <row r="156" spans="1:27" ht="12.75">
      <c r="A156" s="14" t="s">
        <v>137</v>
      </c>
      <c r="B156" s="59">
        <f>+Gastos!G156</f>
        <v>0</v>
      </c>
      <c r="C156" s="59">
        <f t="shared" si="159"/>
        <v>0</v>
      </c>
      <c r="D156" s="232">
        <f>+ANEXO!D80</f>
        <v>13000000</v>
      </c>
      <c r="E156" s="59">
        <f t="shared" si="160"/>
        <v>13520000</v>
      </c>
      <c r="F156" s="232">
        <f t="shared" si="161"/>
        <v>13993199.999999998</v>
      </c>
      <c r="G156" s="59">
        <f t="shared" si="162"/>
        <v>14412995.999999998</v>
      </c>
      <c r="H156" s="232">
        <f t="shared" si="163"/>
        <v>14845385.879999999</v>
      </c>
      <c r="I156" s="59">
        <f t="shared" si="164"/>
        <v>15290747.4564</v>
      </c>
      <c r="J156" s="232">
        <f t="shared" si="165"/>
        <v>15749469.880092</v>
      </c>
      <c r="K156" s="59">
        <f t="shared" si="166"/>
        <v>16221953.976494761</v>
      </c>
      <c r="L156" s="59">
        <f t="shared" si="167"/>
        <v>16708612.595789604</v>
      </c>
      <c r="M156" s="59">
        <f t="shared" si="168"/>
        <v>17209870.973663293</v>
      </c>
      <c r="N156" s="59">
        <f t="shared" si="169"/>
        <v>17726167.10287319</v>
      </c>
      <c r="P156" s="37">
        <f t="shared" si="154"/>
        <v>1.085</v>
      </c>
      <c r="Q156" s="41">
        <f t="shared" si="155"/>
        <v>1.045</v>
      </c>
      <c r="R156" s="37">
        <f t="shared" si="156"/>
        <v>1.04</v>
      </c>
      <c r="S156" s="41">
        <f t="shared" si="157"/>
        <v>1.035</v>
      </c>
      <c r="T156" s="37">
        <f t="shared" si="158"/>
        <v>1.03</v>
      </c>
      <c r="U156" s="41">
        <f t="shared" si="158"/>
        <v>1.03</v>
      </c>
      <c r="V156" s="37">
        <f t="shared" si="158"/>
        <v>1.03</v>
      </c>
      <c r="W156" s="41">
        <f t="shared" si="158"/>
        <v>1.03</v>
      </c>
      <c r="X156" s="37">
        <f t="shared" si="158"/>
        <v>1.03</v>
      </c>
      <c r="Y156" s="115">
        <f t="shared" si="158"/>
        <v>1.03</v>
      </c>
      <c r="Z156" s="115">
        <f t="shared" si="158"/>
        <v>1.03</v>
      </c>
      <c r="AA156" s="115">
        <f t="shared" si="158"/>
        <v>1.03</v>
      </c>
    </row>
    <row r="157" spans="1:27" ht="12.75">
      <c r="A157" s="14" t="s">
        <v>138</v>
      </c>
      <c r="B157" s="59">
        <f>+Gastos!G157</f>
        <v>26842068</v>
      </c>
      <c r="C157" s="59">
        <f t="shared" si="159"/>
        <v>29123643.779999997</v>
      </c>
      <c r="D157" s="232">
        <v>0</v>
      </c>
      <c r="E157" s="59">
        <f t="shared" si="160"/>
        <v>0</v>
      </c>
      <c r="F157" s="232">
        <f t="shared" si="161"/>
        <v>0</v>
      </c>
      <c r="G157" s="59">
        <f t="shared" si="162"/>
        <v>0</v>
      </c>
      <c r="H157" s="232">
        <f t="shared" si="163"/>
        <v>0</v>
      </c>
      <c r="I157" s="59">
        <f t="shared" si="164"/>
        <v>0</v>
      </c>
      <c r="J157" s="232">
        <f t="shared" si="165"/>
        <v>0</v>
      </c>
      <c r="K157" s="59">
        <f t="shared" si="166"/>
        <v>0</v>
      </c>
      <c r="L157" s="59">
        <f t="shared" si="167"/>
        <v>0</v>
      </c>
      <c r="M157" s="59">
        <f t="shared" si="168"/>
        <v>0</v>
      </c>
      <c r="N157" s="59">
        <f t="shared" si="169"/>
        <v>0</v>
      </c>
      <c r="P157" s="37">
        <f t="shared" si="154"/>
        <v>1.085</v>
      </c>
      <c r="Q157" s="41">
        <f t="shared" si="155"/>
        <v>1.045</v>
      </c>
      <c r="R157" s="37">
        <f t="shared" si="156"/>
        <v>1.04</v>
      </c>
      <c r="S157" s="41">
        <f t="shared" si="157"/>
        <v>1.035</v>
      </c>
      <c r="T157" s="37">
        <f t="shared" si="158"/>
        <v>1.03</v>
      </c>
      <c r="U157" s="41">
        <f t="shared" si="158"/>
        <v>1.03</v>
      </c>
      <c r="V157" s="37">
        <f t="shared" si="158"/>
        <v>1.03</v>
      </c>
      <c r="W157" s="41">
        <f t="shared" si="158"/>
        <v>1.03</v>
      </c>
      <c r="X157" s="37">
        <f t="shared" si="158"/>
        <v>1.03</v>
      </c>
      <c r="Y157" s="115">
        <f t="shared" si="158"/>
        <v>1.03</v>
      </c>
      <c r="Z157" s="115">
        <f t="shared" si="158"/>
        <v>1.03</v>
      </c>
      <c r="AA157" s="115">
        <f t="shared" si="158"/>
        <v>1.03</v>
      </c>
    </row>
    <row r="158" spans="1:27" ht="12.75">
      <c r="A158" s="14" t="s">
        <v>139</v>
      </c>
      <c r="B158" s="59">
        <f>+Gastos!G158</f>
        <v>0</v>
      </c>
      <c r="C158" s="59">
        <f t="shared" si="159"/>
        <v>0</v>
      </c>
      <c r="D158" s="232">
        <f>C158*Q158</f>
        <v>0</v>
      </c>
      <c r="E158" s="59">
        <f t="shared" si="160"/>
        <v>0</v>
      </c>
      <c r="F158" s="232">
        <f t="shared" si="161"/>
        <v>0</v>
      </c>
      <c r="G158" s="59">
        <f t="shared" si="162"/>
        <v>0</v>
      </c>
      <c r="H158" s="232">
        <f t="shared" si="163"/>
        <v>0</v>
      </c>
      <c r="I158" s="59">
        <f t="shared" si="164"/>
        <v>0</v>
      </c>
      <c r="J158" s="232">
        <f t="shared" si="165"/>
        <v>0</v>
      </c>
      <c r="K158" s="59">
        <f t="shared" si="166"/>
        <v>0</v>
      </c>
      <c r="L158" s="59">
        <f t="shared" si="167"/>
        <v>0</v>
      </c>
      <c r="M158" s="59">
        <f t="shared" si="168"/>
        <v>0</v>
      </c>
      <c r="N158" s="59">
        <f t="shared" si="169"/>
        <v>0</v>
      </c>
      <c r="P158" s="37">
        <f t="shared" si="154"/>
        <v>1.085</v>
      </c>
      <c r="Q158" s="41">
        <f t="shared" si="155"/>
        <v>1.045</v>
      </c>
      <c r="R158" s="37">
        <f t="shared" si="156"/>
        <v>1.04</v>
      </c>
      <c r="S158" s="41">
        <f t="shared" si="157"/>
        <v>1.035</v>
      </c>
      <c r="T158" s="37">
        <f t="shared" si="158"/>
        <v>1.03</v>
      </c>
      <c r="U158" s="41">
        <f t="shared" si="158"/>
        <v>1.03</v>
      </c>
      <c r="V158" s="37">
        <f t="shared" si="158"/>
        <v>1.03</v>
      </c>
      <c r="W158" s="41">
        <f t="shared" si="158"/>
        <v>1.03</v>
      </c>
      <c r="X158" s="37">
        <f t="shared" si="158"/>
        <v>1.03</v>
      </c>
      <c r="Y158" s="115">
        <f t="shared" si="158"/>
        <v>1.03</v>
      </c>
      <c r="Z158" s="115">
        <f t="shared" si="158"/>
        <v>1.03</v>
      </c>
      <c r="AA158" s="115">
        <f t="shared" si="158"/>
        <v>1.03</v>
      </c>
    </row>
    <row r="159" spans="1:27" ht="12.75">
      <c r="A159" s="14" t="s">
        <v>140</v>
      </c>
      <c r="B159" s="59">
        <f>+Gastos!G159</f>
        <v>0</v>
      </c>
      <c r="C159" s="59">
        <f t="shared" si="159"/>
        <v>0</v>
      </c>
      <c r="D159" s="232">
        <f>+ANEXO!D78</f>
        <v>5169642.82</v>
      </c>
      <c r="E159" s="59">
        <f t="shared" si="160"/>
        <v>5376428.5328</v>
      </c>
      <c r="F159" s="232">
        <f t="shared" si="161"/>
        <v>5564603.531448</v>
      </c>
      <c r="G159" s="59">
        <f t="shared" si="162"/>
        <v>5731541.637391441</v>
      </c>
      <c r="H159" s="232">
        <f t="shared" si="163"/>
        <v>5903487.886513184</v>
      </c>
      <c r="I159" s="59">
        <f t="shared" si="164"/>
        <v>6080592.523108579</v>
      </c>
      <c r="J159" s="232">
        <f t="shared" si="165"/>
        <v>6263010.298801837</v>
      </c>
      <c r="K159" s="59">
        <f t="shared" si="166"/>
        <v>6450900.607765892</v>
      </c>
      <c r="L159" s="59">
        <f t="shared" si="167"/>
        <v>6644427.625998869</v>
      </c>
      <c r="M159" s="59">
        <f t="shared" si="168"/>
        <v>6843760.454778835</v>
      </c>
      <c r="N159" s="59">
        <f t="shared" si="169"/>
        <v>7049073.2684222</v>
      </c>
      <c r="P159" s="37">
        <f t="shared" si="154"/>
        <v>1.085</v>
      </c>
      <c r="Q159" s="41">
        <f t="shared" si="155"/>
        <v>1.045</v>
      </c>
      <c r="R159" s="37">
        <f t="shared" si="156"/>
        <v>1.04</v>
      </c>
      <c r="S159" s="41">
        <f t="shared" si="157"/>
        <v>1.035</v>
      </c>
      <c r="T159" s="37">
        <f t="shared" si="158"/>
        <v>1.03</v>
      </c>
      <c r="U159" s="41">
        <f t="shared" si="158"/>
        <v>1.03</v>
      </c>
      <c r="V159" s="37">
        <f t="shared" si="158"/>
        <v>1.03</v>
      </c>
      <c r="W159" s="41">
        <f t="shared" si="158"/>
        <v>1.03</v>
      </c>
      <c r="X159" s="37">
        <f t="shared" si="158"/>
        <v>1.03</v>
      </c>
      <c r="Y159" s="115">
        <f t="shared" si="158"/>
        <v>1.03</v>
      </c>
      <c r="Z159" s="115">
        <f t="shared" si="158"/>
        <v>1.03</v>
      </c>
      <c r="AA159" s="115">
        <f t="shared" si="158"/>
        <v>1.03</v>
      </c>
    </row>
    <row r="160" spans="1:27" ht="12.75">
      <c r="A160" s="14" t="s">
        <v>141</v>
      </c>
      <c r="B160" s="59">
        <f>+Gastos!G160</f>
        <v>819000</v>
      </c>
      <c r="C160" s="59">
        <f t="shared" si="159"/>
        <v>888615</v>
      </c>
      <c r="D160" s="232">
        <v>0</v>
      </c>
      <c r="E160" s="59">
        <f t="shared" si="160"/>
        <v>0</v>
      </c>
      <c r="F160" s="232">
        <f t="shared" si="161"/>
        <v>0</v>
      </c>
      <c r="G160" s="59">
        <f t="shared" si="162"/>
        <v>0</v>
      </c>
      <c r="H160" s="232">
        <f t="shared" si="163"/>
        <v>0</v>
      </c>
      <c r="I160" s="59">
        <f t="shared" si="164"/>
        <v>0</v>
      </c>
      <c r="J160" s="232">
        <f t="shared" si="165"/>
        <v>0</v>
      </c>
      <c r="K160" s="59">
        <f t="shared" si="166"/>
        <v>0</v>
      </c>
      <c r="L160" s="59">
        <f t="shared" si="167"/>
        <v>0</v>
      </c>
      <c r="M160" s="59">
        <f t="shared" si="168"/>
        <v>0</v>
      </c>
      <c r="N160" s="59">
        <f t="shared" si="169"/>
        <v>0</v>
      </c>
      <c r="P160" s="37">
        <f t="shared" si="154"/>
        <v>1.085</v>
      </c>
      <c r="Q160" s="41">
        <f t="shared" si="155"/>
        <v>1.045</v>
      </c>
      <c r="R160" s="37">
        <f t="shared" si="156"/>
        <v>1.04</v>
      </c>
      <c r="S160" s="41">
        <f t="shared" si="157"/>
        <v>1.035</v>
      </c>
      <c r="T160" s="37">
        <f t="shared" si="158"/>
        <v>1.03</v>
      </c>
      <c r="U160" s="41">
        <f t="shared" si="158"/>
        <v>1.03</v>
      </c>
      <c r="V160" s="37">
        <f t="shared" si="158"/>
        <v>1.03</v>
      </c>
      <c r="W160" s="41">
        <f t="shared" si="158"/>
        <v>1.03</v>
      </c>
      <c r="X160" s="37">
        <f t="shared" si="158"/>
        <v>1.03</v>
      </c>
      <c r="Y160" s="115">
        <f t="shared" si="158"/>
        <v>1.03</v>
      </c>
      <c r="Z160" s="115">
        <f t="shared" si="158"/>
        <v>1.03</v>
      </c>
      <c r="AA160" s="115">
        <f t="shared" si="158"/>
        <v>1.03</v>
      </c>
    </row>
    <row r="161" spans="1:27" ht="12.75">
      <c r="A161" s="14" t="s">
        <v>148</v>
      </c>
      <c r="B161" s="59">
        <f>+Gastos!G161</f>
        <v>45291364</v>
      </c>
      <c r="C161" s="59">
        <f t="shared" si="159"/>
        <v>49141129.94</v>
      </c>
      <c r="D161" s="232">
        <f>+ANEXO!D82</f>
        <v>2799504</v>
      </c>
      <c r="E161" s="59">
        <f t="shared" si="160"/>
        <v>2911484.16</v>
      </c>
      <c r="F161" s="232">
        <f t="shared" si="161"/>
        <v>3013386.1056</v>
      </c>
      <c r="G161" s="59">
        <f t="shared" si="162"/>
        <v>3103787.688768</v>
      </c>
      <c r="H161" s="232">
        <f t="shared" si="163"/>
        <v>3196901.31943104</v>
      </c>
      <c r="I161" s="59">
        <f t="shared" si="164"/>
        <v>3292808.3590139714</v>
      </c>
      <c r="J161" s="232">
        <f t="shared" si="165"/>
        <v>3391592.609784391</v>
      </c>
      <c r="K161" s="59">
        <f t="shared" si="166"/>
        <v>3493340.3880779226</v>
      </c>
      <c r="L161" s="59">
        <f t="shared" si="167"/>
        <v>3598140.5997202606</v>
      </c>
      <c r="M161" s="59">
        <f t="shared" si="168"/>
        <v>3706084.8177118683</v>
      </c>
      <c r="N161" s="59">
        <f t="shared" si="169"/>
        <v>3817267.3622432244</v>
      </c>
      <c r="P161" s="37">
        <f t="shared" si="154"/>
        <v>1.085</v>
      </c>
      <c r="Q161" s="41">
        <f t="shared" si="155"/>
        <v>1.045</v>
      </c>
      <c r="R161" s="37">
        <f t="shared" si="156"/>
        <v>1.04</v>
      </c>
      <c r="S161" s="41">
        <f t="shared" si="157"/>
        <v>1.035</v>
      </c>
      <c r="T161" s="37">
        <f t="shared" si="158"/>
        <v>1.03</v>
      </c>
      <c r="U161" s="41">
        <f t="shared" si="158"/>
        <v>1.03</v>
      </c>
      <c r="V161" s="37">
        <f t="shared" si="158"/>
        <v>1.03</v>
      </c>
      <c r="W161" s="41">
        <f t="shared" si="158"/>
        <v>1.03</v>
      </c>
      <c r="X161" s="37">
        <f t="shared" si="158"/>
        <v>1.03</v>
      </c>
      <c r="Y161" s="115">
        <f t="shared" si="158"/>
        <v>1.03</v>
      </c>
      <c r="Z161" s="115">
        <f t="shared" si="158"/>
        <v>1.03</v>
      </c>
      <c r="AA161" s="115">
        <f t="shared" si="158"/>
        <v>1.03</v>
      </c>
    </row>
    <row r="162" spans="1:27" ht="12.75">
      <c r="A162" s="126" t="s">
        <v>143</v>
      </c>
      <c r="B162" s="92">
        <f>SUM(B163:B167)</f>
        <v>0</v>
      </c>
      <c r="C162" s="92">
        <f>SUM(C163:C167)</f>
        <v>0</v>
      </c>
      <c r="D162" s="142">
        <f aca="true" t="shared" si="170" ref="D162:L162">SUM(D163:D167)</f>
        <v>0</v>
      </c>
      <c r="E162" s="92">
        <f t="shared" si="170"/>
        <v>0</v>
      </c>
      <c r="F162" s="142">
        <f t="shared" si="170"/>
        <v>0</v>
      </c>
      <c r="G162" s="92">
        <f t="shared" si="170"/>
        <v>0</v>
      </c>
      <c r="H162" s="142">
        <f t="shared" si="170"/>
        <v>0</v>
      </c>
      <c r="I162" s="92">
        <f t="shared" si="170"/>
        <v>0</v>
      </c>
      <c r="J162" s="142">
        <f t="shared" si="170"/>
        <v>0</v>
      </c>
      <c r="K162" s="92">
        <f t="shared" si="170"/>
        <v>0</v>
      </c>
      <c r="L162" s="92">
        <f t="shared" si="170"/>
        <v>0</v>
      </c>
      <c r="M162" s="92">
        <f>SUM(M163:M167)</f>
        <v>0</v>
      </c>
      <c r="N162" s="92">
        <f>SUM(N163:N167)</f>
        <v>0</v>
      </c>
      <c r="P162" s="191"/>
      <c r="Q162" s="202"/>
      <c r="R162" s="191"/>
      <c r="S162" s="202"/>
      <c r="T162" s="191"/>
      <c r="U162" s="202"/>
      <c r="V162" s="191"/>
      <c r="W162" s="202"/>
      <c r="X162" s="191"/>
      <c r="Y162" s="264"/>
      <c r="Z162" s="264"/>
      <c r="AA162" s="264"/>
    </row>
    <row r="163" spans="1:27" ht="12.75">
      <c r="A163" s="14" t="s">
        <v>130</v>
      </c>
      <c r="B163" s="59">
        <f>+Gastos!G163</f>
        <v>0</v>
      </c>
      <c r="C163" s="59">
        <f aca="true" t="shared" si="171" ref="C163:N167">B163*P163</f>
        <v>0</v>
      </c>
      <c r="D163" s="232">
        <f t="shared" si="171"/>
        <v>0</v>
      </c>
      <c r="E163" s="59">
        <f t="shared" si="171"/>
        <v>0</v>
      </c>
      <c r="F163" s="232">
        <f t="shared" si="171"/>
        <v>0</v>
      </c>
      <c r="G163" s="59">
        <f t="shared" si="171"/>
        <v>0</v>
      </c>
      <c r="H163" s="232">
        <f t="shared" si="171"/>
        <v>0</v>
      </c>
      <c r="I163" s="59">
        <f t="shared" si="171"/>
        <v>0</v>
      </c>
      <c r="J163" s="232">
        <f t="shared" si="171"/>
        <v>0</v>
      </c>
      <c r="K163" s="59">
        <f t="shared" si="171"/>
        <v>0</v>
      </c>
      <c r="L163" s="59">
        <f t="shared" si="171"/>
        <v>0</v>
      </c>
      <c r="M163" s="59">
        <f t="shared" si="171"/>
        <v>0</v>
      </c>
      <c r="N163" s="59">
        <f t="shared" si="171"/>
        <v>0</v>
      </c>
      <c r="P163" s="37">
        <f>1+(0.06+0.025)</f>
        <v>1.085</v>
      </c>
      <c r="Q163" s="41">
        <f>1+(0.045)</f>
        <v>1.045</v>
      </c>
      <c r="R163" s="37">
        <f>1+(0.04)</f>
        <v>1.04</v>
      </c>
      <c r="S163" s="41">
        <f>1+(0.035)</f>
        <v>1.035</v>
      </c>
      <c r="T163" s="37">
        <f aca="true" t="shared" si="172" ref="T163:AA167">1+(0.03)</f>
        <v>1.03</v>
      </c>
      <c r="U163" s="41">
        <f t="shared" si="172"/>
        <v>1.03</v>
      </c>
      <c r="V163" s="37">
        <f t="shared" si="172"/>
        <v>1.03</v>
      </c>
      <c r="W163" s="41">
        <f t="shared" si="172"/>
        <v>1.03</v>
      </c>
      <c r="X163" s="37">
        <f t="shared" si="172"/>
        <v>1.03</v>
      </c>
      <c r="Y163" s="115">
        <f t="shared" si="172"/>
        <v>1.03</v>
      </c>
      <c r="Z163" s="115">
        <f t="shared" si="172"/>
        <v>1.03</v>
      </c>
      <c r="AA163" s="115">
        <f t="shared" si="172"/>
        <v>1.03</v>
      </c>
    </row>
    <row r="164" spans="1:27" ht="12.75">
      <c r="A164" s="14" t="s">
        <v>132</v>
      </c>
      <c r="B164" s="59">
        <f>+Gastos!G164</f>
        <v>0</v>
      </c>
      <c r="C164" s="59">
        <f t="shared" si="171"/>
        <v>0</v>
      </c>
      <c r="D164" s="232">
        <f t="shared" si="171"/>
        <v>0</v>
      </c>
      <c r="E164" s="59">
        <f t="shared" si="171"/>
        <v>0</v>
      </c>
      <c r="F164" s="232">
        <f t="shared" si="171"/>
        <v>0</v>
      </c>
      <c r="G164" s="59">
        <f t="shared" si="171"/>
        <v>0</v>
      </c>
      <c r="H164" s="232">
        <f t="shared" si="171"/>
        <v>0</v>
      </c>
      <c r="I164" s="59">
        <f t="shared" si="171"/>
        <v>0</v>
      </c>
      <c r="J164" s="232">
        <f t="shared" si="171"/>
        <v>0</v>
      </c>
      <c r="K164" s="59">
        <f t="shared" si="171"/>
        <v>0</v>
      </c>
      <c r="L164" s="59">
        <f t="shared" si="171"/>
        <v>0</v>
      </c>
      <c r="M164" s="59">
        <f t="shared" si="171"/>
        <v>0</v>
      </c>
      <c r="N164" s="59">
        <f t="shared" si="171"/>
        <v>0</v>
      </c>
      <c r="P164" s="37">
        <f>1+(0.06+0.025)</f>
        <v>1.085</v>
      </c>
      <c r="Q164" s="41">
        <f>1+(0.045)</f>
        <v>1.045</v>
      </c>
      <c r="R164" s="37">
        <f>1+(0.04)</f>
        <v>1.04</v>
      </c>
      <c r="S164" s="41">
        <f>1+(0.035)</f>
        <v>1.035</v>
      </c>
      <c r="T164" s="37">
        <f t="shared" si="172"/>
        <v>1.03</v>
      </c>
      <c r="U164" s="41">
        <f t="shared" si="172"/>
        <v>1.03</v>
      </c>
      <c r="V164" s="37">
        <f t="shared" si="172"/>
        <v>1.03</v>
      </c>
      <c r="W164" s="41">
        <f t="shared" si="172"/>
        <v>1.03</v>
      </c>
      <c r="X164" s="37">
        <f t="shared" si="172"/>
        <v>1.03</v>
      </c>
      <c r="Y164" s="115">
        <f t="shared" si="172"/>
        <v>1.03</v>
      </c>
      <c r="Z164" s="115">
        <f t="shared" si="172"/>
        <v>1.03</v>
      </c>
      <c r="AA164" s="115">
        <f t="shared" si="172"/>
        <v>1.03</v>
      </c>
    </row>
    <row r="165" spans="1:27" ht="12.75">
      <c r="A165" s="14" t="s">
        <v>133</v>
      </c>
      <c r="B165" s="59">
        <f>+Gastos!G165</f>
        <v>0</v>
      </c>
      <c r="C165" s="59">
        <f t="shared" si="171"/>
        <v>0</v>
      </c>
      <c r="D165" s="232">
        <f t="shared" si="171"/>
        <v>0</v>
      </c>
      <c r="E165" s="59">
        <f t="shared" si="171"/>
        <v>0</v>
      </c>
      <c r="F165" s="232">
        <f t="shared" si="171"/>
        <v>0</v>
      </c>
      <c r="G165" s="59">
        <f t="shared" si="171"/>
        <v>0</v>
      </c>
      <c r="H165" s="232">
        <f t="shared" si="171"/>
        <v>0</v>
      </c>
      <c r="I165" s="59">
        <f t="shared" si="171"/>
        <v>0</v>
      </c>
      <c r="J165" s="232">
        <f t="shared" si="171"/>
        <v>0</v>
      </c>
      <c r="K165" s="59">
        <f t="shared" si="171"/>
        <v>0</v>
      </c>
      <c r="L165" s="59">
        <f t="shared" si="171"/>
        <v>0</v>
      </c>
      <c r="M165" s="59">
        <f t="shared" si="171"/>
        <v>0</v>
      </c>
      <c r="N165" s="59">
        <f t="shared" si="171"/>
        <v>0</v>
      </c>
      <c r="P165" s="37">
        <f>1+(0.06+0.025)</f>
        <v>1.085</v>
      </c>
      <c r="Q165" s="41">
        <f>1+(0.045)</f>
        <v>1.045</v>
      </c>
      <c r="R165" s="37">
        <f>1+(0.04)</f>
        <v>1.04</v>
      </c>
      <c r="S165" s="41">
        <f>1+(0.035)</f>
        <v>1.035</v>
      </c>
      <c r="T165" s="37">
        <f t="shared" si="172"/>
        <v>1.03</v>
      </c>
      <c r="U165" s="41">
        <f t="shared" si="172"/>
        <v>1.03</v>
      </c>
      <c r="V165" s="37">
        <f t="shared" si="172"/>
        <v>1.03</v>
      </c>
      <c r="W165" s="41">
        <f t="shared" si="172"/>
        <v>1.03</v>
      </c>
      <c r="X165" s="37">
        <f t="shared" si="172"/>
        <v>1.03</v>
      </c>
      <c r="Y165" s="115">
        <f t="shared" si="172"/>
        <v>1.03</v>
      </c>
      <c r="Z165" s="115">
        <f t="shared" si="172"/>
        <v>1.03</v>
      </c>
      <c r="AA165" s="115">
        <f t="shared" si="172"/>
        <v>1.03</v>
      </c>
    </row>
    <row r="166" spans="1:27" ht="12.75">
      <c r="A166" s="14" t="s">
        <v>135</v>
      </c>
      <c r="B166" s="59">
        <f>+Gastos!G166</f>
        <v>0</v>
      </c>
      <c r="C166" s="59">
        <f t="shared" si="171"/>
        <v>0</v>
      </c>
      <c r="D166" s="232">
        <f t="shared" si="171"/>
        <v>0</v>
      </c>
      <c r="E166" s="59">
        <f t="shared" si="171"/>
        <v>0</v>
      </c>
      <c r="F166" s="232">
        <f t="shared" si="171"/>
        <v>0</v>
      </c>
      <c r="G166" s="59">
        <f t="shared" si="171"/>
        <v>0</v>
      </c>
      <c r="H166" s="232">
        <f t="shared" si="171"/>
        <v>0</v>
      </c>
      <c r="I166" s="59">
        <f t="shared" si="171"/>
        <v>0</v>
      </c>
      <c r="J166" s="232">
        <f t="shared" si="171"/>
        <v>0</v>
      </c>
      <c r="K166" s="59">
        <f t="shared" si="171"/>
        <v>0</v>
      </c>
      <c r="L166" s="59">
        <f t="shared" si="171"/>
        <v>0</v>
      </c>
      <c r="M166" s="59">
        <f t="shared" si="171"/>
        <v>0</v>
      </c>
      <c r="N166" s="59">
        <f t="shared" si="171"/>
        <v>0</v>
      </c>
      <c r="P166" s="37">
        <f>1+(0.06+0.025)</f>
        <v>1.085</v>
      </c>
      <c r="Q166" s="41">
        <f>1+(0.045)</f>
        <v>1.045</v>
      </c>
      <c r="R166" s="37">
        <f>1+(0.04)</f>
        <v>1.04</v>
      </c>
      <c r="S166" s="41">
        <f>1+(0.035)</f>
        <v>1.035</v>
      </c>
      <c r="T166" s="37">
        <f t="shared" si="172"/>
        <v>1.03</v>
      </c>
      <c r="U166" s="41">
        <f t="shared" si="172"/>
        <v>1.03</v>
      </c>
      <c r="V166" s="37">
        <f t="shared" si="172"/>
        <v>1.03</v>
      </c>
      <c r="W166" s="41">
        <f t="shared" si="172"/>
        <v>1.03</v>
      </c>
      <c r="X166" s="37">
        <f t="shared" si="172"/>
        <v>1.03</v>
      </c>
      <c r="Y166" s="115">
        <f t="shared" si="172"/>
        <v>1.03</v>
      </c>
      <c r="Z166" s="115">
        <f t="shared" si="172"/>
        <v>1.03</v>
      </c>
      <c r="AA166" s="115">
        <f t="shared" si="172"/>
        <v>1.03</v>
      </c>
    </row>
    <row r="167" spans="1:27" ht="12.75">
      <c r="A167" s="14" t="s">
        <v>138</v>
      </c>
      <c r="B167" s="59">
        <f>+Gastos!G167</f>
        <v>0</v>
      </c>
      <c r="C167" s="59">
        <f t="shared" si="171"/>
        <v>0</v>
      </c>
      <c r="D167" s="232">
        <f t="shared" si="171"/>
        <v>0</v>
      </c>
      <c r="E167" s="59">
        <f t="shared" si="171"/>
        <v>0</v>
      </c>
      <c r="F167" s="232">
        <f t="shared" si="171"/>
        <v>0</v>
      </c>
      <c r="G167" s="59">
        <f t="shared" si="171"/>
        <v>0</v>
      </c>
      <c r="H167" s="232">
        <f t="shared" si="171"/>
        <v>0</v>
      </c>
      <c r="I167" s="59">
        <f t="shared" si="171"/>
        <v>0</v>
      </c>
      <c r="J167" s="232">
        <f t="shared" si="171"/>
        <v>0</v>
      </c>
      <c r="K167" s="59">
        <f t="shared" si="171"/>
        <v>0</v>
      </c>
      <c r="L167" s="59">
        <f t="shared" si="171"/>
        <v>0</v>
      </c>
      <c r="M167" s="59">
        <f t="shared" si="171"/>
        <v>0</v>
      </c>
      <c r="N167" s="59">
        <f t="shared" si="171"/>
        <v>0</v>
      </c>
      <c r="P167" s="37">
        <f>1+(0.06+0.025)</f>
        <v>1.085</v>
      </c>
      <c r="Q167" s="41">
        <f>1+(0.045)</f>
        <v>1.045</v>
      </c>
      <c r="R167" s="37">
        <f>1+(0.04)</f>
        <v>1.04</v>
      </c>
      <c r="S167" s="41">
        <f>1+(0.035)</f>
        <v>1.035</v>
      </c>
      <c r="T167" s="37">
        <f t="shared" si="172"/>
        <v>1.03</v>
      </c>
      <c r="U167" s="41">
        <f t="shared" si="172"/>
        <v>1.03</v>
      </c>
      <c r="V167" s="37">
        <f t="shared" si="172"/>
        <v>1.03</v>
      </c>
      <c r="W167" s="41">
        <f t="shared" si="172"/>
        <v>1.03</v>
      </c>
      <c r="X167" s="37">
        <f t="shared" si="172"/>
        <v>1.03</v>
      </c>
      <c r="Y167" s="115">
        <f t="shared" si="172"/>
        <v>1.03</v>
      </c>
      <c r="Z167" s="115">
        <f t="shared" si="172"/>
        <v>1.03</v>
      </c>
      <c r="AA167" s="115">
        <f t="shared" si="172"/>
        <v>1.03</v>
      </c>
    </row>
    <row r="168" spans="1:27" ht="12.75">
      <c r="A168" s="126" t="s">
        <v>145</v>
      </c>
      <c r="B168" s="92">
        <f>SUM(B169:B182)</f>
        <v>0</v>
      </c>
      <c r="C168" s="92">
        <f>SUM(C169:C182)</f>
        <v>0</v>
      </c>
      <c r="D168" s="142">
        <f aca="true" t="shared" si="173" ref="D168:L168">SUM(D169:D182)</f>
        <v>0</v>
      </c>
      <c r="E168" s="92">
        <f t="shared" si="173"/>
        <v>0</v>
      </c>
      <c r="F168" s="142">
        <f t="shared" si="173"/>
        <v>0</v>
      </c>
      <c r="G168" s="92">
        <f t="shared" si="173"/>
        <v>0</v>
      </c>
      <c r="H168" s="142">
        <f t="shared" si="173"/>
        <v>0</v>
      </c>
      <c r="I168" s="92">
        <f t="shared" si="173"/>
        <v>0</v>
      </c>
      <c r="J168" s="142">
        <f t="shared" si="173"/>
        <v>0</v>
      </c>
      <c r="K168" s="92">
        <f t="shared" si="173"/>
        <v>0</v>
      </c>
      <c r="L168" s="92">
        <f t="shared" si="173"/>
        <v>0</v>
      </c>
      <c r="M168" s="92">
        <f>SUM(M169:M182)</f>
        <v>0</v>
      </c>
      <c r="N168" s="92">
        <f>SUM(N169:N182)</f>
        <v>0</v>
      </c>
      <c r="P168" s="191"/>
      <c r="Q168" s="202"/>
      <c r="R168" s="191"/>
      <c r="S168" s="202"/>
      <c r="T168" s="191"/>
      <c r="U168" s="202"/>
      <c r="V168" s="191"/>
      <c r="W168" s="202"/>
      <c r="X168" s="191"/>
      <c r="Y168" s="264"/>
      <c r="Z168" s="264"/>
      <c r="AA168" s="264"/>
    </row>
    <row r="169" spans="1:27" ht="12.75">
      <c r="A169" s="14" t="s">
        <v>130</v>
      </c>
      <c r="B169" s="59">
        <f>+Gastos!G169</f>
        <v>0</v>
      </c>
      <c r="C169" s="59">
        <f aca="true" t="shared" si="174" ref="C169:C183">B169*P169</f>
        <v>0</v>
      </c>
      <c r="D169" s="232">
        <f aca="true" t="shared" si="175" ref="D169:D183">C169*Q169</f>
        <v>0</v>
      </c>
      <c r="E169" s="59">
        <f aca="true" t="shared" si="176" ref="E169:E183">D169*R169</f>
        <v>0</v>
      </c>
      <c r="F169" s="232">
        <f aca="true" t="shared" si="177" ref="F169:F183">E169*S169</f>
        <v>0</v>
      </c>
      <c r="G169" s="59">
        <f aca="true" t="shared" si="178" ref="G169:G183">F169*T169</f>
        <v>0</v>
      </c>
      <c r="H169" s="232">
        <f aca="true" t="shared" si="179" ref="H169:H183">G169*U169</f>
        <v>0</v>
      </c>
      <c r="I169" s="59">
        <f aca="true" t="shared" si="180" ref="I169:I183">H169*V169</f>
        <v>0</v>
      </c>
      <c r="J169" s="232">
        <f aca="true" t="shared" si="181" ref="J169:J183">I169*W169</f>
        <v>0</v>
      </c>
      <c r="K169" s="59">
        <f aca="true" t="shared" si="182" ref="K169:K183">J169*X169</f>
        <v>0</v>
      </c>
      <c r="L169" s="59">
        <f aca="true" t="shared" si="183" ref="L169:L183">K169*Y169</f>
        <v>0</v>
      </c>
      <c r="M169" s="59">
        <f aca="true" t="shared" si="184" ref="M169:M183">L169*Z169</f>
        <v>0</v>
      </c>
      <c r="N169" s="59">
        <f aca="true" t="shared" si="185" ref="N169:N183">M169*AA169</f>
        <v>0</v>
      </c>
      <c r="P169" s="37">
        <f aca="true" t="shared" si="186" ref="P169:P183">1+(0.06+0.025)</f>
        <v>1.085</v>
      </c>
      <c r="Q169" s="41">
        <f aca="true" t="shared" si="187" ref="Q169:Q183">1+(0.045)</f>
        <v>1.045</v>
      </c>
      <c r="R169" s="37">
        <f aca="true" t="shared" si="188" ref="R169:R183">1+(0.04)</f>
        <v>1.04</v>
      </c>
      <c r="S169" s="41">
        <f aca="true" t="shared" si="189" ref="S169:S183">1+(0.035)</f>
        <v>1.035</v>
      </c>
      <c r="T169" s="37">
        <f aca="true" t="shared" si="190" ref="T169:AA183">1+(0.03)</f>
        <v>1.03</v>
      </c>
      <c r="U169" s="41">
        <f t="shared" si="190"/>
        <v>1.03</v>
      </c>
      <c r="V169" s="37">
        <f t="shared" si="190"/>
        <v>1.03</v>
      </c>
      <c r="W169" s="41">
        <f t="shared" si="190"/>
        <v>1.03</v>
      </c>
      <c r="X169" s="37">
        <f t="shared" si="190"/>
        <v>1.03</v>
      </c>
      <c r="Y169" s="115">
        <f t="shared" si="190"/>
        <v>1.03</v>
      </c>
      <c r="Z169" s="115">
        <f t="shared" si="190"/>
        <v>1.03</v>
      </c>
      <c r="AA169" s="115">
        <f t="shared" si="190"/>
        <v>1.03</v>
      </c>
    </row>
    <row r="170" spans="1:27" ht="12.75">
      <c r="A170" s="14" t="s">
        <v>131</v>
      </c>
      <c r="B170" s="59">
        <f>+Gastos!G170</f>
        <v>0</v>
      </c>
      <c r="C170" s="59">
        <f t="shared" si="174"/>
        <v>0</v>
      </c>
      <c r="D170" s="232">
        <f t="shared" si="175"/>
        <v>0</v>
      </c>
      <c r="E170" s="59">
        <f t="shared" si="176"/>
        <v>0</v>
      </c>
      <c r="F170" s="232">
        <f t="shared" si="177"/>
        <v>0</v>
      </c>
      <c r="G170" s="59">
        <f t="shared" si="178"/>
        <v>0</v>
      </c>
      <c r="H170" s="232">
        <f t="shared" si="179"/>
        <v>0</v>
      </c>
      <c r="I170" s="59">
        <f t="shared" si="180"/>
        <v>0</v>
      </c>
      <c r="J170" s="232">
        <f t="shared" si="181"/>
        <v>0</v>
      </c>
      <c r="K170" s="59">
        <f t="shared" si="182"/>
        <v>0</v>
      </c>
      <c r="L170" s="59">
        <f t="shared" si="183"/>
        <v>0</v>
      </c>
      <c r="M170" s="59">
        <f t="shared" si="184"/>
        <v>0</v>
      </c>
      <c r="N170" s="59">
        <f t="shared" si="185"/>
        <v>0</v>
      </c>
      <c r="P170" s="37">
        <f t="shared" si="186"/>
        <v>1.085</v>
      </c>
      <c r="Q170" s="41">
        <f t="shared" si="187"/>
        <v>1.045</v>
      </c>
      <c r="R170" s="37">
        <f t="shared" si="188"/>
        <v>1.04</v>
      </c>
      <c r="S170" s="41">
        <f t="shared" si="189"/>
        <v>1.035</v>
      </c>
      <c r="T170" s="37">
        <f t="shared" si="190"/>
        <v>1.03</v>
      </c>
      <c r="U170" s="41">
        <f t="shared" si="190"/>
        <v>1.03</v>
      </c>
      <c r="V170" s="37">
        <f t="shared" si="190"/>
        <v>1.03</v>
      </c>
      <c r="W170" s="41">
        <f t="shared" si="190"/>
        <v>1.03</v>
      </c>
      <c r="X170" s="37">
        <f t="shared" si="190"/>
        <v>1.03</v>
      </c>
      <c r="Y170" s="115">
        <f t="shared" si="190"/>
        <v>1.03</v>
      </c>
      <c r="Z170" s="115">
        <f t="shared" si="190"/>
        <v>1.03</v>
      </c>
      <c r="AA170" s="115">
        <f t="shared" si="190"/>
        <v>1.03</v>
      </c>
    </row>
    <row r="171" spans="1:27" ht="12.75">
      <c r="A171" s="14" t="s">
        <v>132</v>
      </c>
      <c r="B171" s="59">
        <f>+Gastos!G171</f>
        <v>0</v>
      </c>
      <c r="C171" s="59">
        <f t="shared" si="174"/>
        <v>0</v>
      </c>
      <c r="D171" s="232">
        <f t="shared" si="175"/>
        <v>0</v>
      </c>
      <c r="E171" s="59">
        <f t="shared" si="176"/>
        <v>0</v>
      </c>
      <c r="F171" s="232">
        <f t="shared" si="177"/>
        <v>0</v>
      </c>
      <c r="G171" s="59">
        <f t="shared" si="178"/>
        <v>0</v>
      </c>
      <c r="H171" s="232">
        <f t="shared" si="179"/>
        <v>0</v>
      </c>
      <c r="I171" s="59">
        <f t="shared" si="180"/>
        <v>0</v>
      </c>
      <c r="J171" s="232">
        <f t="shared" si="181"/>
        <v>0</v>
      </c>
      <c r="K171" s="59">
        <f t="shared" si="182"/>
        <v>0</v>
      </c>
      <c r="L171" s="59">
        <f t="shared" si="183"/>
        <v>0</v>
      </c>
      <c r="M171" s="59">
        <f t="shared" si="184"/>
        <v>0</v>
      </c>
      <c r="N171" s="59">
        <f t="shared" si="185"/>
        <v>0</v>
      </c>
      <c r="P171" s="37">
        <f t="shared" si="186"/>
        <v>1.085</v>
      </c>
      <c r="Q171" s="41">
        <f t="shared" si="187"/>
        <v>1.045</v>
      </c>
      <c r="R171" s="37">
        <f t="shared" si="188"/>
        <v>1.04</v>
      </c>
      <c r="S171" s="41">
        <f t="shared" si="189"/>
        <v>1.035</v>
      </c>
      <c r="T171" s="37">
        <f t="shared" si="190"/>
        <v>1.03</v>
      </c>
      <c r="U171" s="41">
        <f t="shared" si="190"/>
        <v>1.03</v>
      </c>
      <c r="V171" s="37">
        <f t="shared" si="190"/>
        <v>1.03</v>
      </c>
      <c r="W171" s="41">
        <f t="shared" si="190"/>
        <v>1.03</v>
      </c>
      <c r="X171" s="37">
        <f t="shared" si="190"/>
        <v>1.03</v>
      </c>
      <c r="Y171" s="115">
        <f t="shared" si="190"/>
        <v>1.03</v>
      </c>
      <c r="Z171" s="115">
        <f t="shared" si="190"/>
        <v>1.03</v>
      </c>
      <c r="AA171" s="115">
        <f t="shared" si="190"/>
        <v>1.03</v>
      </c>
    </row>
    <row r="172" spans="1:27" ht="12.75">
      <c r="A172" s="14" t="s">
        <v>133</v>
      </c>
      <c r="B172" s="59">
        <f>+Gastos!G172</f>
        <v>0</v>
      </c>
      <c r="C172" s="59">
        <f t="shared" si="174"/>
        <v>0</v>
      </c>
      <c r="D172" s="232">
        <f t="shared" si="175"/>
        <v>0</v>
      </c>
      <c r="E172" s="59">
        <f t="shared" si="176"/>
        <v>0</v>
      </c>
      <c r="F172" s="232">
        <f t="shared" si="177"/>
        <v>0</v>
      </c>
      <c r="G172" s="59">
        <f t="shared" si="178"/>
        <v>0</v>
      </c>
      <c r="H172" s="232">
        <f t="shared" si="179"/>
        <v>0</v>
      </c>
      <c r="I172" s="59">
        <f t="shared" si="180"/>
        <v>0</v>
      </c>
      <c r="J172" s="232">
        <f t="shared" si="181"/>
        <v>0</v>
      </c>
      <c r="K172" s="59">
        <f t="shared" si="182"/>
        <v>0</v>
      </c>
      <c r="L172" s="59">
        <f t="shared" si="183"/>
        <v>0</v>
      </c>
      <c r="M172" s="59">
        <f t="shared" si="184"/>
        <v>0</v>
      </c>
      <c r="N172" s="59">
        <f t="shared" si="185"/>
        <v>0</v>
      </c>
      <c r="P172" s="37">
        <f t="shared" si="186"/>
        <v>1.085</v>
      </c>
      <c r="Q172" s="41">
        <f t="shared" si="187"/>
        <v>1.045</v>
      </c>
      <c r="R172" s="37">
        <f t="shared" si="188"/>
        <v>1.04</v>
      </c>
      <c r="S172" s="41">
        <f t="shared" si="189"/>
        <v>1.035</v>
      </c>
      <c r="T172" s="37">
        <f t="shared" si="190"/>
        <v>1.03</v>
      </c>
      <c r="U172" s="41">
        <f t="shared" si="190"/>
        <v>1.03</v>
      </c>
      <c r="V172" s="37">
        <f t="shared" si="190"/>
        <v>1.03</v>
      </c>
      <c r="W172" s="41">
        <f t="shared" si="190"/>
        <v>1.03</v>
      </c>
      <c r="X172" s="37">
        <f t="shared" si="190"/>
        <v>1.03</v>
      </c>
      <c r="Y172" s="115">
        <f t="shared" si="190"/>
        <v>1.03</v>
      </c>
      <c r="Z172" s="115">
        <f t="shared" si="190"/>
        <v>1.03</v>
      </c>
      <c r="AA172" s="115">
        <f t="shared" si="190"/>
        <v>1.03</v>
      </c>
    </row>
    <row r="173" spans="1:27" ht="12.75">
      <c r="A173" s="14" t="s">
        <v>134</v>
      </c>
      <c r="B173" s="59">
        <f>+Gastos!G173</f>
        <v>0</v>
      </c>
      <c r="C173" s="59">
        <f t="shared" si="174"/>
        <v>0</v>
      </c>
      <c r="D173" s="232">
        <f t="shared" si="175"/>
        <v>0</v>
      </c>
      <c r="E173" s="59">
        <f t="shared" si="176"/>
        <v>0</v>
      </c>
      <c r="F173" s="232">
        <f t="shared" si="177"/>
        <v>0</v>
      </c>
      <c r="G173" s="59">
        <f t="shared" si="178"/>
        <v>0</v>
      </c>
      <c r="H173" s="232">
        <f t="shared" si="179"/>
        <v>0</v>
      </c>
      <c r="I173" s="59">
        <f t="shared" si="180"/>
        <v>0</v>
      </c>
      <c r="J173" s="232">
        <f t="shared" si="181"/>
        <v>0</v>
      </c>
      <c r="K173" s="59">
        <f t="shared" si="182"/>
        <v>0</v>
      </c>
      <c r="L173" s="59">
        <f t="shared" si="183"/>
        <v>0</v>
      </c>
      <c r="M173" s="59">
        <f t="shared" si="184"/>
        <v>0</v>
      </c>
      <c r="N173" s="59">
        <f t="shared" si="185"/>
        <v>0</v>
      </c>
      <c r="P173" s="37">
        <f t="shared" si="186"/>
        <v>1.085</v>
      </c>
      <c r="Q173" s="41">
        <f t="shared" si="187"/>
        <v>1.045</v>
      </c>
      <c r="R173" s="37">
        <f t="shared" si="188"/>
        <v>1.04</v>
      </c>
      <c r="S173" s="41">
        <f t="shared" si="189"/>
        <v>1.035</v>
      </c>
      <c r="T173" s="37">
        <f t="shared" si="190"/>
        <v>1.03</v>
      </c>
      <c r="U173" s="41">
        <f t="shared" si="190"/>
        <v>1.03</v>
      </c>
      <c r="V173" s="37">
        <f t="shared" si="190"/>
        <v>1.03</v>
      </c>
      <c r="W173" s="41">
        <f t="shared" si="190"/>
        <v>1.03</v>
      </c>
      <c r="X173" s="37">
        <f t="shared" si="190"/>
        <v>1.03</v>
      </c>
      <c r="Y173" s="115">
        <f t="shared" si="190"/>
        <v>1.03</v>
      </c>
      <c r="Z173" s="115">
        <f t="shared" si="190"/>
        <v>1.03</v>
      </c>
      <c r="AA173" s="115">
        <f t="shared" si="190"/>
        <v>1.03</v>
      </c>
    </row>
    <row r="174" spans="1:27" ht="12.75">
      <c r="A174" s="14" t="s">
        <v>135</v>
      </c>
      <c r="B174" s="59">
        <f>+Gastos!G174</f>
        <v>0</v>
      </c>
      <c r="C174" s="59">
        <f t="shared" si="174"/>
        <v>0</v>
      </c>
      <c r="D174" s="232">
        <f t="shared" si="175"/>
        <v>0</v>
      </c>
      <c r="E174" s="59">
        <f t="shared" si="176"/>
        <v>0</v>
      </c>
      <c r="F174" s="232">
        <f t="shared" si="177"/>
        <v>0</v>
      </c>
      <c r="G174" s="59">
        <f t="shared" si="178"/>
        <v>0</v>
      </c>
      <c r="H174" s="232">
        <f t="shared" si="179"/>
        <v>0</v>
      </c>
      <c r="I174" s="59">
        <f t="shared" si="180"/>
        <v>0</v>
      </c>
      <c r="J174" s="232">
        <f t="shared" si="181"/>
        <v>0</v>
      </c>
      <c r="K174" s="59">
        <f t="shared" si="182"/>
        <v>0</v>
      </c>
      <c r="L174" s="59">
        <f t="shared" si="183"/>
        <v>0</v>
      </c>
      <c r="M174" s="59">
        <f t="shared" si="184"/>
        <v>0</v>
      </c>
      <c r="N174" s="59">
        <f t="shared" si="185"/>
        <v>0</v>
      </c>
      <c r="P174" s="37">
        <f t="shared" si="186"/>
        <v>1.085</v>
      </c>
      <c r="Q174" s="41">
        <f t="shared" si="187"/>
        <v>1.045</v>
      </c>
      <c r="R174" s="37">
        <f t="shared" si="188"/>
        <v>1.04</v>
      </c>
      <c r="S174" s="41">
        <f t="shared" si="189"/>
        <v>1.035</v>
      </c>
      <c r="T174" s="37">
        <f t="shared" si="190"/>
        <v>1.03</v>
      </c>
      <c r="U174" s="41">
        <f t="shared" si="190"/>
        <v>1.03</v>
      </c>
      <c r="V174" s="37">
        <f t="shared" si="190"/>
        <v>1.03</v>
      </c>
      <c r="W174" s="41">
        <f t="shared" si="190"/>
        <v>1.03</v>
      </c>
      <c r="X174" s="37">
        <f t="shared" si="190"/>
        <v>1.03</v>
      </c>
      <c r="Y174" s="115">
        <f t="shared" si="190"/>
        <v>1.03</v>
      </c>
      <c r="Z174" s="115">
        <f t="shared" si="190"/>
        <v>1.03</v>
      </c>
      <c r="AA174" s="115">
        <f t="shared" si="190"/>
        <v>1.03</v>
      </c>
    </row>
    <row r="175" spans="1:27" ht="12.75">
      <c r="A175" s="14" t="s">
        <v>136</v>
      </c>
      <c r="B175" s="59">
        <f>+Gastos!G175</f>
        <v>0</v>
      </c>
      <c r="C175" s="59">
        <f t="shared" si="174"/>
        <v>0</v>
      </c>
      <c r="D175" s="232">
        <f t="shared" si="175"/>
        <v>0</v>
      </c>
      <c r="E175" s="59">
        <f t="shared" si="176"/>
        <v>0</v>
      </c>
      <c r="F175" s="232">
        <f t="shared" si="177"/>
        <v>0</v>
      </c>
      <c r="G175" s="59">
        <f t="shared" si="178"/>
        <v>0</v>
      </c>
      <c r="H175" s="232">
        <f t="shared" si="179"/>
        <v>0</v>
      </c>
      <c r="I175" s="59">
        <f t="shared" si="180"/>
        <v>0</v>
      </c>
      <c r="J175" s="232">
        <f t="shared" si="181"/>
        <v>0</v>
      </c>
      <c r="K175" s="59">
        <f t="shared" si="182"/>
        <v>0</v>
      </c>
      <c r="L175" s="59">
        <f t="shared" si="183"/>
        <v>0</v>
      </c>
      <c r="M175" s="59">
        <f t="shared" si="184"/>
        <v>0</v>
      </c>
      <c r="N175" s="59">
        <f t="shared" si="185"/>
        <v>0</v>
      </c>
      <c r="P175" s="37">
        <f t="shared" si="186"/>
        <v>1.085</v>
      </c>
      <c r="Q175" s="41">
        <f t="shared" si="187"/>
        <v>1.045</v>
      </c>
      <c r="R175" s="37">
        <f t="shared" si="188"/>
        <v>1.04</v>
      </c>
      <c r="S175" s="41">
        <f t="shared" si="189"/>
        <v>1.035</v>
      </c>
      <c r="T175" s="37">
        <f t="shared" si="190"/>
        <v>1.03</v>
      </c>
      <c r="U175" s="41">
        <f t="shared" si="190"/>
        <v>1.03</v>
      </c>
      <c r="V175" s="37">
        <f t="shared" si="190"/>
        <v>1.03</v>
      </c>
      <c r="W175" s="41">
        <f t="shared" si="190"/>
        <v>1.03</v>
      </c>
      <c r="X175" s="37">
        <f t="shared" si="190"/>
        <v>1.03</v>
      </c>
      <c r="Y175" s="115">
        <f t="shared" si="190"/>
        <v>1.03</v>
      </c>
      <c r="Z175" s="115">
        <f t="shared" si="190"/>
        <v>1.03</v>
      </c>
      <c r="AA175" s="115">
        <f t="shared" si="190"/>
        <v>1.03</v>
      </c>
    </row>
    <row r="176" spans="1:27" ht="12.75">
      <c r="A176" s="14" t="s">
        <v>137</v>
      </c>
      <c r="B176" s="59">
        <f>+Gastos!G176</f>
        <v>0</v>
      </c>
      <c r="C176" s="59">
        <f t="shared" si="174"/>
        <v>0</v>
      </c>
      <c r="D176" s="232">
        <f t="shared" si="175"/>
        <v>0</v>
      </c>
      <c r="E176" s="59">
        <f t="shared" si="176"/>
        <v>0</v>
      </c>
      <c r="F176" s="232">
        <f t="shared" si="177"/>
        <v>0</v>
      </c>
      <c r="G176" s="59">
        <f t="shared" si="178"/>
        <v>0</v>
      </c>
      <c r="H176" s="232">
        <f t="shared" si="179"/>
        <v>0</v>
      </c>
      <c r="I176" s="59">
        <f t="shared" si="180"/>
        <v>0</v>
      </c>
      <c r="J176" s="232">
        <f t="shared" si="181"/>
        <v>0</v>
      </c>
      <c r="K176" s="59">
        <f t="shared" si="182"/>
        <v>0</v>
      </c>
      <c r="L176" s="59">
        <f t="shared" si="183"/>
        <v>0</v>
      </c>
      <c r="M176" s="59">
        <f t="shared" si="184"/>
        <v>0</v>
      </c>
      <c r="N176" s="59">
        <f t="shared" si="185"/>
        <v>0</v>
      </c>
      <c r="P176" s="37">
        <f t="shared" si="186"/>
        <v>1.085</v>
      </c>
      <c r="Q176" s="41">
        <f t="shared" si="187"/>
        <v>1.045</v>
      </c>
      <c r="R176" s="37">
        <f t="shared" si="188"/>
        <v>1.04</v>
      </c>
      <c r="S176" s="41">
        <f t="shared" si="189"/>
        <v>1.035</v>
      </c>
      <c r="T176" s="37">
        <f t="shared" si="190"/>
        <v>1.03</v>
      </c>
      <c r="U176" s="41">
        <f t="shared" si="190"/>
        <v>1.03</v>
      </c>
      <c r="V176" s="37">
        <f t="shared" si="190"/>
        <v>1.03</v>
      </c>
      <c r="W176" s="41">
        <f t="shared" si="190"/>
        <v>1.03</v>
      </c>
      <c r="X176" s="37">
        <f t="shared" si="190"/>
        <v>1.03</v>
      </c>
      <c r="Y176" s="115">
        <f t="shared" si="190"/>
        <v>1.03</v>
      </c>
      <c r="Z176" s="115">
        <f t="shared" si="190"/>
        <v>1.03</v>
      </c>
      <c r="AA176" s="115">
        <f t="shared" si="190"/>
        <v>1.03</v>
      </c>
    </row>
    <row r="177" spans="1:27" ht="12.75">
      <c r="A177" s="14" t="s">
        <v>138</v>
      </c>
      <c r="B177" s="59">
        <f>+Gastos!G177</f>
        <v>0</v>
      </c>
      <c r="C177" s="59">
        <f t="shared" si="174"/>
        <v>0</v>
      </c>
      <c r="D177" s="232">
        <f t="shared" si="175"/>
        <v>0</v>
      </c>
      <c r="E177" s="59">
        <f t="shared" si="176"/>
        <v>0</v>
      </c>
      <c r="F177" s="232">
        <f t="shared" si="177"/>
        <v>0</v>
      </c>
      <c r="G177" s="59">
        <f t="shared" si="178"/>
        <v>0</v>
      </c>
      <c r="H177" s="232">
        <f t="shared" si="179"/>
        <v>0</v>
      </c>
      <c r="I177" s="59">
        <f t="shared" si="180"/>
        <v>0</v>
      </c>
      <c r="J177" s="232">
        <f t="shared" si="181"/>
        <v>0</v>
      </c>
      <c r="K177" s="59">
        <f t="shared" si="182"/>
        <v>0</v>
      </c>
      <c r="L177" s="59">
        <f t="shared" si="183"/>
        <v>0</v>
      </c>
      <c r="M177" s="59">
        <f t="shared" si="184"/>
        <v>0</v>
      </c>
      <c r="N177" s="59">
        <f t="shared" si="185"/>
        <v>0</v>
      </c>
      <c r="P177" s="37">
        <f t="shared" si="186"/>
        <v>1.085</v>
      </c>
      <c r="Q177" s="41">
        <f t="shared" si="187"/>
        <v>1.045</v>
      </c>
      <c r="R177" s="37">
        <f t="shared" si="188"/>
        <v>1.04</v>
      </c>
      <c r="S177" s="41">
        <f t="shared" si="189"/>
        <v>1.035</v>
      </c>
      <c r="T177" s="37">
        <f t="shared" si="190"/>
        <v>1.03</v>
      </c>
      <c r="U177" s="41">
        <f t="shared" si="190"/>
        <v>1.03</v>
      </c>
      <c r="V177" s="37">
        <f t="shared" si="190"/>
        <v>1.03</v>
      </c>
      <c r="W177" s="41">
        <f t="shared" si="190"/>
        <v>1.03</v>
      </c>
      <c r="X177" s="37">
        <f t="shared" si="190"/>
        <v>1.03</v>
      </c>
      <c r="Y177" s="115">
        <f t="shared" si="190"/>
        <v>1.03</v>
      </c>
      <c r="Z177" s="115">
        <f t="shared" si="190"/>
        <v>1.03</v>
      </c>
      <c r="AA177" s="115">
        <f t="shared" si="190"/>
        <v>1.03</v>
      </c>
    </row>
    <row r="178" spans="1:27" ht="12.75">
      <c r="A178" s="14" t="s">
        <v>139</v>
      </c>
      <c r="B178" s="59">
        <f>+Gastos!G178</f>
        <v>0</v>
      </c>
      <c r="C178" s="59">
        <f t="shared" si="174"/>
        <v>0</v>
      </c>
      <c r="D178" s="232">
        <f t="shared" si="175"/>
        <v>0</v>
      </c>
      <c r="E178" s="59">
        <f t="shared" si="176"/>
        <v>0</v>
      </c>
      <c r="F178" s="232">
        <f t="shared" si="177"/>
        <v>0</v>
      </c>
      <c r="G178" s="59">
        <f t="shared" si="178"/>
        <v>0</v>
      </c>
      <c r="H178" s="232">
        <f t="shared" si="179"/>
        <v>0</v>
      </c>
      <c r="I178" s="59">
        <f t="shared" si="180"/>
        <v>0</v>
      </c>
      <c r="J178" s="232">
        <f t="shared" si="181"/>
        <v>0</v>
      </c>
      <c r="K178" s="59">
        <f t="shared" si="182"/>
        <v>0</v>
      </c>
      <c r="L178" s="59">
        <f t="shared" si="183"/>
        <v>0</v>
      </c>
      <c r="M178" s="59">
        <f t="shared" si="184"/>
        <v>0</v>
      </c>
      <c r="N178" s="59">
        <f t="shared" si="185"/>
        <v>0</v>
      </c>
      <c r="P178" s="37">
        <f t="shared" si="186"/>
        <v>1.085</v>
      </c>
      <c r="Q178" s="41">
        <f t="shared" si="187"/>
        <v>1.045</v>
      </c>
      <c r="R178" s="37">
        <f t="shared" si="188"/>
        <v>1.04</v>
      </c>
      <c r="S178" s="41">
        <f t="shared" si="189"/>
        <v>1.035</v>
      </c>
      <c r="T178" s="37">
        <f t="shared" si="190"/>
        <v>1.03</v>
      </c>
      <c r="U178" s="41">
        <f t="shared" si="190"/>
        <v>1.03</v>
      </c>
      <c r="V178" s="37">
        <f t="shared" si="190"/>
        <v>1.03</v>
      </c>
      <c r="W178" s="41">
        <f t="shared" si="190"/>
        <v>1.03</v>
      </c>
      <c r="X178" s="37">
        <f t="shared" si="190"/>
        <v>1.03</v>
      </c>
      <c r="Y178" s="115">
        <f t="shared" si="190"/>
        <v>1.03</v>
      </c>
      <c r="Z178" s="115">
        <f t="shared" si="190"/>
        <v>1.03</v>
      </c>
      <c r="AA178" s="115">
        <f t="shared" si="190"/>
        <v>1.03</v>
      </c>
    </row>
    <row r="179" spans="1:27" ht="12.75">
      <c r="A179" s="14" t="s">
        <v>140</v>
      </c>
      <c r="B179" s="59">
        <f>+Gastos!G179</f>
        <v>0</v>
      </c>
      <c r="C179" s="59">
        <f t="shared" si="174"/>
        <v>0</v>
      </c>
      <c r="D179" s="232">
        <f t="shared" si="175"/>
        <v>0</v>
      </c>
      <c r="E179" s="59">
        <f t="shared" si="176"/>
        <v>0</v>
      </c>
      <c r="F179" s="232">
        <f t="shared" si="177"/>
        <v>0</v>
      </c>
      <c r="G179" s="59">
        <f t="shared" si="178"/>
        <v>0</v>
      </c>
      <c r="H179" s="232">
        <f t="shared" si="179"/>
        <v>0</v>
      </c>
      <c r="I179" s="59">
        <f t="shared" si="180"/>
        <v>0</v>
      </c>
      <c r="J179" s="232">
        <f t="shared" si="181"/>
        <v>0</v>
      </c>
      <c r="K179" s="59">
        <f t="shared" si="182"/>
        <v>0</v>
      </c>
      <c r="L179" s="59">
        <f t="shared" si="183"/>
        <v>0</v>
      </c>
      <c r="M179" s="59">
        <f t="shared" si="184"/>
        <v>0</v>
      </c>
      <c r="N179" s="59">
        <f t="shared" si="185"/>
        <v>0</v>
      </c>
      <c r="P179" s="37">
        <f t="shared" si="186"/>
        <v>1.085</v>
      </c>
      <c r="Q179" s="41">
        <f t="shared" si="187"/>
        <v>1.045</v>
      </c>
      <c r="R179" s="37">
        <f t="shared" si="188"/>
        <v>1.04</v>
      </c>
      <c r="S179" s="41">
        <f t="shared" si="189"/>
        <v>1.035</v>
      </c>
      <c r="T179" s="37">
        <f t="shared" si="190"/>
        <v>1.03</v>
      </c>
      <c r="U179" s="41">
        <f t="shared" si="190"/>
        <v>1.03</v>
      </c>
      <c r="V179" s="37">
        <f t="shared" si="190"/>
        <v>1.03</v>
      </c>
      <c r="W179" s="41">
        <f t="shared" si="190"/>
        <v>1.03</v>
      </c>
      <c r="X179" s="37">
        <f t="shared" si="190"/>
        <v>1.03</v>
      </c>
      <c r="Y179" s="115">
        <f t="shared" si="190"/>
        <v>1.03</v>
      </c>
      <c r="Z179" s="115">
        <f t="shared" si="190"/>
        <v>1.03</v>
      </c>
      <c r="AA179" s="115">
        <f t="shared" si="190"/>
        <v>1.03</v>
      </c>
    </row>
    <row r="180" spans="1:27" ht="12.75">
      <c r="A180" s="14" t="s">
        <v>141</v>
      </c>
      <c r="B180" s="59">
        <f>+Gastos!G180</f>
        <v>0</v>
      </c>
      <c r="C180" s="59">
        <f t="shared" si="174"/>
        <v>0</v>
      </c>
      <c r="D180" s="232">
        <f t="shared" si="175"/>
        <v>0</v>
      </c>
      <c r="E180" s="59">
        <f t="shared" si="176"/>
        <v>0</v>
      </c>
      <c r="F180" s="232">
        <f t="shared" si="177"/>
        <v>0</v>
      </c>
      <c r="G180" s="59">
        <f t="shared" si="178"/>
        <v>0</v>
      </c>
      <c r="H180" s="232">
        <f t="shared" si="179"/>
        <v>0</v>
      </c>
      <c r="I180" s="59">
        <f t="shared" si="180"/>
        <v>0</v>
      </c>
      <c r="J180" s="232">
        <f t="shared" si="181"/>
        <v>0</v>
      </c>
      <c r="K180" s="59">
        <f t="shared" si="182"/>
        <v>0</v>
      </c>
      <c r="L180" s="59">
        <f t="shared" si="183"/>
        <v>0</v>
      </c>
      <c r="M180" s="59">
        <f t="shared" si="184"/>
        <v>0</v>
      </c>
      <c r="N180" s="59">
        <f t="shared" si="185"/>
        <v>0</v>
      </c>
      <c r="P180" s="37">
        <f t="shared" si="186"/>
        <v>1.085</v>
      </c>
      <c r="Q180" s="41">
        <f t="shared" si="187"/>
        <v>1.045</v>
      </c>
      <c r="R180" s="37">
        <f t="shared" si="188"/>
        <v>1.04</v>
      </c>
      <c r="S180" s="41">
        <f t="shared" si="189"/>
        <v>1.035</v>
      </c>
      <c r="T180" s="37">
        <f t="shared" si="190"/>
        <v>1.03</v>
      </c>
      <c r="U180" s="41">
        <f t="shared" si="190"/>
        <v>1.03</v>
      </c>
      <c r="V180" s="37">
        <f t="shared" si="190"/>
        <v>1.03</v>
      </c>
      <c r="W180" s="41">
        <f t="shared" si="190"/>
        <v>1.03</v>
      </c>
      <c r="X180" s="37">
        <f t="shared" si="190"/>
        <v>1.03</v>
      </c>
      <c r="Y180" s="115">
        <f t="shared" si="190"/>
        <v>1.03</v>
      </c>
      <c r="Z180" s="115">
        <f t="shared" si="190"/>
        <v>1.03</v>
      </c>
      <c r="AA180" s="115">
        <f t="shared" si="190"/>
        <v>1.03</v>
      </c>
    </row>
    <row r="181" spans="1:27" ht="12.75">
      <c r="A181" s="14" t="s">
        <v>146</v>
      </c>
      <c r="B181" s="59">
        <f>+Gastos!G181</f>
        <v>0</v>
      </c>
      <c r="C181" s="59">
        <f t="shared" si="174"/>
        <v>0</v>
      </c>
      <c r="D181" s="232">
        <f t="shared" si="175"/>
        <v>0</v>
      </c>
      <c r="E181" s="59">
        <f t="shared" si="176"/>
        <v>0</v>
      </c>
      <c r="F181" s="232">
        <f t="shared" si="177"/>
        <v>0</v>
      </c>
      <c r="G181" s="59">
        <f t="shared" si="178"/>
        <v>0</v>
      </c>
      <c r="H181" s="232">
        <f t="shared" si="179"/>
        <v>0</v>
      </c>
      <c r="I181" s="59">
        <f t="shared" si="180"/>
        <v>0</v>
      </c>
      <c r="J181" s="232">
        <f t="shared" si="181"/>
        <v>0</v>
      </c>
      <c r="K181" s="59">
        <f t="shared" si="182"/>
        <v>0</v>
      </c>
      <c r="L181" s="59">
        <f t="shared" si="183"/>
        <v>0</v>
      </c>
      <c r="M181" s="59">
        <f t="shared" si="184"/>
        <v>0</v>
      </c>
      <c r="N181" s="59">
        <f t="shared" si="185"/>
        <v>0</v>
      </c>
      <c r="P181" s="37">
        <f t="shared" si="186"/>
        <v>1.085</v>
      </c>
      <c r="Q181" s="41">
        <f t="shared" si="187"/>
        <v>1.045</v>
      </c>
      <c r="R181" s="37">
        <f t="shared" si="188"/>
        <v>1.04</v>
      </c>
      <c r="S181" s="41">
        <f t="shared" si="189"/>
        <v>1.035</v>
      </c>
      <c r="T181" s="37">
        <f t="shared" si="190"/>
        <v>1.03</v>
      </c>
      <c r="U181" s="41">
        <f t="shared" si="190"/>
        <v>1.03</v>
      </c>
      <c r="V181" s="37">
        <f t="shared" si="190"/>
        <v>1.03</v>
      </c>
      <c r="W181" s="41">
        <f t="shared" si="190"/>
        <v>1.03</v>
      </c>
      <c r="X181" s="37">
        <f t="shared" si="190"/>
        <v>1.03</v>
      </c>
      <c r="Y181" s="115">
        <f t="shared" si="190"/>
        <v>1.03</v>
      </c>
      <c r="Z181" s="115">
        <f t="shared" si="190"/>
        <v>1.03</v>
      </c>
      <c r="AA181" s="115">
        <f t="shared" si="190"/>
        <v>1.03</v>
      </c>
    </row>
    <row r="182" spans="1:27" ht="12.75">
      <c r="A182" s="14" t="s">
        <v>148</v>
      </c>
      <c r="B182" s="59">
        <f>+Gastos!G182</f>
        <v>0</v>
      </c>
      <c r="C182" s="59">
        <f t="shared" si="174"/>
        <v>0</v>
      </c>
      <c r="D182" s="232">
        <f t="shared" si="175"/>
        <v>0</v>
      </c>
      <c r="E182" s="59">
        <f t="shared" si="176"/>
        <v>0</v>
      </c>
      <c r="F182" s="232">
        <f t="shared" si="177"/>
        <v>0</v>
      </c>
      <c r="G182" s="59">
        <f t="shared" si="178"/>
        <v>0</v>
      </c>
      <c r="H182" s="232">
        <f t="shared" si="179"/>
        <v>0</v>
      </c>
      <c r="I182" s="59">
        <f t="shared" si="180"/>
        <v>0</v>
      </c>
      <c r="J182" s="232">
        <f t="shared" si="181"/>
        <v>0</v>
      </c>
      <c r="K182" s="59">
        <f t="shared" si="182"/>
        <v>0</v>
      </c>
      <c r="L182" s="59">
        <f t="shared" si="183"/>
        <v>0</v>
      </c>
      <c r="M182" s="59">
        <f t="shared" si="184"/>
        <v>0</v>
      </c>
      <c r="N182" s="59">
        <f t="shared" si="185"/>
        <v>0</v>
      </c>
      <c r="P182" s="37">
        <f t="shared" si="186"/>
        <v>1.085</v>
      </c>
      <c r="Q182" s="41">
        <f t="shared" si="187"/>
        <v>1.045</v>
      </c>
      <c r="R182" s="37">
        <f t="shared" si="188"/>
        <v>1.04</v>
      </c>
      <c r="S182" s="41">
        <f t="shared" si="189"/>
        <v>1.035</v>
      </c>
      <c r="T182" s="37">
        <f t="shared" si="190"/>
        <v>1.03</v>
      </c>
      <c r="U182" s="41">
        <f t="shared" si="190"/>
        <v>1.03</v>
      </c>
      <c r="V182" s="37">
        <f t="shared" si="190"/>
        <v>1.03</v>
      </c>
      <c r="W182" s="41">
        <f t="shared" si="190"/>
        <v>1.03</v>
      </c>
      <c r="X182" s="37">
        <f t="shared" si="190"/>
        <v>1.03</v>
      </c>
      <c r="Y182" s="115">
        <f t="shared" si="190"/>
        <v>1.03</v>
      </c>
      <c r="Z182" s="115">
        <f t="shared" si="190"/>
        <v>1.03</v>
      </c>
      <c r="AA182" s="115">
        <f t="shared" si="190"/>
        <v>1.03</v>
      </c>
    </row>
    <row r="183" spans="1:27" ht="13.5" thickBot="1">
      <c r="A183" s="20" t="s">
        <v>150</v>
      </c>
      <c r="B183" s="156">
        <f>+Gastos!G183</f>
        <v>0</v>
      </c>
      <c r="C183" s="211">
        <f t="shared" si="174"/>
        <v>0</v>
      </c>
      <c r="D183" s="212">
        <f t="shared" si="175"/>
        <v>0</v>
      </c>
      <c r="E183" s="211">
        <f t="shared" si="176"/>
        <v>0</v>
      </c>
      <c r="F183" s="212">
        <f t="shared" si="177"/>
        <v>0</v>
      </c>
      <c r="G183" s="211">
        <f t="shared" si="178"/>
        <v>0</v>
      </c>
      <c r="H183" s="212">
        <f t="shared" si="179"/>
        <v>0</v>
      </c>
      <c r="I183" s="156">
        <f t="shared" si="180"/>
        <v>0</v>
      </c>
      <c r="J183" s="212">
        <f t="shared" si="181"/>
        <v>0</v>
      </c>
      <c r="K183" s="156">
        <f t="shared" si="182"/>
        <v>0</v>
      </c>
      <c r="L183" s="156">
        <f t="shared" si="183"/>
        <v>0</v>
      </c>
      <c r="M183" s="156">
        <f t="shared" si="184"/>
        <v>0</v>
      </c>
      <c r="N183" s="156">
        <f t="shared" si="185"/>
        <v>0</v>
      </c>
      <c r="P183" s="37">
        <f t="shared" si="186"/>
        <v>1.085</v>
      </c>
      <c r="Q183" s="41">
        <f t="shared" si="187"/>
        <v>1.045</v>
      </c>
      <c r="R183" s="37">
        <f t="shared" si="188"/>
        <v>1.04</v>
      </c>
      <c r="S183" s="41">
        <f t="shared" si="189"/>
        <v>1.035</v>
      </c>
      <c r="T183" s="37">
        <f t="shared" si="190"/>
        <v>1.03</v>
      </c>
      <c r="U183" s="41">
        <f t="shared" si="190"/>
        <v>1.03</v>
      </c>
      <c r="V183" s="37">
        <f t="shared" si="190"/>
        <v>1.03</v>
      </c>
      <c r="W183" s="41">
        <f t="shared" si="190"/>
        <v>1.03</v>
      </c>
      <c r="X183" s="37">
        <f t="shared" si="190"/>
        <v>1.03</v>
      </c>
      <c r="Y183" s="115">
        <f t="shared" si="190"/>
        <v>1.03</v>
      </c>
      <c r="Z183" s="115">
        <f t="shared" si="190"/>
        <v>1.03</v>
      </c>
      <c r="AA183" s="115">
        <f t="shared" si="190"/>
        <v>1.03</v>
      </c>
    </row>
    <row r="184" spans="1:27" ht="13.5" thickBot="1">
      <c r="A184" s="21" t="s">
        <v>151</v>
      </c>
      <c r="B184" s="53">
        <f>SUM(B185)</f>
        <v>0</v>
      </c>
      <c r="C184" s="65">
        <f>SUM(C185)</f>
        <v>0</v>
      </c>
      <c r="D184" s="170">
        <f aca="true" t="shared" si="191" ref="D184:N184">SUM(D185)</f>
        <v>0</v>
      </c>
      <c r="E184" s="53">
        <f t="shared" si="191"/>
        <v>0</v>
      </c>
      <c r="F184" s="65">
        <f t="shared" si="191"/>
        <v>0</v>
      </c>
      <c r="G184" s="53">
        <f t="shared" si="191"/>
        <v>0</v>
      </c>
      <c r="H184" s="170">
        <f t="shared" si="191"/>
        <v>0</v>
      </c>
      <c r="I184" s="53">
        <f t="shared" si="191"/>
        <v>0</v>
      </c>
      <c r="J184" s="206">
        <f t="shared" si="191"/>
        <v>0</v>
      </c>
      <c r="K184" s="53">
        <f t="shared" si="191"/>
        <v>0</v>
      </c>
      <c r="L184" s="53">
        <f t="shared" si="191"/>
        <v>0</v>
      </c>
      <c r="M184" s="53">
        <f t="shared" si="191"/>
        <v>0</v>
      </c>
      <c r="N184" s="53">
        <f t="shared" si="191"/>
        <v>0</v>
      </c>
      <c r="P184" s="191"/>
      <c r="Q184" s="202"/>
      <c r="R184" s="191"/>
      <c r="S184" s="202"/>
      <c r="T184" s="191"/>
      <c r="U184" s="202"/>
      <c r="V184" s="191"/>
      <c r="W184" s="202"/>
      <c r="X184" s="191"/>
      <c r="Y184" s="264"/>
      <c r="Z184" s="264"/>
      <c r="AA184" s="264"/>
    </row>
    <row r="185" spans="1:27" ht="12.75">
      <c r="A185" s="20" t="s">
        <v>152</v>
      </c>
      <c r="B185" s="213">
        <f>SUM(B186:B189)</f>
        <v>0</v>
      </c>
      <c r="C185" s="214">
        <f>SUM(C186:C189)</f>
        <v>0</v>
      </c>
      <c r="D185" s="215">
        <f aca="true" t="shared" si="192" ref="D185:L185">SUM(D186:D189)</f>
        <v>0</v>
      </c>
      <c r="E185" s="213">
        <f t="shared" si="192"/>
        <v>0</v>
      </c>
      <c r="F185" s="214">
        <f t="shared" si="192"/>
        <v>0</v>
      </c>
      <c r="G185" s="213">
        <f t="shared" si="192"/>
        <v>0</v>
      </c>
      <c r="H185" s="215">
        <f t="shared" si="192"/>
        <v>0</v>
      </c>
      <c r="I185" s="213">
        <f t="shared" si="192"/>
        <v>0</v>
      </c>
      <c r="J185" s="216">
        <f t="shared" si="192"/>
        <v>0</v>
      </c>
      <c r="K185" s="213">
        <f t="shared" si="192"/>
        <v>0</v>
      </c>
      <c r="L185" s="213">
        <f t="shared" si="192"/>
        <v>0</v>
      </c>
      <c r="M185" s="213">
        <f>SUM(M186:M189)</f>
        <v>0</v>
      </c>
      <c r="N185" s="213">
        <f>SUM(N186:N189)</f>
        <v>0</v>
      </c>
      <c r="P185" s="191"/>
      <c r="Q185" s="202"/>
      <c r="R185" s="191"/>
      <c r="S185" s="202"/>
      <c r="T185" s="191"/>
      <c r="U185" s="202"/>
      <c r="V185" s="191"/>
      <c r="W185" s="202"/>
      <c r="X185" s="191"/>
      <c r="Y185" s="264"/>
      <c r="Z185" s="264"/>
      <c r="AA185" s="264"/>
    </row>
    <row r="186" spans="1:27" ht="12.75">
      <c r="A186" s="14" t="s">
        <v>153</v>
      </c>
      <c r="B186" s="38"/>
      <c r="C186" s="75"/>
      <c r="D186" s="219"/>
      <c r="E186" s="38"/>
      <c r="F186" s="75"/>
      <c r="G186" s="38"/>
      <c r="H186" s="219"/>
      <c r="I186" s="38"/>
      <c r="J186" s="36"/>
      <c r="K186" s="38"/>
      <c r="L186" s="38"/>
      <c r="M186" s="38"/>
      <c r="N186" s="38"/>
      <c r="P186" s="191"/>
      <c r="Q186" s="202"/>
      <c r="R186" s="191"/>
      <c r="S186" s="202"/>
      <c r="T186" s="191"/>
      <c r="U186" s="202"/>
      <c r="V186" s="191"/>
      <c r="W186" s="202"/>
      <c r="X186" s="191"/>
      <c r="Y186" s="264"/>
      <c r="Z186" s="264"/>
      <c r="AA186" s="264"/>
    </row>
    <row r="187" spans="1:27" ht="12.75">
      <c r="A187" s="14" t="s">
        <v>154</v>
      </c>
      <c r="B187" s="38"/>
      <c r="C187" s="75"/>
      <c r="D187" s="219"/>
      <c r="E187" s="38"/>
      <c r="F187" s="75"/>
      <c r="G187" s="38"/>
      <c r="H187" s="219"/>
      <c r="I187" s="38"/>
      <c r="J187" s="36"/>
      <c r="K187" s="38"/>
      <c r="L187" s="38"/>
      <c r="M187" s="38"/>
      <c r="N187" s="38"/>
      <c r="P187" s="191"/>
      <c r="Q187" s="202"/>
      <c r="R187" s="191"/>
      <c r="S187" s="202"/>
      <c r="T187" s="191"/>
      <c r="U187" s="202"/>
      <c r="V187" s="191"/>
      <c r="W187" s="202"/>
      <c r="X187" s="191"/>
      <c r="Y187" s="264"/>
      <c r="Z187" s="264"/>
      <c r="AA187" s="264"/>
    </row>
    <row r="188" spans="1:27" ht="12.75">
      <c r="A188" s="14" t="s">
        <v>155</v>
      </c>
      <c r="B188" s="38"/>
      <c r="C188" s="75"/>
      <c r="D188" s="219"/>
      <c r="E188" s="38"/>
      <c r="F188" s="75"/>
      <c r="G188" s="38"/>
      <c r="H188" s="219"/>
      <c r="I188" s="38"/>
      <c r="J188" s="36"/>
      <c r="K188" s="38"/>
      <c r="L188" s="38"/>
      <c r="M188" s="38"/>
      <c r="N188" s="38"/>
      <c r="P188" s="191"/>
      <c r="Q188" s="202"/>
      <c r="R188" s="191"/>
      <c r="S188" s="202"/>
      <c r="T188" s="191"/>
      <c r="U188" s="202"/>
      <c r="V188" s="191"/>
      <c r="W188" s="202"/>
      <c r="X188" s="191"/>
      <c r="Y188" s="264"/>
      <c r="Z188" s="264"/>
      <c r="AA188" s="264"/>
    </row>
    <row r="189" spans="1:27" ht="13.5" thickBot="1">
      <c r="A189" s="132" t="s">
        <v>156</v>
      </c>
      <c r="B189" s="98"/>
      <c r="C189" s="79"/>
      <c r="D189" s="220"/>
      <c r="E189" s="98"/>
      <c r="F189" s="79"/>
      <c r="G189" s="98"/>
      <c r="H189" s="220"/>
      <c r="I189" s="98"/>
      <c r="J189" s="221"/>
      <c r="K189" s="98"/>
      <c r="L189" s="98"/>
      <c r="M189" s="98"/>
      <c r="N189" s="98"/>
      <c r="P189" s="196"/>
      <c r="Q189" s="265"/>
      <c r="R189" s="196"/>
      <c r="S189" s="265"/>
      <c r="T189" s="196"/>
      <c r="U189" s="265"/>
      <c r="V189" s="196"/>
      <c r="W189" s="265"/>
      <c r="X189" s="196"/>
      <c r="Y189" s="266"/>
      <c r="Z189" s="266"/>
      <c r="AA189" s="266"/>
    </row>
    <row r="192" ht="18">
      <c r="A192" s="94" t="s">
        <v>8</v>
      </c>
    </row>
    <row r="194" ht="13.5" thickBot="1"/>
    <row r="195" spans="1:27" ht="48.75" thickBot="1">
      <c r="A195" s="4" t="s">
        <v>9</v>
      </c>
      <c r="B195" s="50" t="s">
        <v>246</v>
      </c>
      <c r="C195" s="16" t="s">
        <v>238</v>
      </c>
      <c r="D195" s="1" t="s">
        <v>11</v>
      </c>
      <c r="E195" s="1" t="s">
        <v>12</v>
      </c>
      <c r="F195" s="1" t="s">
        <v>13</v>
      </c>
      <c r="G195" s="1" t="s">
        <v>14</v>
      </c>
      <c r="H195" s="1" t="s">
        <v>15</v>
      </c>
      <c r="I195" s="1" t="s">
        <v>16</v>
      </c>
      <c r="J195" s="1" t="s">
        <v>17</v>
      </c>
      <c r="K195" s="1" t="s">
        <v>18</v>
      </c>
      <c r="L195" s="1" t="s">
        <v>19</v>
      </c>
      <c r="M195" s="1" t="s">
        <v>466</v>
      </c>
      <c r="N195" s="1" t="s">
        <v>467</v>
      </c>
      <c r="P195" s="16" t="s">
        <v>244</v>
      </c>
      <c r="Q195" s="16" t="s">
        <v>255</v>
      </c>
      <c r="R195" s="16" t="s">
        <v>256</v>
      </c>
      <c r="S195" s="16" t="s">
        <v>257</v>
      </c>
      <c r="T195" s="16" t="s">
        <v>258</v>
      </c>
      <c r="U195" s="16" t="s">
        <v>259</v>
      </c>
      <c r="V195" s="16" t="s">
        <v>260</v>
      </c>
      <c r="W195" s="16" t="s">
        <v>261</v>
      </c>
      <c r="X195" s="16" t="s">
        <v>263</v>
      </c>
      <c r="Y195" s="16" t="s">
        <v>262</v>
      </c>
      <c r="Z195" s="16" t="s">
        <v>468</v>
      </c>
      <c r="AA195" s="16" t="s">
        <v>469</v>
      </c>
    </row>
    <row r="196" spans="1:27" ht="13.5" thickBot="1">
      <c r="A196" s="13" t="s">
        <v>10</v>
      </c>
      <c r="B196" s="53">
        <f aca="true" t="shared" si="193" ref="B196:L196">SUM(B197:B198)</f>
        <v>89236198.29</v>
      </c>
      <c r="C196" s="53">
        <f t="shared" si="193"/>
        <v>93698008.20450002</v>
      </c>
      <c r="D196" s="53">
        <f t="shared" si="193"/>
        <v>116527505</v>
      </c>
      <c r="E196" s="53">
        <f t="shared" si="193"/>
        <v>121188605.2</v>
      </c>
      <c r="F196" s="53">
        <f t="shared" si="193"/>
        <v>125430206.382</v>
      </c>
      <c r="G196" s="53">
        <f t="shared" si="193"/>
        <v>129193112.57345998</v>
      </c>
      <c r="H196" s="53">
        <f t="shared" si="193"/>
        <v>133068905.9506638</v>
      </c>
      <c r="I196" s="206">
        <f t="shared" si="193"/>
        <v>137060973.1291837</v>
      </c>
      <c r="J196" s="53">
        <f t="shared" si="193"/>
        <v>141172802.3230592</v>
      </c>
      <c r="K196" s="53">
        <f t="shared" si="193"/>
        <v>145407986.392751</v>
      </c>
      <c r="L196" s="53">
        <f t="shared" si="193"/>
        <v>149770225.98453355</v>
      </c>
      <c r="M196" s="53">
        <f>SUM(M197:M198)</f>
        <v>154263332.76406956</v>
      </c>
      <c r="N196" s="53">
        <f>SUM(N197:N198)</f>
        <v>158891232.74699163</v>
      </c>
      <c r="P196" s="218"/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</row>
    <row r="197" spans="1:27" ht="12.75">
      <c r="A197" s="8" t="s">
        <v>26</v>
      </c>
      <c r="B197" s="59">
        <f>+Gastos!G197</f>
        <v>48419407.7</v>
      </c>
      <c r="C197" s="59">
        <f>+B197*P197</f>
        <v>50840378.08500001</v>
      </c>
      <c r="D197" s="258">
        <f>+'[3]PASIVA'!$M$15+'[3]PASIVA'!$O$15</f>
        <v>63708500</v>
      </c>
      <c r="E197" s="59">
        <f aca="true" t="shared" si="194" ref="E197:N198">+D197*R197</f>
        <v>66256840</v>
      </c>
      <c r="F197" s="59">
        <f t="shared" si="194"/>
        <v>68575829.39999999</v>
      </c>
      <c r="G197" s="59">
        <f t="shared" si="194"/>
        <v>70633104.28199999</v>
      </c>
      <c r="H197" s="59">
        <f t="shared" si="194"/>
        <v>72752097.41046</v>
      </c>
      <c r="I197" s="263">
        <f t="shared" si="194"/>
        <v>74934660.33277379</v>
      </c>
      <c r="J197" s="59">
        <f t="shared" si="194"/>
        <v>77182700.142757</v>
      </c>
      <c r="K197" s="59">
        <f t="shared" si="194"/>
        <v>79498181.14703971</v>
      </c>
      <c r="L197" s="59">
        <f t="shared" si="194"/>
        <v>81883126.58145091</v>
      </c>
      <c r="M197" s="59">
        <f t="shared" si="194"/>
        <v>84339620.37889443</v>
      </c>
      <c r="N197" s="59">
        <f t="shared" si="194"/>
        <v>86869808.99026127</v>
      </c>
      <c r="P197" s="37">
        <f>1+(0.05)</f>
        <v>1.05</v>
      </c>
      <c r="Q197" s="37">
        <f>1+(0.045)</f>
        <v>1.045</v>
      </c>
      <c r="R197" s="37">
        <f>1+(0.04)</f>
        <v>1.04</v>
      </c>
      <c r="S197" s="37">
        <f>1+(0.035)</f>
        <v>1.035</v>
      </c>
      <c r="T197" s="37">
        <f aca="true" t="shared" si="195" ref="T197:AA198">1+(0.03)</f>
        <v>1.03</v>
      </c>
      <c r="U197" s="37">
        <f t="shared" si="195"/>
        <v>1.03</v>
      </c>
      <c r="V197" s="37">
        <f t="shared" si="195"/>
        <v>1.03</v>
      </c>
      <c r="W197" s="37">
        <f t="shared" si="195"/>
        <v>1.03</v>
      </c>
      <c r="X197" s="37">
        <f t="shared" si="195"/>
        <v>1.03</v>
      </c>
      <c r="Y197" s="37">
        <f t="shared" si="195"/>
        <v>1.03</v>
      </c>
      <c r="Z197" s="37">
        <f t="shared" si="195"/>
        <v>1.03</v>
      </c>
      <c r="AA197" s="37">
        <f t="shared" si="195"/>
        <v>1.03</v>
      </c>
    </row>
    <row r="198" spans="1:27" ht="13.5" thickBot="1">
      <c r="A198" s="9" t="s">
        <v>27</v>
      </c>
      <c r="B198" s="91">
        <f>+Gastos!G198</f>
        <v>40816790.59</v>
      </c>
      <c r="C198" s="91">
        <f>+B198*P198</f>
        <v>42857630.119500004</v>
      </c>
      <c r="D198" s="91">
        <f>+'[3]PASIVA'!$M$43+'[3]PASIVA'!$O$43</f>
        <v>52819005</v>
      </c>
      <c r="E198" s="91">
        <f t="shared" si="194"/>
        <v>54931765.2</v>
      </c>
      <c r="F198" s="91">
        <f t="shared" si="194"/>
        <v>56854376.982</v>
      </c>
      <c r="G198" s="91">
        <f t="shared" si="194"/>
        <v>58560008.29146</v>
      </c>
      <c r="H198" s="91">
        <f t="shared" si="194"/>
        <v>60316808.5402038</v>
      </c>
      <c r="I198" s="262">
        <f t="shared" si="194"/>
        <v>62126312.79640992</v>
      </c>
      <c r="J198" s="91">
        <f t="shared" si="194"/>
        <v>63990102.18030222</v>
      </c>
      <c r="K198" s="91">
        <f t="shared" si="194"/>
        <v>65909805.24571129</v>
      </c>
      <c r="L198" s="91">
        <f t="shared" si="194"/>
        <v>67887099.40308262</v>
      </c>
      <c r="M198" s="91">
        <f t="shared" si="194"/>
        <v>69923712.38517511</v>
      </c>
      <c r="N198" s="91">
        <f t="shared" si="194"/>
        <v>72021423.75673036</v>
      </c>
      <c r="P198" s="43">
        <f>1+(0.05)</f>
        <v>1.05</v>
      </c>
      <c r="Q198" s="43">
        <f>1+(0.045)</f>
        <v>1.045</v>
      </c>
      <c r="R198" s="43">
        <f>1+(0.04)</f>
        <v>1.04</v>
      </c>
      <c r="S198" s="43">
        <f>1+(0.035)</f>
        <v>1.035</v>
      </c>
      <c r="T198" s="43">
        <f t="shared" si="195"/>
        <v>1.03</v>
      </c>
      <c r="U198" s="43">
        <f t="shared" si="195"/>
        <v>1.03</v>
      </c>
      <c r="V198" s="43">
        <f t="shared" si="195"/>
        <v>1.03</v>
      </c>
      <c r="W198" s="43">
        <f t="shared" si="195"/>
        <v>1.03</v>
      </c>
      <c r="X198" s="43">
        <f t="shared" si="195"/>
        <v>1.03</v>
      </c>
      <c r="Y198" s="43">
        <f t="shared" si="195"/>
        <v>1.03</v>
      </c>
      <c r="Z198" s="43">
        <f t="shared" si="195"/>
        <v>1.03</v>
      </c>
      <c r="AA198" s="43">
        <f t="shared" si="195"/>
        <v>1.03</v>
      </c>
    </row>
  </sheetData>
  <sheetProtection/>
  <mergeCells count="5">
    <mergeCell ref="A8:L8"/>
    <mergeCell ref="A1:L1"/>
    <mergeCell ref="A3:L3"/>
    <mergeCell ref="A5:L5"/>
    <mergeCell ref="A7:L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tabSelected="1" zoomScale="50" zoomScaleNormal="50" zoomScalePageLayoutView="0" workbookViewId="0" topLeftCell="A1">
      <selection activeCell="F10" sqref="F10"/>
    </sheetView>
  </sheetViews>
  <sheetFormatPr defaultColWidth="11.421875" defaultRowHeight="12.75"/>
  <cols>
    <col min="1" max="1" width="76.140625" style="295" customWidth="1"/>
    <col min="2" max="2" width="32.7109375" style="295" hidden="1" customWidth="1"/>
    <col min="3" max="3" width="29.421875" style="295" hidden="1" customWidth="1"/>
    <col min="4" max="5" width="29.421875" style="295" bestFit="1" customWidth="1"/>
    <col min="6" max="11" width="30.7109375" style="295" bestFit="1" customWidth="1"/>
    <col min="12" max="12" width="30.7109375" style="295" customWidth="1"/>
    <col min="13" max="14" width="30.8515625" style="295" customWidth="1"/>
    <col min="15" max="16384" width="11.421875" style="295" customWidth="1"/>
  </cols>
  <sheetData>
    <row r="1" spans="1:12" s="385" customFormat="1" ht="27.75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="385" customFormat="1" ht="27.75"/>
    <row r="3" spans="1:12" s="385" customFormat="1" ht="27.75">
      <c r="A3" s="396" t="s">
        <v>201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="385" customFormat="1" ht="27.75"/>
    <row r="5" spans="1:12" s="385" customFormat="1" ht="27.75">
      <c r="A5" s="397" t="s">
        <v>356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</row>
    <row r="6" s="385" customFormat="1" ht="27.75"/>
    <row r="7" spans="1:12" s="385" customFormat="1" ht="27.75">
      <c r="A7" s="394" t="s">
        <v>329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</row>
    <row r="8" spans="1:12" s="385" customFormat="1" ht="27.75">
      <c r="A8" s="394" t="s">
        <v>470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</row>
    <row r="9" s="347" customFormat="1" ht="27" thickBot="1"/>
    <row r="10" spans="1:14" ht="105.75" thickBot="1">
      <c r="A10" s="296" t="s">
        <v>203</v>
      </c>
      <c r="B10" s="297" t="s">
        <v>254</v>
      </c>
      <c r="C10" s="296" t="s">
        <v>238</v>
      </c>
      <c r="D10" s="296" t="s">
        <v>11</v>
      </c>
      <c r="E10" s="296" t="s">
        <v>12</v>
      </c>
      <c r="F10" s="296" t="s">
        <v>13</v>
      </c>
      <c r="G10" s="296" t="s">
        <v>14</v>
      </c>
      <c r="H10" s="296" t="s">
        <v>15</v>
      </c>
      <c r="I10" s="296" t="s">
        <v>16</v>
      </c>
      <c r="J10" s="296" t="s">
        <v>17</v>
      </c>
      <c r="K10" s="296" t="s">
        <v>202</v>
      </c>
      <c r="L10" s="296" t="s">
        <v>19</v>
      </c>
      <c r="M10" s="296" t="s">
        <v>466</v>
      </c>
      <c r="N10" s="296" t="s">
        <v>467</v>
      </c>
    </row>
    <row r="11" spans="1:14" ht="27" thickBot="1">
      <c r="A11" s="298" t="s">
        <v>159</v>
      </c>
      <c r="B11" s="299">
        <f aca="true" t="shared" si="0" ref="B11:L11">+B12+B53</f>
        <v>2953187261.15</v>
      </c>
      <c r="C11" s="299">
        <f t="shared" si="0"/>
        <v>3155410050.7530003</v>
      </c>
      <c r="D11" s="299">
        <f t="shared" si="0"/>
        <v>4939584473.809999</v>
      </c>
      <c r="E11" s="299">
        <f t="shared" si="0"/>
        <v>5094329620.1816</v>
      </c>
      <c r="F11" s="299">
        <f t="shared" si="0"/>
        <v>3738007369.0923343</v>
      </c>
      <c r="G11" s="299">
        <f t="shared" si="0"/>
        <v>3960494223.686473</v>
      </c>
      <c r="H11" s="299">
        <f t="shared" si="0"/>
        <v>4177876121.704477</v>
      </c>
      <c r="I11" s="299">
        <f t="shared" si="0"/>
        <v>4407752499.275635</v>
      </c>
      <c r="J11" s="299">
        <f t="shared" si="0"/>
        <v>4649317600.143262</v>
      </c>
      <c r="K11" s="299">
        <f t="shared" si="0"/>
        <v>4904494106.059295</v>
      </c>
      <c r="L11" s="299">
        <f t="shared" si="0"/>
        <v>5174540070.561047</v>
      </c>
      <c r="M11" s="299">
        <f>+M12+M53</f>
        <v>5460335090.455312</v>
      </c>
      <c r="N11" s="299">
        <f>+N12+N53</f>
        <v>5762811161.925209</v>
      </c>
    </row>
    <row r="12" spans="1:14" ht="27" thickBot="1">
      <c r="A12" s="300" t="s">
        <v>160</v>
      </c>
      <c r="B12" s="301">
        <f>SUM(B13+B20+B23)</f>
        <v>2611848631.15</v>
      </c>
      <c r="C12" s="301">
        <f aca="true" t="shared" si="1" ref="C12:L12">SUM(C13+C20+C23)</f>
        <v>2799346428.493</v>
      </c>
      <c r="D12" s="301">
        <f t="shared" si="1"/>
        <v>3265370057.47</v>
      </c>
      <c r="E12" s="301">
        <f t="shared" si="1"/>
        <v>3348937257.3729</v>
      </c>
      <c r="F12" s="301">
        <f t="shared" si="1"/>
        <v>3571584811.694739</v>
      </c>
      <c r="G12" s="301">
        <f t="shared" si="1"/>
        <v>3791488648.6128626</v>
      </c>
      <c r="H12" s="301">
        <f t="shared" si="1"/>
        <v>4006300070.5331287</v>
      </c>
      <c r="I12" s="301">
        <f t="shared" si="1"/>
        <v>4233619840.858716</v>
      </c>
      <c r="J12" s="301">
        <f t="shared" si="1"/>
        <v>4474187050.386646</v>
      </c>
      <c r="K12" s="301">
        <f t="shared" si="1"/>
        <v>4728784793.058545</v>
      </c>
      <c r="L12" s="301">
        <f t="shared" si="1"/>
        <v>4998242795.880218</v>
      </c>
      <c r="M12" s="301">
        <f>SUM(M13+M20+M23)</f>
        <v>5283440206.328336</v>
      </c>
      <c r="N12" s="301">
        <f>SUM(N13+N20+N23)</f>
        <v>5585308546.684201</v>
      </c>
    </row>
    <row r="13" spans="1:14" ht="27" thickBot="1">
      <c r="A13" s="302" t="s">
        <v>161</v>
      </c>
      <c r="B13" s="303">
        <f>SUM(B14:B19)</f>
        <v>354545107</v>
      </c>
      <c r="C13" s="303">
        <f aca="true" t="shared" si="2" ref="C13:L13">SUM(C14:C19)</f>
        <v>374045087.885</v>
      </c>
      <c r="D13" s="303">
        <f t="shared" si="2"/>
        <v>357996152.64</v>
      </c>
      <c r="E13" s="303">
        <f t="shared" si="2"/>
        <v>374105979.50879997</v>
      </c>
      <c r="F13" s="303">
        <f t="shared" si="2"/>
        <v>389070218.68915194</v>
      </c>
      <c r="G13" s="303">
        <f t="shared" si="2"/>
        <v>402687676.34327227</v>
      </c>
      <c r="H13" s="303">
        <f t="shared" si="2"/>
        <v>414768306.6335704</v>
      </c>
      <c r="I13" s="303">
        <f t="shared" si="2"/>
        <v>427211355.83257747</v>
      </c>
      <c r="J13" s="303">
        <f t="shared" si="2"/>
        <v>440027696.5075549</v>
      </c>
      <c r="K13" s="303">
        <f t="shared" si="2"/>
        <v>453228527.40278155</v>
      </c>
      <c r="L13" s="303">
        <f t="shared" si="2"/>
        <v>466825383.22486496</v>
      </c>
      <c r="M13" s="303">
        <f>SUM(M14:M19)</f>
        <v>480830144.72161096</v>
      </c>
      <c r="N13" s="303">
        <f>SUM(N14:N19)</f>
        <v>495255049.0632593</v>
      </c>
    </row>
    <row r="14" spans="1:14" ht="25.5">
      <c r="A14" s="304" t="str">
        <f>+Ingresos!A15</f>
        <v>    Impuesto Predial Unificado (Incluye predial de Resguardos)</v>
      </c>
      <c r="B14" s="305">
        <f>+Ingresos!G15</f>
        <v>147118712</v>
      </c>
      <c r="C14" s="305">
        <f>+'Proyección Ingreso'!C15</f>
        <v>155210241.16</v>
      </c>
      <c r="D14" s="305">
        <f>+'Proyección Ingreso'!D15</f>
        <v>186137497</v>
      </c>
      <c r="E14" s="305">
        <f>+'Proyección Ingreso'!E15</f>
        <v>194513684.36499998</v>
      </c>
      <c r="F14" s="305">
        <f>+'Proyección Ingreso'!F15</f>
        <v>202294231.73959997</v>
      </c>
      <c r="G14" s="305">
        <f>+'Proyección Ingreso'!G15</f>
        <v>209374529.85048595</v>
      </c>
      <c r="H14" s="305">
        <f>+'Proyección Ingreso'!H15</f>
        <v>215655765.74600053</v>
      </c>
      <c r="I14" s="305">
        <f>+'Proyección Ingreso'!I15</f>
        <v>222125438.71838054</v>
      </c>
      <c r="J14" s="305">
        <f>+'Proyección Ingreso'!J15</f>
        <v>228789201.87993196</v>
      </c>
      <c r="K14" s="305">
        <f>+'Proyección Ingreso'!K15</f>
        <v>235652877.93632993</v>
      </c>
      <c r="L14" s="305">
        <f>+'Proyección Ingreso'!L15</f>
        <v>242722464.27441984</v>
      </c>
      <c r="M14" s="305">
        <f>+'Proyección Ingreso'!M15</f>
        <v>250004138.20265245</v>
      </c>
      <c r="N14" s="305">
        <f>+'Proyección Ingreso'!N15</f>
        <v>257504262.34873202</v>
      </c>
    </row>
    <row r="15" spans="1:14" ht="25.5">
      <c r="A15" s="304" t="str">
        <f>+Ingresos!A17</f>
        <v>    Impuesto de Circulación y Tránsito Servicio Público</v>
      </c>
      <c r="B15" s="305">
        <f>+Ingresos!G17</f>
        <v>5204700</v>
      </c>
      <c r="C15" s="305">
        <f>+'Proyección Ingreso'!C17</f>
        <v>5490958.5</v>
      </c>
      <c r="D15" s="305">
        <f>+'Proyección Ingreso'!D17</f>
        <v>5391660</v>
      </c>
      <c r="E15" s="305">
        <f>+'Proyección Ingreso'!E17</f>
        <v>5634284.699999999</v>
      </c>
      <c r="F15" s="305">
        <f>+'Proyección Ingreso'!F17</f>
        <v>5859656.0879999995</v>
      </c>
      <c r="G15" s="305">
        <f>+'Proyección Ingreso'!G17</f>
        <v>6064744.051079999</v>
      </c>
      <c r="H15" s="305">
        <f>+'Proyección Ingreso'!H17</f>
        <v>6246686.372612399</v>
      </c>
      <c r="I15" s="305">
        <f>+'Proyección Ingreso'!I17</f>
        <v>6434086.963790772</v>
      </c>
      <c r="J15" s="305">
        <f>+'Proyección Ingreso'!J17</f>
        <v>6627109.572704495</v>
      </c>
      <c r="K15" s="305">
        <f>+'Proyección Ingreso'!K17</f>
        <v>6825922.85988563</v>
      </c>
      <c r="L15" s="305">
        <f>+'Proyección Ingreso'!L17</f>
        <v>7030700.545682199</v>
      </c>
      <c r="M15" s="305">
        <f>+'Proyección Ingreso'!M17</f>
        <v>7241621.562052665</v>
      </c>
      <c r="N15" s="305">
        <f>+'Proyección Ingreso'!N17</f>
        <v>7458870.2089142455</v>
      </c>
    </row>
    <row r="16" spans="1:14" ht="25.5">
      <c r="A16" s="304" t="str">
        <f>+Ingresos!A18</f>
        <v>    Impuesto de Industria y Comercio</v>
      </c>
      <c r="B16" s="305">
        <f>+Ingresos!G18</f>
        <v>2982210</v>
      </c>
      <c r="C16" s="305">
        <f>+'Proyección Ingreso'!C18</f>
        <v>3146231.55</v>
      </c>
      <c r="D16" s="305">
        <f>+'Proyección Ingreso'!D18</f>
        <v>3448188</v>
      </c>
      <c r="E16" s="305">
        <f>+'Proyección Ingreso'!E18</f>
        <v>3603356.46</v>
      </c>
      <c r="F16" s="305">
        <f>+'Proyección Ingreso'!F18</f>
        <v>3747490.7184</v>
      </c>
      <c r="G16" s="305">
        <f>+'Proyección Ingreso'!G18</f>
        <v>3878652.8935439996</v>
      </c>
      <c r="H16" s="305">
        <f>+'Proyección Ingreso'!H18</f>
        <v>3995012.4803503198</v>
      </c>
      <c r="I16" s="305">
        <f>+'Proyección Ingreso'!I18</f>
        <v>4114862.8547608294</v>
      </c>
      <c r="J16" s="305">
        <f>+'Proyección Ingreso'!J18</f>
        <v>4238308.740403654</v>
      </c>
      <c r="K16" s="305">
        <f>+'Proyección Ingreso'!K18</f>
        <v>4365458.002615764</v>
      </c>
      <c r="L16" s="305">
        <f>+'Proyección Ingreso'!L18</f>
        <v>4496421.742694237</v>
      </c>
      <c r="M16" s="305">
        <f>+'Proyección Ingreso'!M18</f>
        <v>4631314.394975064</v>
      </c>
      <c r="N16" s="305">
        <f>+'Proyección Ingreso'!N18</f>
        <v>4770253.826824317</v>
      </c>
    </row>
    <row r="17" spans="1:14" ht="25.5">
      <c r="A17" s="304" t="str">
        <f>+Ingresos!A19</f>
        <v>    Sobretasa a la Gasolina</v>
      </c>
      <c r="B17" s="305">
        <f>+Ingresos!G19</f>
        <v>110339000</v>
      </c>
      <c r="C17" s="305">
        <f>+'Proyección Ingreso'!C19</f>
        <v>116407645</v>
      </c>
      <c r="D17" s="305">
        <f>+'Proyección Ingreso'!D19</f>
        <v>112411000</v>
      </c>
      <c r="E17" s="305">
        <f>+'Proyección Ingreso'!E19</f>
        <v>117469494.99999999</v>
      </c>
      <c r="F17" s="305">
        <f>+'Proyección Ingreso'!F19</f>
        <v>122168274.79999998</v>
      </c>
      <c r="G17" s="305">
        <f>+'Proyección Ingreso'!G19</f>
        <v>126444164.41799997</v>
      </c>
      <c r="H17" s="305">
        <f>+'Proyección Ingreso'!H19</f>
        <v>130237489.35053997</v>
      </c>
      <c r="I17" s="305">
        <f>+'Proyección Ingreso'!I19</f>
        <v>134144614.03105617</v>
      </c>
      <c r="J17" s="305">
        <f>+'Proyección Ingreso'!J19</f>
        <v>138168952.45198786</v>
      </c>
      <c r="K17" s="305">
        <f>+'Proyección Ingreso'!K19</f>
        <v>142314021.0255475</v>
      </c>
      <c r="L17" s="305">
        <f>+'Proyección Ingreso'!L19</f>
        <v>146583441.65631393</v>
      </c>
      <c r="M17" s="305">
        <f>+'Proyección Ingreso'!M19</f>
        <v>150980944.90600336</v>
      </c>
      <c r="N17" s="305">
        <f>+'Proyección Ingreso'!N19</f>
        <v>155510373.25318345</v>
      </c>
    </row>
    <row r="18" spans="1:14" ht="25.5">
      <c r="A18" s="304" t="str">
        <f>+Ingresos!A22</f>
        <v>    Impuesto de Avisos y Tableros</v>
      </c>
      <c r="B18" s="305">
        <f>+Ingresos!G22</f>
        <v>301646</v>
      </c>
      <c r="C18" s="305">
        <f>+'Proyección Ingreso'!C22</f>
        <v>318236.52999999997</v>
      </c>
      <c r="D18" s="305">
        <f>+'Proyección Ingreso'!D22</f>
        <v>1843846</v>
      </c>
      <c r="E18" s="305">
        <f>+'Proyección Ingreso'!E22</f>
        <v>1926819.0699999998</v>
      </c>
      <c r="F18" s="305">
        <f>+'Proyección Ingreso'!F22</f>
        <v>2003891.8328</v>
      </c>
      <c r="G18" s="305">
        <f>+'Proyección Ingreso'!G22</f>
        <v>2074028.0469479999</v>
      </c>
      <c r="H18" s="305">
        <f>+'Proyección Ingreso'!H22</f>
        <v>2136248.88835644</v>
      </c>
      <c r="I18" s="305">
        <f>+'Proyección Ingreso'!I22</f>
        <v>2200336.355007133</v>
      </c>
      <c r="J18" s="305">
        <f>+'Proyección Ingreso'!J22</f>
        <v>2266346.445657347</v>
      </c>
      <c r="K18" s="305">
        <f>+'Proyección Ingreso'!K22</f>
        <v>2334336.839027067</v>
      </c>
      <c r="L18" s="305">
        <f>+'Proyección Ingreso'!L22</f>
        <v>2404366.944197879</v>
      </c>
      <c r="M18" s="305">
        <f>+'Proyección Ingreso'!M22</f>
        <v>2476497.9525238154</v>
      </c>
      <c r="N18" s="305">
        <f>+'Proyección Ingreso'!N22</f>
        <v>2550792.89109953</v>
      </c>
    </row>
    <row r="19" spans="1:14" ht="26.25" thickBot="1">
      <c r="A19" s="304" t="s">
        <v>204</v>
      </c>
      <c r="B19" s="305">
        <f>+Ingresos!G16+Ingresos!G20+Ingresos!G21+Ingresos!G23+Ingresos!G24+Ingresos!G25+Ingresos!G26+Ingresos!G27+Ingresos!G28+Ingresos!G29</f>
        <v>88598839</v>
      </c>
      <c r="C19" s="305">
        <f>+'Proyección Ingreso'!C16+'Proyección Ingreso'!C20+'Proyección Ingreso'!C21+'Proyección Ingreso'!C23+'Proyección Ingreso'!C24+'Proyección Ingreso'!C25+'Proyección Ingreso'!C26+'Proyección Ingreso'!C27+'Proyección Ingreso'!C28+'Proyección Ingreso'!C29</f>
        <v>93471775.145</v>
      </c>
      <c r="D19" s="305">
        <f>+'Proyección Ingreso'!D16+'Proyección Ingreso'!D20+'Proyección Ingreso'!D21+'Proyección Ingreso'!D23+'Proyección Ingreso'!D24+'Proyección Ingreso'!D25+'Proyección Ingreso'!D26+'Proyección Ingreso'!D27+'Proyección Ingreso'!D28+'Proyección Ingreso'!D29</f>
        <v>48763961.64</v>
      </c>
      <c r="E19" s="305">
        <f>+'Proyección Ingreso'!E16+'Proyección Ingreso'!E20+'Proyección Ingreso'!E21+'Proyección Ingreso'!E23+'Proyección Ingreso'!E24+'Proyección Ingreso'!E25+'Proyección Ingreso'!E26+'Proyección Ingreso'!E27+'Proyección Ingreso'!E28+'Proyección Ingreso'!E29</f>
        <v>50958339.9138</v>
      </c>
      <c r="F19" s="305">
        <f>+'Proyección Ingreso'!F16+'Proyección Ingreso'!F20+'Proyección Ingreso'!F21+'Proyección Ingreso'!F23+'Proyección Ingreso'!F24+'Proyección Ingreso'!F25+'Proyección Ingreso'!F26+'Proyección Ingreso'!F27+'Proyección Ingreso'!F28+'Proyección Ingreso'!F29</f>
        <v>52996673.510352</v>
      </c>
      <c r="G19" s="305">
        <f>+'Proyección Ingreso'!G16+'Proyección Ingreso'!G20+'Proyección Ingreso'!G21+'Proyección Ingreso'!G23+'Proyección Ingreso'!G24+'Proyección Ingreso'!G25+'Proyección Ingreso'!G26+'Proyección Ingreso'!G27+'Proyección Ingreso'!G28+'Proyección Ingreso'!G29</f>
        <v>54851557.08321432</v>
      </c>
      <c r="H19" s="305">
        <f>+'Proyección Ingreso'!H16+'Proyección Ingreso'!H20+'Proyección Ingreso'!H21+'Proyección Ingreso'!H23+'Proyección Ingreso'!H24+'Proyección Ingreso'!H25+'Proyección Ingreso'!H26+'Proyección Ingreso'!H27+'Proyección Ingreso'!H28+'Proyección Ingreso'!H29</f>
        <v>56497103.79571075</v>
      </c>
      <c r="I19" s="305">
        <f>+'Proyección Ingreso'!I16+'Proyección Ingreso'!I20+'Proyección Ingreso'!I21+'Proyección Ingreso'!I23+'Proyección Ingreso'!I24+'Proyección Ingreso'!I25+'Proyección Ingreso'!I26+'Proyección Ingreso'!I27+'Proyección Ingreso'!I28+'Proyección Ingreso'!I29</f>
        <v>58192016.90958207</v>
      </c>
      <c r="J19" s="305">
        <f>+'Proyección Ingreso'!J16+'Proyección Ingreso'!J20+'Proyección Ingreso'!J21+'Proyección Ingreso'!J23+'Proyección Ingreso'!J24+'Proyección Ingreso'!J25+'Proyección Ingreso'!J26+'Proyección Ingreso'!J27+'Proyección Ingreso'!J28+'Proyección Ingreso'!J29</f>
        <v>59937777.41686954</v>
      </c>
      <c r="K19" s="305">
        <f>+'Proyección Ingreso'!K16+'Proyección Ingreso'!K20+'Proyección Ingreso'!K21+'Proyección Ingreso'!K23+'Proyección Ingreso'!K24+'Proyección Ingreso'!K25+'Proyección Ingreso'!K26+'Proyección Ingreso'!K27+'Proyección Ingreso'!K28+'Proyección Ingreso'!K29</f>
        <v>61735910.73937563</v>
      </c>
      <c r="L19" s="305">
        <f>+'Proyección Ingreso'!L16+'Proyección Ingreso'!L20+'Proyección Ingreso'!L21+'Proyección Ingreso'!L23+'Proyección Ingreso'!L24+'Proyección Ingreso'!L25+'Proyección Ingreso'!L26+'Proyección Ingreso'!L27+'Proyección Ingreso'!L28+'Proyección Ingreso'!L29</f>
        <v>63587988.0615569</v>
      </c>
      <c r="M19" s="305">
        <f>+'Proyección Ingreso'!M16+'Proyección Ingreso'!M20+'Proyección Ingreso'!M21+'Proyección Ingreso'!M23+'Proyección Ingreso'!M24+'Proyección Ingreso'!M25+'Proyección Ingreso'!M26+'Proyección Ingreso'!M27+'Proyección Ingreso'!M28+'Proyección Ingreso'!M29</f>
        <v>65495627.703403614</v>
      </c>
      <c r="N19" s="305">
        <f>+'Proyección Ingreso'!N16+'Proyección Ingreso'!N20+'Proyección Ingreso'!N21+'Proyección Ingreso'!N23+'Proyección Ingreso'!N24+'Proyección Ingreso'!N25+'Proyección Ingreso'!N26+'Proyección Ingreso'!N27+'Proyección Ingreso'!N28+'Proyección Ingreso'!N29</f>
        <v>67460496.53450572</v>
      </c>
    </row>
    <row r="20" spans="1:14" ht="27" thickBot="1">
      <c r="A20" s="306" t="s">
        <v>162</v>
      </c>
      <c r="B20" s="303">
        <f aca="true" t="shared" si="3" ref="B20:J20">SUM(B21:B22)</f>
        <v>161913865.07</v>
      </c>
      <c r="C20" s="303">
        <f t="shared" si="3"/>
        <v>170819127.64884996</v>
      </c>
      <c r="D20" s="303">
        <f t="shared" si="3"/>
        <v>111868847.27</v>
      </c>
      <c r="E20" s="303">
        <f t="shared" si="3"/>
        <v>119257183.0789</v>
      </c>
      <c r="F20" s="303">
        <f t="shared" si="3"/>
        <v>127050311.58542301</v>
      </c>
      <c r="G20" s="303">
        <f t="shared" si="3"/>
        <v>134731512.5571155</v>
      </c>
      <c r="H20" s="303">
        <f t="shared" si="3"/>
        <v>142218136.60433483</v>
      </c>
      <c r="I20" s="303">
        <f t="shared" si="3"/>
        <v>150136040.09320113</v>
      </c>
      <c r="J20" s="303">
        <f t="shared" si="3"/>
        <v>158510562.25017756</v>
      </c>
      <c r="K20" s="303">
        <f>SUM(K21:K22)</f>
        <v>167368546.52911407</v>
      </c>
      <c r="L20" s="303">
        <f>SUM(L21:L22)</f>
        <v>176738430.38110462</v>
      </c>
      <c r="M20" s="303">
        <f>SUM(M21:M22)</f>
        <v>186650340.39602187</v>
      </c>
      <c r="N20" s="303">
        <f>SUM(N21:N22)</f>
        <v>197136193.13759568</v>
      </c>
    </row>
    <row r="21" spans="1:14" ht="25.5">
      <c r="A21" s="304" t="s">
        <v>163</v>
      </c>
      <c r="B21" s="305">
        <f>+Ingresos!G31+Ingresos!G32+Ingresos!G33+Ingresos!G34</f>
        <v>10188544</v>
      </c>
      <c r="C21" s="305">
        <f>+'Proyección Ingreso'!C31+'Proyección Ingreso'!C32+'Proyección Ingreso'!C33+'Proyección Ingreso'!C34</f>
        <v>10748913.919999998</v>
      </c>
      <c r="D21" s="305">
        <f>+'Proyección Ingreso'!D31+'Proyección Ingreso'!D32+'Proyección Ingreso'!D33+'Proyección Ingreso'!D34</f>
        <v>17699340</v>
      </c>
      <c r="E21" s="305">
        <f>+'Proyección Ingreso'!E31+'Proyección Ingreso'!E32+'Proyección Ingreso'!E33+'Proyección Ingreso'!E34</f>
        <v>18495810.3</v>
      </c>
      <c r="F21" s="305">
        <f>+'Proyección Ingreso'!F31+'Proyección Ingreso'!F32+'Proyección Ingreso'!F33+'Proyección Ingreso'!F34</f>
        <v>19235642.712</v>
      </c>
      <c r="G21" s="305">
        <f>+'Proyección Ingreso'!G31+'Proyección Ingreso'!G32+'Proyección Ingreso'!G33+'Proyección Ingreso'!G34</f>
        <v>19908890.20692</v>
      </c>
      <c r="H21" s="305">
        <f>+'Proyección Ingreso'!H31+'Proyección Ingreso'!H32+'Proyección Ingreso'!H33+'Proyección Ingreso'!H34</f>
        <v>20506156.9131276</v>
      </c>
      <c r="I21" s="305">
        <f>+'Proyección Ingreso'!I31+'Proyección Ingreso'!I32+'Proyección Ingreso'!I33+'Proyección Ingreso'!I34</f>
        <v>21121341.62052143</v>
      </c>
      <c r="J21" s="305">
        <f>+'Proyección Ingreso'!J31+'Proyección Ingreso'!J32+'Proyección Ingreso'!J33+'Proyección Ingreso'!J34</f>
        <v>21754981.86913707</v>
      </c>
      <c r="K21" s="305">
        <f>+'Proyección Ingreso'!K31+'Proyección Ingreso'!K32+'Proyección Ingreso'!K33+'Proyección Ingreso'!K34</f>
        <v>22407631.325211182</v>
      </c>
      <c r="L21" s="305">
        <f>+'Proyección Ingreso'!L31+'Proyección Ingreso'!L32+'Proyección Ingreso'!L33+'Proyección Ingreso'!L34</f>
        <v>23079860.26496752</v>
      </c>
      <c r="M21" s="305">
        <f>+'Proyección Ingreso'!M31+'Proyección Ingreso'!M32+'Proyección Ingreso'!M33+'Proyección Ingreso'!M34</f>
        <v>23772256.07291655</v>
      </c>
      <c r="N21" s="305">
        <f>+'Proyección Ingreso'!N31+'Proyección Ingreso'!N32+'Proyección Ingreso'!N33+'Proyección Ingreso'!N34</f>
        <v>24485423.755104043</v>
      </c>
    </row>
    <row r="22" spans="1:14" ht="25.5">
      <c r="A22" s="304" t="s">
        <v>164</v>
      </c>
      <c r="B22" s="305">
        <f>+Ingresos!G59+Ingresos!G63</f>
        <v>151725321.07</v>
      </c>
      <c r="C22" s="305">
        <f>+'Proyección Ingreso'!C59+'Proyección Ingreso'!C63</f>
        <v>160070213.72884998</v>
      </c>
      <c r="D22" s="305">
        <f>+'Proyección Ingreso'!D59+'Proyección Ingreso'!D63</f>
        <v>94169507.27</v>
      </c>
      <c r="E22" s="305">
        <f>+'Proyección Ingreso'!E59+'Proyección Ingreso'!E63</f>
        <v>100761372.7789</v>
      </c>
      <c r="F22" s="305">
        <f>+'Proyección Ingreso'!F59+'Proyección Ingreso'!F63</f>
        <v>107814668.87342301</v>
      </c>
      <c r="G22" s="305">
        <f>+'Proyección Ingreso'!G59+'Proyección Ingreso'!G63</f>
        <v>114822622.3501955</v>
      </c>
      <c r="H22" s="305">
        <f>+'Proyección Ingreso'!H59+'Proyección Ingreso'!H63</f>
        <v>121711979.69120723</v>
      </c>
      <c r="I22" s="305">
        <f>+'Proyección Ingreso'!I59+'Proyección Ingreso'!I63</f>
        <v>129014698.47267969</v>
      </c>
      <c r="J22" s="305">
        <f>+'Proyección Ingreso'!J59+'Proyección Ingreso'!J63</f>
        <v>136755580.38104048</v>
      </c>
      <c r="K22" s="305">
        <f>+'Proyección Ingreso'!K59+'Proyección Ingreso'!K63</f>
        <v>144960915.2039029</v>
      </c>
      <c r="L22" s="305">
        <f>+'Proyección Ingreso'!L59+'Proyección Ingreso'!L63</f>
        <v>153658570.1161371</v>
      </c>
      <c r="M22" s="305">
        <f>+'Proyección Ingreso'!M59+'Proyección Ingreso'!M63</f>
        <v>162878084.32310534</v>
      </c>
      <c r="N22" s="305">
        <f>+'Proyección Ingreso'!N59+'Proyección Ingreso'!N63</f>
        <v>172650769.38249165</v>
      </c>
    </row>
    <row r="23" spans="1:14" ht="26.25">
      <c r="A23" s="307" t="s">
        <v>165</v>
      </c>
      <c r="B23" s="308">
        <f aca="true" t="shared" si="4" ref="B23:L23">SUM(B24+B25+B30)</f>
        <v>2095389659.08</v>
      </c>
      <c r="C23" s="308">
        <f t="shared" si="4"/>
        <v>2254482212.95915</v>
      </c>
      <c r="D23" s="308">
        <f t="shared" si="4"/>
        <v>2795505057.56</v>
      </c>
      <c r="E23" s="308">
        <f t="shared" si="4"/>
        <v>2855574094.7852</v>
      </c>
      <c r="F23" s="308">
        <f>SUM(F24+F25+F30)</f>
        <v>3055464281.420164</v>
      </c>
      <c r="G23" s="308">
        <f t="shared" si="4"/>
        <v>3254069459.712475</v>
      </c>
      <c r="H23" s="308">
        <f t="shared" si="4"/>
        <v>3449313627.2952237</v>
      </c>
      <c r="I23" s="308">
        <f t="shared" si="4"/>
        <v>3656272444.9329376</v>
      </c>
      <c r="J23" s="308">
        <f t="shared" si="4"/>
        <v>3875648791.628914</v>
      </c>
      <c r="K23" s="308">
        <f t="shared" si="4"/>
        <v>4108187719.1266494</v>
      </c>
      <c r="L23" s="308">
        <f t="shared" si="4"/>
        <v>4354678982.274248</v>
      </c>
      <c r="M23" s="308">
        <f>SUM(M24+M25+M30)</f>
        <v>4615959721.210703</v>
      </c>
      <c r="N23" s="308">
        <f>SUM(N24+N25+N30)</f>
        <v>4892917304.483346</v>
      </c>
    </row>
    <row r="24" spans="1:14" ht="26.25">
      <c r="A24" s="309" t="str">
        <f>+Ingresos!A36</f>
        <v>      Transferencias Corrientes (Para Funcionamiento)</v>
      </c>
      <c r="B24" s="310">
        <f>+Ingresos!G36</f>
        <v>861588244</v>
      </c>
      <c r="C24" s="310">
        <f>+'Proyección Ingreso'!C36</f>
        <v>930515303.5200001</v>
      </c>
      <c r="D24" s="310">
        <f>+'Proyección Ingreso'!D36</f>
        <v>381217662</v>
      </c>
      <c r="E24" s="310">
        <f>+'Proyección Ingreso'!E36</f>
        <v>432722664</v>
      </c>
      <c r="F24" s="310">
        <f>+'Proyección Ingreso'!F36</f>
        <v>463013250.48</v>
      </c>
      <c r="G24" s="310">
        <f>+'Proyección Ingreso'!G36</f>
        <v>493109111.7612</v>
      </c>
      <c r="H24" s="310">
        <f>+'Proyección Ingreso'!H36</f>
        <v>522695658.46687204</v>
      </c>
      <c r="I24" s="310">
        <f>+'Proyección Ingreso'!I36</f>
        <v>554057397.9748844</v>
      </c>
      <c r="J24" s="310">
        <f>+'Proyección Ingreso'!J36</f>
        <v>587300841.8533775</v>
      </c>
      <c r="K24" s="310">
        <f>+'Proyección Ingreso'!K36</f>
        <v>622538892.3645802</v>
      </c>
      <c r="L24" s="310">
        <f>+'Proyección Ingreso'!L36</f>
        <v>659891225.906455</v>
      </c>
      <c r="M24" s="310">
        <f>+'Proyección Ingreso'!M36</f>
        <v>699484699.4608424</v>
      </c>
      <c r="N24" s="310">
        <f>+'Proyección Ingreso'!N36</f>
        <v>741453781.4284929</v>
      </c>
    </row>
    <row r="25" spans="1:14" ht="26.25">
      <c r="A25" s="307" t="s">
        <v>166</v>
      </c>
      <c r="B25" s="308">
        <f aca="true" t="shared" si="5" ref="B25:J25">SUM(B26:B29)</f>
        <v>1233801415.08</v>
      </c>
      <c r="C25" s="308">
        <f t="shared" si="5"/>
        <v>1323966909.4391499</v>
      </c>
      <c r="D25" s="308">
        <f t="shared" si="5"/>
        <v>2414287395.56</v>
      </c>
      <c r="E25" s="308">
        <f t="shared" si="5"/>
        <v>2422851430.7852</v>
      </c>
      <c r="F25" s="308">
        <f>SUM(F26:F29)</f>
        <v>2592451030.940164</v>
      </c>
      <c r="G25" s="308">
        <f t="shared" si="5"/>
        <v>2760960347.951275</v>
      </c>
      <c r="H25" s="308">
        <f t="shared" si="5"/>
        <v>2926617968.8283515</v>
      </c>
      <c r="I25" s="308">
        <f t="shared" si="5"/>
        <v>3102215046.958053</v>
      </c>
      <c r="J25" s="308">
        <f t="shared" si="5"/>
        <v>3288347949.7755365</v>
      </c>
      <c r="K25" s="308">
        <f>SUM(K26:K29)</f>
        <v>3485648826.762069</v>
      </c>
      <c r="L25" s="308">
        <f>SUM(L26:L29)</f>
        <v>3694787756.367793</v>
      </c>
      <c r="M25" s="308">
        <f>SUM(M26:M29)</f>
        <v>3916475021.749861</v>
      </c>
      <c r="N25" s="308">
        <f>SUM(N26:N29)</f>
        <v>4151463523.054853</v>
      </c>
    </row>
    <row r="26" spans="1:14" ht="25.5">
      <c r="A26" s="304" t="s">
        <v>247</v>
      </c>
      <c r="B26" s="305">
        <f>+Ingresos!G39</f>
        <v>90808752</v>
      </c>
      <c r="C26" s="305">
        <f>+'Proyección Ingreso'!C41</f>
        <v>98073452.16000001</v>
      </c>
      <c r="D26" s="305">
        <f>+'Proyección Ingreso'!D41</f>
        <v>94942099</v>
      </c>
      <c r="E26" s="305">
        <f>+'Proyección Ingreso'!E41</f>
        <v>114009634</v>
      </c>
      <c r="F26" s="305">
        <f>+'Proyección Ingreso'!F41</f>
        <v>121990308.38000001</v>
      </c>
      <c r="G26" s="305">
        <f>+'Proyección Ingreso'!G41</f>
        <v>129919678.4247</v>
      </c>
      <c r="H26" s="305">
        <f>+'Proyección Ingreso'!H41</f>
        <v>137714859.13018203</v>
      </c>
      <c r="I26" s="305">
        <f>+'Proyección Ingreso'!I41</f>
        <v>145977750.67799297</v>
      </c>
      <c r="J26" s="305">
        <f>+'Proyección Ingreso'!J41</f>
        <v>154736415.71867254</v>
      </c>
      <c r="K26" s="305">
        <f>+'Proyección Ingreso'!K41</f>
        <v>164020600.6617929</v>
      </c>
      <c r="L26" s="305">
        <f>+'Proyección Ingreso'!L41</f>
        <v>173861836.70150048</v>
      </c>
      <c r="M26" s="305">
        <f>+'Proyección Ingreso'!M41</f>
        <v>184293546.9035905</v>
      </c>
      <c r="N26" s="305">
        <f>+'Proyección Ingreso'!N41</f>
        <v>195351159.71780595</v>
      </c>
    </row>
    <row r="27" spans="1:14" ht="25.5">
      <c r="A27" s="304" t="s">
        <v>248</v>
      </c>
      <c r="B27" s="305">
        <f>+Ingresos!G42</f>
        <v>770337337.1899999</v>
      </c>
      <c r="C27" s="305">
        <f>+'Proyección Ingreso'!C42</f>
        <v>831964324.1652</v>
      </c>
      <c r="D27" s="305">
        <f>+'Proyección Ingreso'!D42</f>
        <v>873699418.2</v>
      </c>
      <c r="E27" s="305">
        <f>+'Proyección Ingreso'!E42</f>
        <v>785370115</v>
      </c>
      <c r="F27" s="305">
        <f>+'Proyección Ingreso'!F42</f>
        <v>840346023.05</v>
      </c>
      <c r="G27" s="305">
        <f>+'Proyección Ingreso'!G42</f>
        <v>894968514.54825</v>
      </c>
      <c r="H27" s="305">
        <f>+'Proyección Ingreso'!H42</f>
        <v>948666625.4211451</v>
      </c>
      <c r="I27" s="305">
        <f>+'Proyección Ingreso'!I42</f>
        <v>1005586622.9464138</v>
      </c>
      <c r="J27" s="305">
        <f>+'Proyección Ingreso'!J42</f>
        <v>1065921820.3231987</v>
      </c>
      <c r="K27" s="305">
        <f>+'Proyección Ingreso'!K42</f>
        <v>1129877129.5425906</v>
      </c>
      <c r="L27" s="305">
        <f>+'Proyección Ingreso'!L42</f>
        <v>1197669757.315146</v>
      </c>
      <c r="M27" s="305">
        <f>+'Proyección Ingreso'!M42</f>
        <v>1269529942.7540548</v>
      </c>
      <c r="N27" s="305">
        <f>+'Proyección Ingreso'!N42</f>
        <v>1345701739.3192983</v>
      </c>
    </row>
    <row r="28" spans="1:14" ht="25.5">
      <c r="A28" s="311" t="s">
        <v>249</v>
      </c>
      <c r="B28" s="305">
        <f>+Ingresos!G48</f>
        <v>0</v>
      </c>
      <c r="C28" s="305">
        <f>+'Proyección Ingreso'!C48</f>
        <v>0</v>
      </c>
      <c r="D28" s="305">
        <f>+'Proyección Ingreso'!D48</f>
        <v>882246588</v>
      </c>
      <c r="E28" s="305">
        <f>+'Proyección Ingreso'!E48</f>
        <v>944305190</v>
      </c>
      <c r="F28" s="305">
        <f>+'Proyección Ingreso'!F48</f>
        <v>1010406553.3000001</v>
      </c>
      <c r="G28" s="305">
        <f>+'Proyección Ingreso'!G48</f>
        <v>1076082979.2645001</v>
      </c>
      <c r="H28" s="305">
        <f>+'Proyección Ingreso'!H48</f>
        <v>1140647958.0203702</v>
      </c>
      <c r="I28" s="305">
        <f>+'Proyección Ingreso'!I48</f>
        <v>1209086835.5015926</v>
      </c>
      <c r="J28" s="305">
        <f>+'Proyección Ingreso'!J48</f>
        <v>1281632045.6316884</v>
      </c>
      <c r="K28" s="305">
        <f>+'Proyección Ingreso'!K48</f>
        <v>1358529968.3695898</v>
      </c>
      <c r="L28" s="305">
        <f>+'Proyección Ingreso'!L48</f>
        <v>1440041766.4717653</v>
      </c>
      <c r="M28" s="305">
        <f>+'Proyección Ingreso'!M48</f>
        <v>1526444272.4600713</v>
      </c>
      <c r="N28" s="305">
        <f>+'Proyección Ingreso'!N48</f>
        <v>1618030928.8076756</v>
      </c>
    </row>
    <row r="29" spans="1:14" ht="25.5">
      <c r="A29" s="304" t="s">
        <v>250</v>
      </c>
      <c r="B29" s="305">
        <f>+Ingresos!G49+Ingresos!G50+Ingresos!G51</f>
        <v>372655325.89</v>
      </c>
      <c r="C29" s="305">
        <f>+'Proyección Ingreso'!C49+'Proyección Ingreso'!C50+'Proyección Ingreso'!C51</f>
        <v>393929133.11395</v>
      </c>
      <c r="D29" s="305">
        <f>+'Proyección Ingreso'!D49+'Proyección Ingreso'!D50+'Proyección Ingreso'!D51</f>
        <v>563399290.36</v>
      </c>
      <c r="E29" s="305">
        <f>+'Proyección Ingreso'!E49+'Proyección Ingreso'!E50+'Proyección Ingreso'!E51</f>
        <v>579166491.7852</v>
      </c>
      <c r="F29" s="305">
        <f>+'Proyección Ingreso'!F49+'Proyección Ingreso'!F50+'Proyección Ingreso'!F51</f>
        <v>619708146.2101642</v>
      </c>
      <c r="G29" s="305">
        <f>+'Proyección Ingreso'!G49+'Proyección Ingreso'!G50+'Proyección Ingreso'!G51</f>
        <v>659989175.7138247</v>
      </c>
      <c r="H29" s="305">
        <f>+'Proyección Ingreso'!H49+'Proyección Ingreso'!H50+'Proyección Ingreso'!H51</f>
        <v>699588526.2566543</v>
      </c>
      <c r="I29" s="305">
        <f>+'Proyección Ingreso'!I49+'Proyección Ingreso'!I50+'Proyección Ingreso'!I51</f>
        <v>741563837.8320537</v>
      </c>
      <c r="J29" s="305">
        <f>+'Proyección Ingreso'!J49+'Proyección Ingreso'!J50+'Proyección Ingreso'!J51</f>
        <v>786057668.1019769</v>
      </c>
      <c r="K29" s="305">
        <f>+'Proyección Ingreso'!K49+'Proyección Ingreso'!K50+'Proyección Ingreso'!K51</f>
        <v>833221128.1880955</v>
      </c>
      <c r="L29" s="305">
        <f>+'Proyección Ingreso'!L49+'Proyección Ingreso'!L50+'Proyección Ingreso'!L51</f>
        <v>883214395.8793813</v>
      </c>
      <c r="M29" s="305">
        <f>+'Proyección Ingreso'!M49+'Proyección Ingreso'!M50+'Proyección Ingreso'!M51</f>
        <v>936207259.6321441</v>
      </c>
      <c r="N29" s="305">
        <f>+'Proyección Ingreso'!N49+'Proyección Ingreso'!N50+'Proyección Ingreso'!N51</f>
        <v>992379695.2100729</v>
      </c>
    </row>
    <row r="30" spans="1:14" ht="27" thickBot="1">
      <c r="A30" s="312" t="s">
        <v>55</v>
      </c>
      <c r="B30" s="305">
        <f>+Ingresos!G55</f>
        <v>0</v>
      </c>
      <c r="C30" s="305">
        <f>+'Proyección Ingreso'!C55</f>
        <v>0</v>
      </c>
      <c r="D30" s="305">
        <f>+'Proyección Ingreso'!D55</f>
        <v>0</v>
      </c>
      <c r="E30" s="305">
        <f>+'Proyección Ingreso'!E55</f>
        <v>0</v>
      </c>
      <c r="F30" s="305">
        <f>+'Proyección Ingreso'!F55</f>
        <v>0</v>
      </c>
      <c r="G30" s="305">
        <f>+'Proyección Ingreso'!G55</f>
        <v>0</v>
      </c>
      <c r="H30" s="305">
        <f>+'Proyección Ingreso'!H55</f>
        <v>0</v>
      </c>
      <c r="I30" s="305">
        <f>+'Proyección Ingreso'!I55</f>
        <v>0</v>
      </c>
      <c r="J30" s="305">
        <f>+'Proyección Ingreso'!J55</f>
        <v>0</v>
      </c>
      <c r="K30" s="305">
        <f>+'Proyección Ingreso'!K55</f>
        <v>0</v>
      </c>
      <c r="L30" s="305">
        <f>+'Proyección Ingreso'!L55</f>
        <v>0</v>
      </c>
      <c r="M30" s="305">
        <f>+'Proyección Ingreso'!M55</f>
        <v>0</v>
      </c>
      <c r="N30" s="305">
        <f>+'Proyección Ingreso'!N55</f>
        <v>0</v>
      </c>
    </row>
    <row r="31" spans="1:14" ht="27" thickBot="1">
      <c r="A31" s="313" t="s">
        <v>167</v>
      </c>
      <c r="B31" s="314">
        <f aca="true" t="shared" si="6" ref="B31:J31">+B32+B61</f>
        <v>2808419603.8999996</v>
      </c>
      <c r="C31" s="314">
        <f t="shared" si="6"/>
        <v>2999977452.6250496</v>
      </c>
      <c r="D31" s="314">
        <f t="shared" si="6"/>
        <v>3670649473.39</v>
      </c>
      <c r="E31" s="314">
        <f t="shared" si="6"/>
        <v>3904425725.2077003</v>
      </c>
      <c r="F31" s="314">
        <f t="shared" si="6"/>
        <v>4148938910.9103217</v>
      </c>
      <c r="G31" s="314">
        <f t="shared" si="6"/>
        <v>4388709885.717213</v>
      </c>
      <c r="H31" s="314">
        <f t="shared" si="6"/>
        <v>4622285721.290974</v>
      </c>
      <c r="I31" s="314">
        <f t="shared" si="6"/>
        <v>4868983704.272083</v>
      </c>
      <c r="J31" s="314">
        <f t="shared" si="6"/>
        <v>5129564391.423168</v>
      </c>
      <c r="K31" s="314">
        <f>+K32+K61</f>
        <v>5404833169.750162</v>
      </c>
      <c r="L31" s="314">
        <f>+L32+L61</f>
        <v>5695642922.222023</v>
      </c>
      <c r="M31" s="314">
        <f>+M32+M61</f>
        <v>6002896852.7108</v>
      </c>
      <c r="N31" s="314">
        <f>+N32+N61</f>
        <v>6327551479.683569</v>
      </c>
    </row>
    <row r="32" spans="1:14" ht="27" thickBot="1">
      <c r="A32" s="315" t="s">
        <v>168</v>
      </c>
      <c r="B32" s="316">
        <f aca="true" t="shared" si="7" ref="B32:L32">+B33+B47+B49+B50+B51</f>
        <v>1609577120.6599998</v>
      </c>
      <c r="C32" s="316">
        <f t="shared" si="7"/>
        <v>1699233358.3096497</v>
      </c>
      <c r="D32" s="316">
        <f t="shared" si="7"/>
        <v>2041734590.3799999</v>
      </c>
      <c r="E32" s="316">
        <f t="shared" si="7"/>
        <v>2161486800.387</v>
      </c>
      <c r="F32" s="316">
        <f t="shared" si="7"/>
        <v>2283994261.3521724</v>
      </c>
      <c r="G32" s="316">
        <f t="shared" si="7"/>
        <v>2402543833.9377837</v>
      </c>
      <c r="H32" s="316">
        <f t="shared" si="7"/>
        <v>2516949706.4047794</v>
      </c>
      <c r="I32" s="316">
        <f t="shared" si="7"/>
        <v>2637327528.492717</v>
      </c>
      <c r="J32" s="316">
        <f t="shared" si="7"/>
        <v>2764008845.0970397</v>
      </c>
      <c r="K32" s="316">
        <f t="shared" si="7"/>
        <v>2897344290.6444654</v>
      </c>
      <c r="L32" s="316">
        <f t="shared" si="7"/>
        <v>3037704710.369984</v>
      </c>
      <c r="M32" s="316">
        <f>+M33+M47+M49+M50+M51</f>
        <v>3185482348.1476398</v>
      </c>
      <c r="N32" s="316">
        <f>+N33+N47+N49+N50+N51</f>
        <v>3341092104.8466187</v>
      </c>
    </row>
    <row r="33" spans="1:14" ht="27" thickBot="1">
      <c r="A33" s="300" t="s">
        <v>169</v>
      </c>
      <c r="B33" s="301">
        <f aca="true" t="shared" si="8" ref="B33:J33">+B34+B35+B36</f>
        <v>538296808</v>
      </c>
      <c r="C33" s="301">
        <f t="shared" si="8"/>
        <v>567787389.35355</v>
      </c>
      <c r="D33" s="301">
        <f t="shared" si="8"/>
        <v>789942581.2</v>
      </c>
      <c r="E33" s="301">
        <f t="shared" si="8"/>
        <v>824907359.829</v>
      </c>
      <c r="F33" s="301">
        <f t="shared" si="8"/>
        <v>857297711.19616</v>
      </c>
      <c r="G33" s="301">
        <f t="shared" si="8"/>
        <v>886675980.0561156</v>
      </c>
      <c r="H33" s="301">
        <f t="shared" si="8"/>
        <v>913276259.457799</v>
      </c>
      <c r="I33" s="301">
        <f t="shared" si="8"/>
        <v>940674547.2415329</v>
      </c>
      <c r="J33" s="301">
        <f t="shared" si="8"/>
        <v>968894783.6587789</v>
      </c>
      <c r="K33" s="301">
        <f>+K34+K35+K36</f>
        <v>997961627.1685424</v>
      </c>
      <c r="L33" s="301">
        <f>+L34+L35+L36</f>
        <v>1027900475.9835987</v>
      </c>
      <c r="M33" s="301">
        <f>+M34+M35+M36</f>
        <v>1058737490.2631067</v>
      </c>
      <c r="N33" s="301">
        <f>+N34+N35+N36</f>
        <v>1090499614.971</v>
      </c>
    </row>
    <row r="34" spans="1:14" ht="26.25">
      <c r="A34" s="309" t="str">
        <f>+Gastos!A14</f>
        <v>  GASTOS DE PERSONAL</v>
      </c>
      <c r="B34" s="310">
        <f>+Gastos!G14</f>
        <v>310743204.71000004</v>
      </c>
      <c r="C34" s="310">
        <f>+'Proyección Gasto'!C14</f>
        <v>327834080.96905</v>
      </c>
      <c r="D34" s="310">
        <f>+'Proyección Gasto'!D14</f>
        <v>404878607.8</v>
      </c>
      <c r="E34" s="310">
        <f>+'Proyección Gasto'!E14</f>
        <v>423098145.151</v>
      </c>
      <c r="F34" s="310">
        <f>+'Proyección Gasto'!F14</f>
        <v>440022070.9570401</v>
      </c>
      <c r="G34" s="310">
        <f>+'Proyección Gasto'!G14</f>
        <v>455422843.4405364</v>
      </c>
      <c r="H34" s="310">
        <f>+'Proyección Gasto'!H14</f>
        <v>469085528.7437525</v>
      </c>
      <c r="I34" s="310">
        <f>+'Proyección Gasto'!I14</f>
        <v>483158094.60606503</v>
      </c>
      <c r="J34" s="310">
        <f>+'Proyección Gasto'!J14</f>
        <v>497652837.44424707</v>
      </c>
      <c r="K34" s="310">
        <f>+'Proyección Gasto'!K14</f>
        <v>512582422.56757444</v>
      </c>
      <c r="L34" s="310">
        <f>+'Proyección Gasto'!L14</f>
        <v>527959895.2446017</v>
      </c>
      <c r="M34" s="310">
        <f>+'Proyección Gasto'!M14</f>
        <v>543798692.1019398</v>
      </c>
      <c r="N34" s="310">
        <f>+'Proyección Gasto'!N14</f>
        <v>560112652.864998</v>
      </c>
    </row>
    <row r="35" spans="1:14" ht="26.25">
      <c r="A35" s="309" t="str">
        <f>+Gastos!A29</f>
        <v>  GASTOS GENERALES</v>
      </c>
      <c r="B35" s="310">
        <f>+Gastos!G29</f>
        <v>66087581</v>
      </c>
      <c r="C35" s="310">
        <f>+'Proyección Gasto'!C29</f>
        <v>70052835.86</v>
      </c>
      <c r="D35" s="310">
        <f>+'Proyección Gasto'!D29</f>
        <v>226472334.39999998</v>
      </c>
      <c r="E35" s="310">
        <f>+'Proyección Gasto'!E29</f>
        <v>236663589.44799995</v>
      </c>
      <c r="F35" s="310">
        <f>+'Proyección Gasto'!F29</f>
        <v>246130133.02591997</v>
      </c>
      <c r="G35" s="310">
        <f>+'Proyección Gasto'!G29</f>
        <v>254744687.68182713</v>
      </c>
      <c r="H35" s="310">
        <f>+'Proyección Gasto'!H29</f>
        <v>262387028.31228194</v>
      </c>
      <c r="I35" s="310">
        <f>+'Proyección Gasto'!I29</f>
        <v>270258639.1616504</v>
      </c>
      <c r="J35" s="310">
        <f>+'Proyección Gasto'!J29</f>
        <v>278366398.3364999</v>
      </c>
      <c r="K35" s="310">
        <f>+'Proyección Gasto'!K29</f>
        <v>286717390.28659487</v>
      </c>
      <c r="L35" s="310">
        <f>+'Proyección Gasto'!L29</f>
        <v>295318911.99519277</v>
      </c>
      <c r="M35" s="310">
        <f>+'Proyección Gasto'!M29</f>
        <v>304178479.35504854</v>
      </c>
      <c r="N35" s="310">
        <f>+'Proyección Gasto'!N29</f>
        <v>313303833.7357</v>
      </c>
    </row>
    <row r="36" spans="1:14" ht="26.25">
      <c r="A36" s="307" t="s">
        <v>96</v>
      </c>
      <c r="B36" s="308">
        <f>SUM(B37:B46)</f>
        <v>161466022.29000002</v>
      </c>
      <c r="C36" s="308">
        <f>SUM(C37:C46)</f>
        <v>169900472.5245</v>
      </c>
      <c r="D36" s="308">
        <f aca="true" t="shared" si="9" ref="D36:L36">SUM(D37:D46)</f>
        <v>158591639</v>
      </c>
      <c r="E36" s="308">
        <f t="shared" si="9"/>
        <v>165145625.23</v>
      </c>
      <c r="F36" s="308">
        <f t="shared" si="9"/>
        <v>171145507.2132</v>
      </c>
      <c r="G36" s="308">
        <f t="shared" si="9"/>
        <v>176508448.933752</v>
      </c>
      <c r="H36" s="308">
        <f t="shared" si="9"/>
        <v>181803702.40176457</v>
      </c>
      <c r="I36" s="308">
        <f t="shared" si="9"/>
        <v>187257813.4738175</v>
      </c>
      <c r="J36" s="308">
        <f t="shared" si="9"/>
        <v>192875547.878032</v>
      </c>
      <c r="K36" s="308">
        <f t="shared" si="9"/>
        <v>198661814.31437296</v>
      </c>
      <c r="L36" s="308">
        <f t="shared" si="9"/>
        <v>204621668.7438042</v>
      </c>
      <c r="M36" s="308">
        <f>SUM(M37:M46)</f>
        <v>210760318.80611834</v>
      </c>
      <c r="N36" s="308">
        <f>SUM(N37:N46)</f>
        <v>217083128.37030187</v>
      </c>
    </row>
    <row r="37" spans="1:14" ht="25.5">
      <c r="A37" s="304" t="str">
        <f>+Gastos!A37</f>
        <v>          Pensiones (mesadas)</v>
      </c>
      <c r="B37" s="305">
        <f>+Gastos!G37+Gastos!G47</f>
        <v>20007803</v>
      </c>
      <c r="C37" s="305">
        <f>+'Proyección Gasto'!C37+'Proyección Gasto'!C47</f>
        <v>21108232.165</v>
      </c>
      <c r="D37" s="305">
        <f>+'Proyección Gasto'!D37+'Proyección Gasto'!D47</f>
        <v>24613512</v>
      </c>
      <c r="E37" s="305">
        <f>+'Proyección Gasto'!E37+'Proyección Gasto'!E47</f>
        <v>25721120.04</v>
      </c>
      <c r="F37" s="305">
        <f>+'Proyección Gasto'!F37+'Proyección Gasto'!F47</f>
        <v>26749964.8416</v>
      </c>
      <c r="G37" s="305">
        <f>+'Proyección Gasto'!G37+'Proyección Gasto'!G47</f>
        <v>27686213.611056</v>
      </c>
      <c r="H37" s="305">
        <f>+'Proyección Gasto'!H37+'Proyección Gasto'!H47</f>
        <v>28516800.01938768</v>
      </c>
      <c r="I37" s="305">
        <f>+'Proyección Gasto'!I37+'Proyección Gasto'!I47</f>
        <v>29372304.01996931</v>
      </c>
      <c r="J37" s="305">
        <f>+'Proyección Gasto'!J37+'Proyección Gasto'!J47</f>
        <v>30253473.14056839</v>
      </c>
      <c r="K37" s="305">
        <f>+'Proyección Gasto'!K37+'Proyección Gasto'!K47</f>
        <v>31161077.334785443</v>
      </c>
      <c r="L37" s="305">
        <f>+'Proyección Gasto'!L37+'Proyección Gasto'!L47</f>
        <v>32095909.654829007</v>
      </c>
      <c r="M37" s="305">
        <f>+'Proyección Gasto'!M37+'Proyección Gasto'!M47</f>
        <v>33058786.944473878</v>
      </c>
      <c r="N37" s="305">
        <f>+'Proyección Gasto'!N37+'Proyección Gasto'!N47</f>
        <v>34050550.55280809</v>
      </c>
    </row>
    <row r="38" spans="1:14" ht="25.5">
      <c r="A38" s="304" t="s">
        <v>170</v>
      </c>
      <c r="B38" s="305">
        <f>+Gastos!G36+Gastos!G38+Gastos!G46+Gastos!G48</f>
        <v>7995333</v>
      </c>
      <c r="C38" s="305">
        <f>+'Proyección Gasto'!C36+'Proyección Gasto'!C38+'Proyección Gasto'!C46+'Proyección Gasto'!C48</f>
        <v>8435076.315</v>
      </c>
      <c r="D38" s="305">
        <f>+'Proyección Gasto'!D36+'Proyección Gasto'!D38+'Proyección Gasto'!D46+'Proyección Gasto'!D48</f>
        <v>1283741</v>
      </c>
      <c r="E38" s="305">
        <f>+'Proyección Gasto'!E36+'Proyección Gasto'!E38+'Proyección Gasto'!E46+'Proyección Gasto'!E48</f>
        <v>1341509.345</v>
      </c>
      <c r="F38" s="305">
        <f>+'Proyección Gasto'!F36+'Proyección Gasto'!F38+'Proyección Gasto'!F46+'Proyección Gasto'!F48</f>
        <v>1395169.7188</v>
      </c>
      <c r="G38" s="305">
        <f>+'Proyección Gasto'!G36+'Proyección Gasto'!G38+'Proyección Gasto'!G46+'Proyección Gasto'!G48</f>
        <v>1444000.658958</v>
      </c>
      <c r="H38" s="305">
        <f>+'Proyección Gasto'!H36+'Proyección Gasto'!H38+'Proyección Gasto'!H46+'Proyección Gasto'!H48</f>
        <v>1487320.67872674</v>
      </c>
      <c r="I38" s="305">
        <f>+'Proyección Gasto'!I36+'Proyección Gasto'!I38+'Proyección Gasto'!I46+'Proyección Gasto'!I48</f>
        <v>1531940.2990885421</v>
      </c>
      <c r="J38" s="305">
        <f>+'Proyección Gasto'!J36+'Proyección Gasto'!J38+'Proyección Gasto'!J46+'Proyección Gasto'!J48</f>
        <v>1577898.5080611985</v>
      </c>
      <c r="K38" s="305">
        <f>+'Proyección Gasto'!K36+'Proyección Gasto'!K38+'Proyección Gasto'!K46+'Proyección Gasto'!K48</f>
        <v>1625235.4633030344</v>
      </c>
      <c r="L38" s="305">
        <f>+'Proyección Gasto'!L36+'Proyección Gasto'!L38+'Proyección Gasto'!L46+'Proyección Gasto'!L48</f>
        <v>1673992.5272021254</v>
      </c>
      <c r="M38" s="305">
        <f>+'Proyección Gasto'!M36+'Proyección Gasto'!M38+'Proyección Gasto'!M46+'Proyección Gasto'!M48</f>
        <v>1724212.3030181893</v>
      </c>
      <c r="N38" s="305">
        <f>+'Proyección Gasto'!N36+'Proyección Gasto'!N38+'Proyección Gasto'!N46+'Proyección Gasto'!N48</f>
        <v>1775938.672108735</v>
      </c>
    </row>
    <row r="39" spans="1:14" ht="25.5">
      <c r="A39" s="304" t="s">
        <v>197</v>
      </c>
      <c r="B39" s="305">
        <f>+Gastos!G40</f>
        <v>0</v>
      </c>
      <c r="C39" s="305">
        <f>+'Proyección Gasto'!C40</f>
        <v>0</v>
      </c>
      <c r="D39" s="305">
        <f>+'Proyección Gasto'!D40</f>
        <v>1224000</v>
      </c>
      <c r="E39" s="305">
        <f>+'Proyección Gasto'!E40</f>
        <v>1279080</v>
      </c>
      <c r="F39" s="305">
        <f>+'Proyección Gasto'!F40</f>
        <v>1330243.2</v>
      </c>
      <c r="G39" s="305">
        <f>+'Proyección Gasto'!G40</f>
        <v>1376801.7119999998</v>
      </c>
      <c r="H39" s="305">
        <f>+'Proyección Gasto'!H40</f>
        <v>1418105.7633599997</v>
      </c>
      <c r="I39" s="305">
        <f>+'Proyección Gasto'!I40</f>
        <v>1460648.9362607999</v>
      </c>
      <c r="J39" s="305">
        <f>+'Proyección Gasto'!J40</f>
        <v>1504468.404348624</v>
      </c>
      <c r="K39" s="305">
        <f>+'Proyección Gasto'!K40</f>
        <v>1549602.4564790826</v>
      </c>
      <c r="L39" s="305">
        <f>+'Proyección Gasto'!L40</f>
        <v>1596090.5301734551</v>
      </c>
      <c r="M39" s="305">
        <f>+'Proyección Gasto'!M40</f>
        <v>1643973.2460786588</v>
      </c>
      <c r="N39" s="305">
        <f>+'Proyección Gasto'!N40</f>
        <v>1693292.4434610186</v>
      </c>
    </row>
    <row r="40" spans="1:14" ht="25.5">
      <c r="A40" s="304" t="s">
        <v>171</v>
      </c>
      <c r="B40" s="305">
        <f>+Gastos!G41</f>
        <v>0</v>
      </c>
      <c r="C40" s="305">
        <f>+'Proyección Gasto'!C41</f>
        <v>0</v>
      </c>
      <c r="D40" s="305">
        <f>+'Proyección Gasto'!D41</f>
        <v>12540</v>
      </c>
      <c r="E40" s="305">
        <f>+'Proyección Gasto'!E41</f>
        <v>13104.3</v>
      </c>
      <c r="F40" s="305">
        <f>+'Proyección Gasto'!F41</f>
        <v>13628.472</v>
      </c>
      <c r="G40" s="305">
        <f>+'Proyección Gasto'!G41</f>
        <v>14105.468519999999</v>
      </c>
      <c r="H40" s="305">
        <f>+'Proyección Gasto'!H41</f>
        <v>14528.632575599999</v>
      </c>
      <c r="I40" s="305">
        <f>+'Proyección Gasto'!I41</f>
        <v>14964.491552868</v>
      </c>
      <c r="J40" s="305">
        <f>+'Proyección Gasto'!J41</f>
        <v>15413.42629945404</v>
      </c>
      <c r="K40" s="305">
        <f>+'Proyección Gasto'!K41</f>
        <v>15875.829088437662</v>
      </c>
      <c r="L40" s="305">
        <f>+'Proyección Gasto'!L41</f>
        <v>16352.103961090792</v>
      </c>
      <c r="M40" s="305">
        <f>+'Proyección Gasto'!M41</f>
        <v>16842.667079923514</v>
      </c>
      <c r="N40" s="305">
        <f>+'Proyección Gasto'!N41</f>
        <v>17347.94709232122</v>
      </c>
    </row>
    <row r="41" spans="1:14" ht="25.5">
      <c r="A41" s="304" t="s">
        <v>172</v>
      </c>
      <c r="B41" s="305">
        <f>+Gastos!G42+Gastos!G196</f>
        <v>89236198.29</v>
      </c>
      <c r="C41" s="305">
        <f>+'Proyección Gasto'!C42+'Proyección Gasto'!C196</f>
        <v>93698008.20450002</v>
      </c>
      <c r="D41" s="305">
        <f>+'Proyección Gasto'!D42+'Proyección Gasto'!D196</f>
        <v>128886535</v>
      </c>
      <c r="E41" s="305">
        <f>+'Proyección Gasto'!E42+'Proyección Gasto'!E196</f>
        <v>134103791.55</v>
      </c>
      <c r="F41" s="305">
        <f>+'Proyección Gasto'!F42+'Proyección Gasto'!F196</f>
        <v>138862000.186</v>
      </c>
      <c r="G41" s="305">
        <f>+'Proyección Gasto'!G42+'Proyección Gasto'!G196</f>
        <v>143095019.16059998</v>
      </c>
      <c r="H41" s="305">
        <f>+'Proyección Gasto'!H42+'Proyección Gasto'!H196</f>
        <v>147387869.735418</v>
      </c>
      <c r="I41" s="305">
        <f>+'Proyección Gasto'!I42+'Proyección Gasto'!I196</f>
        <v>151809505.82748052</v>
      </c>
      <c r="J41" s="305">
        <f>+'Proyección Gasto'!J42+'Proyección Gasto'!J196</f>
        <v>156363791.00230494</v>
      </c>
      <c r="K41" s="305">
        <f>+'Proyección Gasto'!K42+'Proyección Gasto'!K196</f>
        <v>161054704.7323741</v>
      </c>
      <c r="L41" s="305">
        <f>+'Proyección Gasto'!L42+'Proyección Gasto'!L196</f>
        <v>165886345.87434533</v>
      </c>
      <c r="M41" s="305">
        <f>+'Proyección Gasto'!M42+'Proyección Gasto'!M196</f>
        <v>170862936.25057572</v>
      </c>
      <c r="N41" s="305">
        <f>+'Proyección Gasto'!N42+'Proyección Gasto'!N196</f>
        <v>175988824.33809298</v>
      </c>
    </row>
    <row r="42" spans="1:14" ht="25.5">
      <c r="A42" s="304" t="s">
        <v>106</v>
      </c>
      <c r="B42" s="305">
        <f>+Gastos!G43</f>
        <v>9186500</v>
      </c>
      <c r="C42" s="305">
        <f>+'Proyección Gasto'!C43</f>
        <v>9691757.5</v>
      </c>
      <c r="D42" s="305">
        <f>+'Proyección Gasto'!D43</f>
        <v>0</v>
      </c>
      <c r="E42" s="305">
        <f>+'Proyección Gasto'!E43</f>
        <v>0</v>
      </c>
      <c r="F42" s="305">
        <f>+'Proyección Gasto'!F43</f>
        <v>0</v>
      </c>
      <c r="G42" s="305">
        <f>+'Proyección Gasto'!G43</f>
        <v>0</v>
      </c>
      <c r="H42" s="305">
        <f>+'Proyección Gasto'!H43</f>
        <v>0</v>
      </c>
      <c r="I42" s="305">
        <f>+'Proyección Gasto'!I43</f>
        <v>0</v>
      </c>
      <c r="J42" s="305">
        <f>+'Proyección Gasto'!J43</f>
        <v>0</v>
      </c>
      <c r="K42" s="305">
        <f>+'Proyección Gasto'!K43</f>
        <v>0</v>
      </c>
      <c r="L42" s="305">
        <f>+'Proyección Gasto'!L43</f>
        <v>0</v>
      </c>
      <c r="M42" s="305">
        <f>+'Proyección Gasto'!M43</f>
        <v>0</v>
      </c>
      <c r="N42" s="305">
        <f>+'Proyección Gasto'!N43</f>
        <v>0</v>
      </c>
    </row>
    <row r="43" spans="1:14" ht="25.5">
      <c r="A43" s="304" t="s">
        <v>252</v>
      </c>
      <c r="B43" s="305">
        <f>+Gastos!G50</f>
        <v>0</v>
      </c>
      <c r="C43" s="305">
        <f>+'Proyección Gasto'!C50</f>
        <v>0</v>
      </c>
      <c r="D43" s="305">
        <f>+'Proyección Gasto'!D50</f>
        <v>0</v>
      </c>
      <c r="E43" s="305">
        <f>+'Proyección Gasto'!E50</f>
        <v>0</v>
      </c>
      <c r="F43" s="305">
        <f>+'Proyección Gasto'!F50</f>
        <v>0</v>
      </c>
      <c r="G43" s="305">
        <f>+'Proyección Gasto'!G50</f>
        <v>0</v>
      </c>
      <c r="H43" s="305">
        <f>+'Proyección Gasto'!H50</f>
        <v>0</v>
      </c>
      <c r="I43" s="305">
        <f>+'Proyección Gasto'!I50</f>
        <v>0</v>
      </c>
      <c r="J43" s="305">
        <f>+'Proyección Gasto'!J50</f>
        <v>0</v>
      </c>
      <c r="K43" s="305">
        <f>+'Proyección Gasto'!K50</f>
        <v>0</v>
      </c>
      <c r="L43" s="305">
        <f>+'Proyección Gasto'!L50</f>
        <v>0</v>
      </c>
      <c r="M43" s="305">
        <f>+'Proyección Gasto'!M50</f>
        <v>0</v>
      </c>
      <c r="N43" s="305">
        <f>+'Proyección Gasto'!N50</f>
        <v>0</v>
      </c>
    </row>
    <row r="44" spans="1:14" ht="25.5">
      <c r="A44" s="317" t="s">
        <v>251</v>
      </c>
      <c r="B44" s="305">
        <f>+Gastos!G49</f>
        <v>0</v>
      </c>
      <c r="C44" s="305">
        <f>+'Proyección Gasto'!C49</f>
        <v>0</v>
      </c>
      <c r="D44" s="305">
        <f>+'Proyección Gasto'!D49</f>
        <v>0</v>
      </c>
      <c r="E44" s="305">
        <f>+'Proyección Gasto'!E49</f>
        <v>0</v>
      </c>
      <c r="F44" s="305">
        <f>+'Proyección Gasto'!F49</f>
        <v>0</v>
      </c>
      <c r="G44" s="305">
        <f>+'Proyección Gasto'!G49</f>
        <v>0</v>
      </c>
      <c r="H44" s="305">
        <f>+'Proyección Gasto'!H49</f>
        <v>0</v>
      </c>
      <c r="I44" s="305">
        <f>+'Proyección Gasto'!I49</f>
        <v>0</v>
      </c>
      <c r="J44" s="305">
        <f>+'Proyección Gasto'!J49</f>
        <v>0</v>
      </c>
      <c r="K44" s="305">
        <f>+'Proyección Gasto'!K49</f>
        <v>0</v>
      </c>
      <c r="L44" s="305">
        <f>+'Proyección Gasto'!L49</f>
        <v>0</v>
      </c>
      <c r="M44" s="305">
        <f>+'Proyección Gasto'!M49</f>
        <v>0</v>
      </c>
      <c r="N44" s="305">
        <f>+'Proyección Gasto'!N49</f>
        <v>0</v>
      </c>
    </row>
    <row r="45" spans="1:14" ht="25.5">
      <c r="A45" s="304" t="s">
        <v>173</v>
      </c>
      <c r="B45" s="305">
        <f>+Gastos!G51</f>
        <v>863761</v>
      </c>
      <c r="C45" s="305">
        <f>+'Proyección Gasto'!C51</f>
        <v>911267.855</v>
      </c>
      <c r="D45" s="305">
        <f>+'Proyección Gasto'!D51</f>
        <v>353424</v>
      </c>
      <c r="E45" s="305">
        <f>+'Proyección Gasto'!E51</f>
        <v>369328.07999999996</v>
      </c>
      <c r="F45" s="305">
        <f>+'Proyección Gasto'!F51</f>
        <v>384101.2032</v>
      </c>
      <c r="G45" s="305">
        <f>+'Proyección Gasto'!G51</f>
        <v>397544.745312</v>
      </c>
      <c r="H45" s="305">
        <f>+'Proyección Gasto'!H51</f>
        <v>409471.08767136</v>
      </c>
      <c r="I45" s="305">
        <f>+'Proyección Gasto'!I51</f>
        <v>421755.2203015008</v>
      </c>
      <c r="J45" s="305">
        <f>+'Proyección Gasto'!J51</f>
        <v>434407.87691054586</v>
      </c>
      <c r="K45" s="305">
        <f>+'Proyección Gasto'!K51</f>
        <v>447440.11321786226</v>
      </c>
      <c r="L45" s="305">
        <f>+'Proyección Gasto'!L51</f>
        <v>460863.31661439815</v>
      </c>
      <c r="M45" s="305">
        <f>+'Proyección Gasto'!M51</f>
        <v>474689.2161128301</v>
      </c>
      <c r="N45" s="305">
        <f>+'Proyección Gasto'!N51</f>
        <v>488929.892596215</v>
      </c>
    </row>
    <row r="46" spans="1:14" ht="26.25">
      <c r="A46" s="312" t="s">
        <v>463</v>
      </c>
      <c r="B46" s="305">
        <f>+Gastos!G52</f>
        <v>34176427</v>
      </c>
      <c r="C46" s="305">
        <f>+'Proyección Gasto'!C52</f>
        <v>36056130.485</v>
      </c>
      <c r="D46" s="305">
        <f>+'Proyección Gasto'!D52</f>
        <v>2217887</v>
      </c>
      <c r="E46" s="305">
        <f>+'Proyección Gasto'!E52</f>
        <v>2317691.915</v>
      </c>
      <c r="F46" s="305">
        <f>+'Proyección Gasto'!F52</f>
        <v>2410399.5916</v>
      </c>
      <c r="G46" s="305">
        <f>+'Proyección Gasto'!G52</f>
        <v>2494763.5773059996</v>
      </c>
      <c r="H46" s="305">
        <f>+'Proyección Gasto'!H52</f>
        <v>2569606.48462518</v>
      </c>
      <c r="I46" s="305">
        <f>+'Proyección Gasto'!I52</f>
        <v>2646694.679163935</v>
      </c>
      <c r="J46" s="305">
        <f>+'Proyección Gasto'!J52</f>
        <v>2726095.5195388533</v>
      </c>
      <c r="K46" s="305">
        <f>+'Proyección Gasto'!K52</f>
        <v>2807878.385125019</v>
      </c>
      <c r="L46" s="305">
        <f>+'Proyección Gasto'!L52</f>
        <v>2892114.73667877</v>
      </c>
      <c r="M46" s="305">
        <f>+'Proyección Gasto'!M52</f>
        <v>2978878.178779133</v>
      </c>
      <c r="N46" s="305">
        <f>+'Proyección Gasto'!N52</f>
        <v>3068244.524142507</v>
      </c>
    </row>
    <row r="47" spans="1:14" ht="26.25">
      <c r="A47" s="307" t="s">
        <v>174</v>
      </c>
      <c r="B47" s="308">
        <f aca="true" t="shared" si="10" ref="B47:N47">SUM(B48)</f>
        <v>0</v>
      </c>
      <c r="C47" s="308">
        <f t="shared" si="10"/>
        <v>0</v>
      </c>
      <c r="D47" s="308">
        <f t="shared" si="10"/>
        <v>0</v>
      </c>
      <c r="E47" s="308">
        <f t="shared" si="10"/>
        <v>0</v>
      </c>
      <c r="F47" s="308">
        <f t="shared" si="10"/>
        <v>0</v>
      </c>
      <c r="G47" s="308">
        <f t="shared" si="10"/>
        <v>0</v>
      </c>
      <c r="H47" s="308">
        <f t="shared" si="10"/>
        <v>0</v>
      </c>
      <c r="I47" s="308">
        <f t="shared" si="10"/>
        <v>0</v>
      </c>
      <c r="J47" s="308">
        <f t="shared" si="10"/>
        <v>0</v>
      </c>
      <c r="K47" s="308">
        <f t="shared" si="10"/>
        <v>0</v>
      </c>
      <c r="L47" s="308">
        <f t="shared" si="10"/>
        <v>0</v>
      </c>
      <c r="M47" s="308">
        <f t="shared" si="10"/>
        <v>0</v>
      </c>
      <c r="N47" s="308">
        <f t="shared" si="10"/>
        <v>0</v>
      </c>
    </row>
    <row r="48" spans="1:14" ht="25.5">
      <c r="A48" s="304" t="s">
        <v>175</v>
      </c>
      <c r="B48" s="305">
        <f>+Gastos!G186+Gastos!G187</f>
        <v>0</v>
      </c>
      <c r="C48" s="305">
        <f>+'Proyección Gasto'!C186+'Proyección Gasto'!C187</f>
        <v>0</v>
      </c>
      <c r="D48" s="305">
        <f>+'Proyección Gasto'!D186+'Proyección Gasto'!D187</f>
        <v>0</v>
      </c>
      <c r="E48" s="305">
        <f>+'Proyección Gasto'!E186+'Proyección Gasto'!E187</f>
        <v>0</v>
      </c>
      <c r="F48" s="305">
        <f>+'Proyección Gasto'!F186+'Proyección Gasto'!F187</f>
        <v>0</v>
      </c>
      <c r="G48" s="305">
        <f>+'Proyección Gasto'!G186+'Proyección Gasto'!G187</f>
        <v>0</v>
      </c>
      <c r="H48" s="305">
        <f>+'Proyección Gasto'!H186+'Proyección Gasto'!H187</f>
        <v>0</v>
      </c>
      <c r="I48" s="305">
        <f>+'Proyección Gasto'!I186+'Proyección Gasto'!I187</f>
        <v>0</v>
      </c>
      <c r="J48" s="305">
        <f>+'Proyección Gasto'!J186+'Proyección Gasto'!J187</f>
        <v>0</v>
      </c>
      <c r="K48" s="305">
        <f>+'Proyección Gasto'!K186+'Proyección Gasto'!K187</f>
        <v>0</v>
      </c>
      <c r="L48" s="305">
        <f>+'Proyección Gasto'!L186+'Proyección Gasto'!L187</f>
        <v>0</v>
      </c>
      <c r="M48" s="305">
        <f>+'Proyección Gasto'!M186+'Proyección Gasto'!M187</f>
        <v>0</v>
      </c>
      <c r="N48" s="305">
        <f>+'Proyección Gasto'!N186+'Proyección Gasto'!N187</f>
        <v>0</v>
      </c>
    </row>
    <row r="49" spans="1:14" ht="105">
      <c r="A49" s="318" t="s">
        <v>176</v>
      </c>
      <c r="B49" s="305">
        <f>+Gastos!G61+Gastos!G62+Gastos!G63+Gastos!G64+Gastos!G69+Gastos!G70+Gastos!G71+Gastos!G74+Gastos!G88+Gastos!G111+Gastos!G125+Gastos!G148+Gastos!G162</f>
        <v>1071280312.66</v>
      </c>
      <c r="C49" s="305">
        <f>+'Proyección Gasto'!C61+'Proyección Gasto'!C62+'Proyección Gasto'!C63+'Proyección Gasto'!C69+'Proyección Gasto'!C70+'Proyección Gasto'!C71+'Proyección Gasto'!C74+'Proyección Gasto'!C88+'Proyección Gasto'!C111+'Proyección Gasto'!C125+'Proyección Gasto'!C148+'Proyección Gasto'!C162</f>
        <v>1131445968.9560997</v>
      </c>
      <c r="D49" s="305">
        <f>+'Proyección Gasto'!D61+'Proyección Gasto'!D62+'Proyección Gasto'!D63+'Proyección Gasto'!D69+'Proyección Gasto'!D70+'Proyección Gasto'!D71+'Proyección Gasto'!D74+'Proyección Gasto'!D88+'Proyección Gasto'!D111+'Proyección Gasto'!D125+'Proyección Gasto'!D148+'Proyección Gasto'!D162</f>
        <v>1251792009.1799998</v>
      </c>
      <c r="E49" s="305">
        <f>+'Proyección Gasto'!E61+'Proyección Gasto'!E62+'Proyección Gasto'!E63+'Proyección Gasto'!E69+'Proyección Gasto'!E70+'Proyección Gasto'!E71+'Proyección Gasto'!E74+'Proyección Gasto'!E88+'Proyección Gasto'!E111+'Proyección Gasto'!E125+'Proyección Gasto'!E148+'Proyección Gasto'!E162</f>
        <v>1336579440.5579998</v>
      </c>
      <c r="F49" s="305">
        <f>+'Proyección Gasto'!F61+'Proyección Gasto'!F62+'Proyección Gasto'!F63+'Proyección Gasto'!F69+'Proyección Gasto'!F70+'Proyección Gasto'!F71+'Proyección Gasto'!F74+'Proyección Gasto'!F88+'Proyección Gasto'!F111+'Proyección Gasto'!F125+'Proyección Gasto'!F148+'Proyección Gasto'!F162</f>
        <v>1426696550.1560123</v>
      </c>
      <c r="G49" s="305">
        <f>+'Proyección Gasto'!G61+'Proyección Gasto'!G62+'Proyección Gasto'!G63+'Proyección Gasto'!G69+'Proyección Gasto'!G70+'Proyección Gasto'!G71+'Proyección Gasto'!G74+'Proyección Gasto'!G88+'Proyección Gasto'!G111+'Proyección Gasto'!G125+'Proyección Gasto'!G148+'Proyección Gasto'!G162</f>
        <v>1515867853.881668</v>
      </c>
      <c r="H49" s="305">
        <f>+'Proyección Gasto'!H61+'Proyección Gasto'!H62+'Proyección Gasto'!H63+'Proyección Gasto'!H69+'Proyección Gasto'!H70+'Proyección Gasto'!H71+'Proyección Gasto'!H74+'Proyección Gasto'!H88+'Proyección Gasto'!H111+'Proyección Gasto'!H125+'Proyección Gasto'!H148+'Proyección Gasto'!H162</f>
        <v>1603673446.9469807</v>
      </c>
      <c r="I49" s="305">
        <f>+'Proyección Gasto'!I61+'Proyección Gasto'!I62+'Proyección Gasto'!I63+'Proyección Gasto'!I69+'Proyección Gasto'!I70+'Proyección Gasto'!I71+'Proyección Gasto'!I74+'Proyección Gasto'!I88+'Proyección Gasto'!I111+'Proyección Gasto'!I125+'Proyección Gasto'!I148+'Proyección Gasto'!I162</f>
        <v>1696652981.2511837</v>
      </c>
      <c r="J49" s="305">
        <f>+'Proyección Gasto'!J61+'Proyección Gasto'!J62+'Proyección Gasto'!J63+'Proyección Gasto'!J69+'Proyección Gasto'!J70+'Proyección Gasto'!J71+'Proyección Gasto'!J74+'Proyección Gasto'!J88+'Proyección Gasto'!J111+'Proyección Gasto'!J125+'Proyección Gasto'!J148+'Proyección Gasto'!J162</f>
        <v>1795114061.4382608</v>
      </c>
      <c r="K49" s="305">
        <f>+'Proyección Gasto'!K61+'Proyección Gasto'!K62+'Proyección Gasto'!K63+'Proyección Gasto'!K69+'Proyección Gasto'!K70+'Proyección Gasto'!K71+'Proyección Gasto'!K74+'Proyección Gasto'!K88+'Proyección Gasto'!K111+'Proyección Gasto'!K125+'Proyección Gasto'!K148+'Proyección Gasto'!K162</f>
        <v>1899382663.4759228</v>
      </c>
      <c r="L49" s="305">
        <f>+'Proyección Gasto'!L61+'Proyección Gasto'!L62+'Proyección Gasto'!L63+'Proyección Gasto'!L69+'Proyección Gasto'!L70+'Proyección Gasto'!L71+'Proyección Gasto'!L74+'Proyección Gasto'!L88+'Proyección Gasto'!L111+'Proyección Gasto'!L125+'Proyección Gasto'!L148+'Proyección Gasto'!L162</f>
        <v>2009804234.3863854</v>
      </c>
      <c r="M49" s="305">
        <f>+'Proyección Gasto'!M61+'Proyección Gasto'!M62+'Proyección Gasto'!M63+'Proyección Gasto'!M69+'Proyección Gasto'!M70+'Proyección Gasto'!M71+'Proyección Gasto'!M74+'Proyección Gasto'!M88+'Proyección Gasto'!M111+'Proyección Gasto'!M125+'Proyección Gasto'!M148+'Proyección Gasto'!M162</f>
        <v>2126744857.884533</v>
      </c>
      <c r="N49" s="305">
        <f>+'Proyección Gasto'!N61+'Proyección Gasto'!N62+'Proyección Gasto'!N63+'Proyección Gasto'!N69+'Proyección Gasto'!N70+'Proyección Gasto'!N71+'Proyección Gasto'!N74+'Proyección Gasto'!N88+'Proyección Gasto'!N111+'Proyección Gasto'!N125+'Proyección Gasto'!N148+'Proyección Gasto'!N162</f>
        <v>2250592489.8756185</v>
      </c>
    </row>
    <row r="50" spans="1:14" ht="26.25">
      <c r="A50" s="309" t="s">
        <v>177</v>
      </c>
      <c r="B50" s="305">
        <f>+Gastos!G53</f>
        <v>0</v>
      </c>
      <c r="C50" s="305">
        <f>+'Proyección Gasto'!C53</f>
        <v>0</v>
      </c>
      <c r="D50" s="305">
        <f>+'Proyección Gasto'!D53</f>
        <v>0</v>
      </c>
      <c r="E50" s="305">
        <f>+'Proyección Gasto'!E53</f>
        <v>0</v>
      </c>
      <c r="F50" s="305">
        <f>+'Proyección Gasto'!F53</f>
        <v>0</v>
      </c>
      <c r="G50" s="305">
        <f>+'Proyección Gasto'!G53</f>
        <v>0</v>
      </c>
      <c r="H50" s="305">
        <f>+'Proyección Gasto'!H53</f>
        <v>0</v>
      </c>
      <c r="I50" s="305">
        <f>+'Proyección Gasto'!I53</f>
        <v>0</v>
      </c>
      <c r="J50" s="305">
        <f>+'Proyección Gasto'!J53</f>
        <v>0</v>
      </c>
      <c r="K50" s="305">
        <f>+'Proyección Gasto'!K53</f>
        <v>0</v>
      </c>
      <c r="L50" s="305">
        <f>+'Proyección Gasto'!L53</f>
        <v>0</v>
      </c>
      <c r="M50" s="305">
        <f>+'Proyección Gasto'!M53</f>
        <v>0</v>
      </c>
      <c r="N50" s="305">
        <f>+'Proyección Gasto'!N53</f>
        <v>0</v>
      </c>
    </row>
    <row r="51" spans="1:14" ht="27" thickBot="1">
      <c r="A51" s="319" t="s">
        <v>178</v>
      </c>
      <c r="B51" s="305">
        <f>+Gastos!G189</f>
        <v>0</v>
      </c>
      <c r="C51" s="305">
        <f>+'Proyección Gasto'!C189</f>
        <v>0</v>
      </c>
      <c r="D51" s="305">
        <f>+'Proyección Gasto'!D189</f>
        <v>0</v>
      </c>
      <c r="E51" s="305">
        <f>+'Proyección Gasto'!E189</f>
        <v>0</v>
      </c>
      <c r="F51" s="305">
        <f>+'Proyección Gasto'!F189</f>
        <v>0</v>
      </c>
      <c r="G51" s="305">
        <f>+'Proyección Gasto'!G189</f>
        <v>0</v>
      </c>
      <c r="H51" s="305">
        <f>+'Proyección Gasto'!H189</f>
        <v>0</v>
      </c>
      <c r="I51" s="305">
        <f>+'Proyección Gasto'!I189</f>
        <v>0</v>
      </c>
      <c r="J51" s="305">
        <f>+'Proyección Gasto'!J189</f>
        <v>0</v>
      </c>
      <c r="K51" s="305">
        <f>+'Proyección Gasto'!K189</f>
        <v>0</v>
      </c>
      <c r="L51" s="305">
        <f>+'Proyección Gasto'!L189</f>
        <v>0</v>
      </c>
      <c r="M51" s="305">
        <f>+'Proyección Gasto'!M189</f>
        <v>0</v>
      </c>
      <c r="N51" s="305">
        <f>+'Proyección Gasto'!N189</f>
        <v>0</v>
      </c>
    </row>
    <row r="52" spans="1:14" ht="27" thickBot="1">
      <c r="A52" s="313" t="s">
        <v>179</v>
      </c>
      <c r="B52" s="320">
        <f aca="true" t="shared" si="11" ref="B52:K52">+B12-B32</f>
        <v>1002271510.4900002</v>
      </c>
      <c r="C52" s="320">
        <f t="shared" si="11"/>
        <v>1100113070.1833503</v>
      </c>
      <c r="D52" s="320">
        <f t="shared" si="11"/>
        <v>1223635467.09</v>
      </c>
      <c r="E52" s="320">
        <f t="shared" si="11"/>
        <v>1187450456.9859</v>
      </c>
      <c r="F52" s="320">
        <f t="shared" si="11"/>
        <v>1287590550.3425665</v>
      </c>
      <c r="G52" s="320">
        <f t="shared" si="11"/>
        <v>1388944814.6750789</v>
      </c>
      <c r="H52" s="320">
        <f t="shared" si="11"/>
        <v>1489350364.1283493</v>
      </c>
      <c r="I52" s="320">
        <f t="shared" si="11"/>
        <v>1596292312.3659992</v>
      </c>
      <c r="J52" s="320">
        <f t="shared" si="11"/>
        <v>1710178205.2896066</v>
      </c>
      <c r="K52" s="320">
        <f t="shared" si="11"/>
        <v>1831440502.4140797</v>
      </c>
      <c r="L52" s="320">
        <f>+L12-L32</f>
        <v>1960538085.5102334</v>
      </c>
      <c r="M52" s="320">
        <f>+M12-M32</f>
        <v>2097957858.180696</v>
      </c>
      <c r="N52" s="320">
        <f>+N12-N32</f>
        <v>2244216441.8375826</v>
      </c>
    </row>
    <row r="53" spans="1:14" ht="27" thickBot="1">
      <c r="A53" s="321" t="s">
        <v>180</v>
      </c>
      <c r="B53" s="322">
        <f aca="true" t="shared" si="12" ref="B53:J53">SUM(B54:B60)</f>
        <v>341338630</v>
      </c>
      <c r="C53" s="322">
        <f t="shared" si="12"/>
        <v>356063622.26000005</v>
      </c>
      <c r="D53" s="322">
        <f t="shared" si="12"/>
        <v>1674214416.3400002</v>
      </c>
      <c r="E53" s="322">
        <f t="shared" si="12"/>
        <v>1745392362.8086998</v>
      </c>
      <c r="F53" s="322">
        <f t="shared" si="12"/>
        <v>166422557.39759547</v>
      </c>
      <c r="G53" s="322">
        <f t="shared" si="12"/>
        <v>169005575.0736104</v>
      </c>
      <c r="H53" s="322">
        <f t="shared" si="12"/>
        <v>171576051.17134815</v>
      </c>
      <c r="I53" s="322">
        <f t="shared" si="12"/>
        <v>174132658.41691905</v>
      </c>
      <c r="J53" s="322">
        <f t="shared" si="12"/>
        <v>175130549.75661555</v>
      </c>
      <c r="K53" s="322">
        <f>SUM(K54:K60)</f>
        <v>175709313.0007492</v>
      </c>
      <c r="L53" s="322">
        <f>SUM(L54:L60)</f>
        <v>176297274.680829</v>
      </c>
      <c r="M53" s="322">
        <f>SUM(M54:M60)</f>
        <v>176894884.12697577</v>
      </c>
      <c r="N53" s="322">
        <f>SUM(N54:N60)</f>
        <v>177502615.2410074</v>
      </c>
    </row>
    <row r="54" spans="1:14" ht="25.5">
      <c r="A54" s="304" t="s">
        <v>181</v>
      </c>
      <c r="B54" s="305">
        <f>+Ingresos!G65+Ingresos!G66</f>
        <v>59019000</v>
      </c>
      <c r="C54" s="305">
        <f>+'Proyección Ingreso'!C65+'Proyección Ingreso'!C66</f>
        <v>62265045</v>
      </c>
      <c r="D54" s="305">
        <f>+'Proyección Ingreso'!D65+'Proyección Ingreso'!D66</f>
        <v>0</v>
      </c>
      <c r="E54" s="305">
        <f>+'Proyección Ingreso'!E65+'Proyección Ingreso'!E66</f>
        <v>0</v>
      </c>
      <c r="F54" s="305">
        <f>+'Proyección Ingreso'!F65+'Proyección Ingreso'!F66</f>
        <v>0</v>
      </c>
      <c r="G54" s="305">
        <f>+'Proyección Ingreso'!G65+'Proyección Ingreso'!G66</f>
        <v>0</v>
      </c>
      <c r="H54" s="305">
        <f>+'Proyección Ingreso'!H65+'Proyección Ingreso'!H66</f>
        <v>0</v>
      </c>
      <c r="I54" s="305">
        <f>+'Proyección Ingreso'!I65+'Proyección Ingreso'!I66</f>
        <v>0</v>
      </c>
      <c r="J54" s="305">
        <f>+'Proyección Ingreso'!J65+'Proyección Ingreso'!J66</f>
        <v>0</v>
      </c>
      <c r="K54" s="305">
        <f>+'Proyección Ingreso'!K65+'Proyección Ingreso'!K66</f>
        <v>0</v>
      </c>
      <c r="L54" s="305">
        <f>+'Proyección Ingreso'!L65+'Proyección Ingreso'!L66</f>
        <v>0</v>
      </c>
      <c r="M54" s="305">
        <f>+'Proyección Ingreso'!M65+'Proyección Ingreso'!M66</f>
        <v>0</v>
      </c>
      <c r="N54" s="305">
        <f>+'Proyección Ingreso'!N65+'Proyección Ingreso'!N66</f>
        <v>0</v>
      </c>
    </row>
    <row r="55" spans="1:14" ht="25.5">
      <c r="A55" s="304" t="s">
        <v>60</v>
      </c>
      <c r="B55" s="305">
        <f>+Ingresos!G67</f>
        <v>12410804</v>
      </c>
      <c r="C55" s="305">
        <f>+'Proyección Ingreso'!C67</f>
        <v>13093398.219999999</v>
      </c>
      <c r="D55" s="305">
        <f>+'Proyección Ingreso'!D67</f>
        <v>1946931</v>
      </c>
      <c r="E55" s="305">
        <f>+'Proyección Ingreso'!E67</f>
        <v>2054012.2049999998</v>
      </c>
      <c r="F55" s="305">
        <f>+'Proyección Ingreso'!F67</f>
        <v>2166982.8762749997</v>
      </c>
      <c r="G55" s="305">
        <f>+'Proyección Ingreso'!G67</f>
        <v>2286166.9344701245</v>
      </c>
      <c r="H55" s="305">
        <f>+'Proyección Ingreso'!H67</f>
        <v>2411906.115865981</v>
      </c>
      <c r="I55" s="305">
        <f>+'Proyección Ingreso'!I67</f>
        <v>2544560.95223861</v>
      </c>
      <c r="J55" s="305">
        <f>+'Proyección Ingreso'!J67</f>
        <v>2684511.804611733</v>
      </c>
      <c r="K55" s="305">
        <f>+'Proyección Ingreso'!K67</f>
        <v>2832159.953865378</v>
      </c>
      <c r="L55" s="305">
        <f>+'Proyección Ingreso'!L67</f>
        <v>2987928.751327974</v>
      </c>
      <c r="M55" s="305">
        <f>+'Proyección Ingreso'!M67</f>
        <v>3152264.832651012</v>
      </c>
      <c r="N55" s="305">
        <f>+'Proyección Ingreso'!N67</f>
        <v>3325639.3984468174</v>
      </c>
    </row>
    <row r="56" spans="1:14" ht="25.5">
      <c r="A56" s="323" t="s">
        <v>253</v>
      </c>
      <c r="B56" s="305">
        <f>+Ingresos!G87</f>
        <v>0</v>
      </c>
      <c r="C56" s="305">
        <f>+'Proyección Ingreso'!C87</f>
        <v>0</v>
      </c>
      <c r="D56" s="305">
        <f>+'Proyección Ingreso'!D87</f>
        <v>0</v>
      </c>
      <c r="E56" s="305">
        <f>+'Proyección Ingreso'!E87</f>
        <v>0</v>
      </c>
      <c r="F56" s="305">
        <f>+'Proyección Ingreso'!F87</f>
        <v>0</v>
      </c>
      <c r="G56" s="305">
        <f>+'Proyección Ingreso'!G87</f>
        <v>0</v>
      </c>
      <c r="H56" s="305">
        <f>+'Proyección Ingreso'!H87</f>
        <v>0</v>
      </c>
      <c r="I56" s="305">
        <f>+'Proyección Ingreso'!I87</f>
        <v>0</v>
      </c>
      <c r="J56" s="305">
        <f>+'Proyección Ingreso'!J87</f>
        <v>0</v>
      </c>
      <c r="K56" s="305">
        <f>+'Proyección Ingreso'!K87</f>
        <v>0</v>
      </c>
      <c r="L56" s="305">
        <f>+'Proyección Ingreso'!L87</f>
        <v>0</v>
      </c>
      <c r="M56" s="305">
        <f>+'Proyección Ingreso'!M87</f>
        <v>0</v>
      </c>
      <c r="N56" s="305">
        <f>+'Proyección Ingreso'!N87</f>
        <v>0</v>
      </c>
    </row>
    <row r="57" spans="1:14" ht="25.5">
      <c r="A57" s="304" t="s">
        <v>182</v>
      </c>
      <c r="B57" s="305">
        <f>+Ingresos!G81</f>
        <v>20730482</v>
      </c>
      <c r="C57" s="305">
        <f>+'Proyección Ingreso'!C81</f>
        <v>21559701.28</v>
      </c>
      <c r="D57" s="305">
        <f>+'Proyección Ingreso'!D81</f>
        <v>21128959.72</v>
      </c>
      <c r="E57" s="305">
        <f>+'Proyección Ingreso'!E81</f>
        <v>21657183.712999996</v>
      </c>
      <c r="F57" s="305">
        <f>+'Proyección Ingreso'!F81</f>
        <v>22090327.387259997</v>
      </c>
      <c r="G57" s="305">
        <f>+'Proyección Ingreso'!G81</f>
        <v>22421682.298068896</v>
      </c>
      <c r="H57" s="305">
        <f>+'Proyección Ingreso'!H81</f>
        <v>22701953.326794755</v>
      </c>
      <c r="I57" s="305">
        <f>+'Proyección Ingreso'!I81</f>
        <v>22928972.860062703</v>
      </c>
      <c r="J57" s="305">
        <f>+'Proyección Ingreso'!J81</f>
        <v>23043617.724363014</v>
      </c>
      <c r="K57" s="305">
        <f>+'Proyección Ingreso'!K81</f>
        <v>23101226.76867392</v>
      </c>
      <c r="L57" s="305">
        <f>+'Proyección Ingreso'!L81</f>
        <v>23158979.835595604</v>
      </c>
      <c r="M57" s="305">
        <f>+'Proyección Ingreso'!M81</f>
        <v>23216877.285184592</v>
      </c>
      <c r="N57" s="305">
        <f>+'Proyección Ingreso'!N81</f>
        <v>23274919.478397552</v>
      </c>
    </row>
    <row r="58" spans="1:14" ht="25.5">
      <c r="A58" s="304" t="s">
        <v>183</v>
      </c>
      <c r="B58" s="305">
        <f>+Ingresos!G83</f>
        <v>0</v>
      </c>
      <c r="C58" s="305">
        <f>+'Proyección Ingreso'!C83</f>
        <v>0</v>
      </c>
      <c r="D58" s="305">
        <f>+'Proyección Ingreso'!D83</f>
        <v>0</v>
      </c>
      <c r="E58" s="305">
        <f>+'Proyección Ingreso'!E83</f>
        <v>0</v>
      </c>
      <c r="F58" s="305">
        <f>+'Proyección Ingreso'!F83</f>
        <v>0</v>
      </c>
      <c r="G58" s="305">
        <f>+'Proyección Ingreso'!G83</f>
        <v>0</v>
      </c>
      <c r="H58" s="305">
        <f>+'Proyección Ingreso'!H83</f>
        <v>0</v>
      </c>
      <c r="I58" s="305">
        <f>+'Proyección Ingreso'!I83</f>
        <v>0</v>
      </c>
      <c r="J58" s="305">
        <f>+'Proyección Ingreso'!J83</f>
        <v>0</v>
      </c>
      <c r="K58" s="305">
        <f>+'Proyección Ingreso'!K83</f>
        <v>0</v>
      </c>
      <c r="L58" s="305">
        <f>+'Proyección Ingreso'!L83</f>
        <v>0</v>
      </c>
      <c r="M58" s="305">
        <f>+'Proyección Ingreso'!M83</f>
        <v>0</v>
      </c>
      <c r="N58" s="305">
        <f>+'Proyección Ingreso'!N83</f>
        <v>0</v>
      </c>
    </row>
    <row r="59" spans="1:14" ht="25.5">
      <c r="A59" s="304" t="s">
        <v>184</v>
      </c>
      <c r="B59" s="305">
        <f>+Ingresos!G73</f>
        <v>248726885</v>
      </c>
      <c r="C59" s="305">
        <f>+'Proyección Ingreso'!C73</f>
        <v>258675960.40000004</v>
      </c>
      <c r="D59" s="305">
        <f>+'Proyección Ingreso'!D73</f>
        <v>1651138525.6200001</v>
      </c>
      <c r="E59" s="305">
        <f>+'Proyección Ingreso'!E73</f>
        <v>1721681166.8906999</v>
      </c>
      <c r="F59" s="305">
        <f>+'Proyección Ingreso'!F73</f>
        <v>142165247.13406047</v>
      </c>
      <c r="G59" s="305">
        <f>+'Proyección Ingreso'!G73</f>
        <v>144297725.84107137</v>
      </c>
      <c r="H59" s="305">
        <f>+'Proyección Ingreso'!H73</f>
        <v>146462191.72868744</v>
      </c>
      <c r="I59" s="305">
        <f>+'Proyección Ingreso'!I73</f>
        <v>148659124.60461774</v>
      </c>
      <c r="J59" s="305">
        <f>+'Proyección Ingreso'!J73</f>
        <v>149402420.2276408</v>
      </c>
      <c r="K59" s="305">
        <f>+'Proyección Ingreso'!K73</f>
        <v>149775926.2782099</v>
      </c>
      <c r="L59" s="305">
        <f>+'Proyección Ingreso'!L73</f>
        <v>150150366.09390542</v>
      </c>
      <c r="M59" s="305">
        <f>+'Proyección Ingreso'!M73</f>
        <v>150525742.00914016</v>
      </c>
      <c r="N59" s="305">
        <f>+'Proyección Ingreso'!N73</f>
        <v>150902056.364163</v>
      </c>
    </row>
    <row r="60" spans="1:14" ht="26.25" thickBot="1">
      <c r="A60" s="304" t="s">
        <v>185</v>
      </c>
      <c r="B60" s="305">
        <f>+Ingresos!G82+Ingresos!G86+Ingresos!G88</f>
        <v>451459</v>
      </c>
      <c r="C60" s="305">
        <f>+'Proyección Ingreso'!C82+'Proyección Ingreso'!C86+'Proyección Ingreso'!C88</f>
        <v>469517.36000000004</v>
      </c>
      <c r="D60" s="305">
        <f>+'Proyección Ingreso'!D82+'Proyección Ingreso'!D86+'Proyección Ingreso'!D88</f>
        <v>0</v>
      </c>
      <c r="E60" s="305">
        <f>+'Proyección Ingreso'!E82+'Proyección Ingreso'!E86+'Proyección Ingreso'!E88</f>
        <v>0</v>
      </c>
      <c r="F60" s="305">
        <f>+'Proyección Ingreso'!F82+'Proyección Ingreso'!F86+'Proyección Ingreso'!F88</f>
        <v>0</v>
      </c>
      <c r="G60" s="305">
        <f>+'Proyección Ingreso'!G82+'Proyección Ingreso'!G86+'Proyección Ingreso'!G88</f>
        <v>0</v>
      </c>
      <c r="H60" s="305">
        <f>+'Proyección Ingreso'!H82+'Proyección Ingreso'!H86+'Proyección Ingreso'!H88</f>
        <v>0</v>
      </c>
      <c r="I60" s="305">
        <f>+'Proyección Ingreso'!I82+'Proyección Ingreso'!I86+'Proyección Ingreso'!I88</f>
        <v>0</v>
      </c>
      <c r="J60" s="305">
        <f>+'Proyección Ingreso'!J82+'Proyección Ingreso'!J86+'Proyección Ingreso'!J88</f>
        <v>0</v>
      </c>
      <c r="K60" s="305">
        <f>+'Proyección Ingreso'!K82+'Proyección Ingreso'!K86+'Proyección Ingreso'!K88</f>
        <v>0</v>
      </c>
      <c r="L60" s="305">
        <f>+'Proyección Ingreso'!L82+'Proyección Ingreso'!L86+'Proyección Ingreso'!L88</f>
        <v>0</v>
      </c>
      <c r="M60" s="305">
        <f>+'Proyección Ingreso'!M82+'Proyección Ingreso'!M86+'Proyección Ingreso'!M88</f>
        <v>0</v>
      </c>
      <c r="N60" s="305">
        <f>+'Proyección Ingreso'!N82+'Proyección Ingreso'!N86+'Proyección Ingreso'!N88</f>
        <v>0</v>
      </c>
    </row>
    <row r="61" spans="1:14" ht="27" thickBot="1">
      <c r="A61" s="321" t="s">
        <v>186</v>
      </c>
      <c r="B61" s="322">
        <f aca="true" t="shared" si="13" ref="B61:J61">SUM(B62:B63)</f>
        <v>1198842483.24</v>
      </c>
      <c r="C61" s="322">
        <f t="shared" si="13"/>
        <v>1300744094.3154001</v>
      </c>
      <c r="D61" s="322">
        <f t="shared" si="13"/>
        <v>1628914883.01</v>
      </c>
      <c r="E61" s="322">
        <f t="shared" si="13"/>
        <v>1742938924.8207002</v>
      </c>
      <c r="F61" s="322">
        <f t="shared" si="13"/>
        <v>1864944649.5581493</v>
      </c>
      <c r="G61" s="322">
        <f t="shared" si="13"/>
        <v>1986166051.779429</v>
      </c>
      <c r="H61" s="322">
        <f t="shared" si="13"/>
        <v>2105336014.8861947</v>
      </c>
      <c r="I61" s="322">
        <f t="shared" si="13"/>
        <v>2231656175.7793665</v>
      </c>
      <c r="J61" s="322">
        <f t="shared" si="13"/>
        <v>2365555546.326129</v>
      </c>
      <c r="K61" s="322">
        <f>SUM(K62:K63)</f>
        <v>2507488879.1056967</v>
      </c>
      <c r="L61" s="322">
        <f>SUM(L62:L63)</f>
        <v>2657938211.852039</v>
      </c>
      <c r="M61" s="322">
        <f>SUM(M62:M63)</f>
        <v>2817414504.563161</v>
      </c>
      <c r="N61" s="322">
        <f>SUM(N62:N63)</f>
        <v>2986459374.836951</v>
      </c>
    </row>
    <row r="62" spans="1:14" ht="25.5">
      <c r="A62" s="304" t="s">
        <v>187</v>
      </c>
      <c r="B62" s="305">
        <f>+Gastos!G59+Gastos!G60+Gastos!G65+Gastos!G67+Gastos!G68+Gastos!G72+Gastos!G95+Gastos!G132+Gastos!G168</f>
        <v>1198842483.24</v>
      </c>
      <c r="C62" s="305">
        <f>+'Proyección Gasto'!C59+'Proyección Gasto'!C60+'Proyección Gasto'!C65+'Proyección Gasto'!C67+'Proyección Gasto'!C68+'Proyección Gasto'!C72+'Proyección Gasto'!C95+'Proyección Gasto'!C132+'Proyección Gasto'!C168</f>
        <v>1300744094.3154001</v>
      </c>
      <c r="D62" s="305">
        <f>+'Proyección Gasto'!D59+'Proyección Gasto'!D60+'Proyección Gasto'!D65+'Proyección Gasto'!D67+'Proyección Gasto'!D68+'Proyección Gasto'!D72+'Proyección Gasto'!D95+'Proyección Gasto'!D132+'Proyección Gasto'!D168</f>
        <v>1628914883.01</v>
      </c>
      <c r="E62" s="305">
        <f>+'Proyección Gasto'!E59+'Proyección Gasto'!E60+'Proyección Gasto'!E65+'Proyección Gasto'!E67+'Proyección Gasto'!E68+'Proyección Gasto'!E72+'Proyección Gasto'!E95+'Proyección Gasto'!E132+'Proyección Gasto'!E168</f>
        <v>1742938924.8207002</v>
      </c>
      <c r="F62" s="305">
        <f>+'Proyección Gasto'!F59+'Proyección Gasto'!F60+'Proyección Gasto'!F65+'Proyección Gasto'!F67+'Proyección Gasto'!F68+'Proyección Gasto'!F72+'Proyección Gasto'!F95+'Proyección Gasto'!F132+'Proyección Gasto'!F168</f>
        <v>1864944649.5581493</v>
      </c>
      <c r="G62" s="305">
        <f>+'Proyección Gasto'!G59+'Proyección Gasto'!G60+'Proyección Gasto'!G65+'Proyección Gasto'!G67+'Proyección Gasto'!G68+'Proyección Gasto'!G72+'Proyección Gasto'!G95+'Proyección Gasto'!G132+'Proyección Gasto'!G168</f>
        <v>1986166051.779429</v>
      </c>
      <c r="H62" s="305">
        <f>+'Proyección Gasto'!H59+'Proyección Gasto'!H60+'Proyección Gasto'!H65+'Proyección Gasto'!H67+'Proyección Gasto'!H68+'Proyección Gasto'!H72+'Proyección Gasto'!H95+'Proyección Gasto'!H132+'Proyección Gasto'!H168</f>
        <v>2105336014.8861947</v>
      </c>
      <c r="I62" s="305">
        <f>+'Proyección Gasto'!I59+'Proyección Gasto'!I60+'Proyección Gasto'!I65+'Proyección Gasto'!I67+'Proyección Gasto'!I68+'Proyección Gasto'!I72+'Proyección Gasto'!I95+'Proyección Gasto'!I132+'Proyección Gasto'!I168</f>
        <v>2231656175.7793665</v>
      </c>
      <c r="J62" s="305">
        <f>+'Proyección Gasto'!J59+'Proyección Gasto'!J60+'Proyección Gasto'!J65+'Proyección Gasto'!J67+'Proyección Gasto'!J68+'Proyección Gasto'!J72+'Proyección Gasto'!J95+'Proyección Gasto'!J132+'Proyección Gasto'!J168</f>
        <v>2365555546.326129</v>
      </c>
      <c r="K62" s="305">
        <f>+'Proyección Gasto'!K59+'Proyección Gasto'!K60+'Proyección Gasto'!K65+'Proyección Gasto'!K67+'Proyección Gasto'!K68+'Proyección Gasto'!K72+'Proyección Gasto'!K95+'Proyección Gasto'!K132+'Proyección Gasto'!K168</f>
        <v>2507488879.1056967</v>
      </c>
      <c r="L62" s="305">
        <f>+'Proyección Gasto'!L59+'Proyección Gasto'!L60+'Proyección Gasto'!L65+'Proyección Gasto'!L67+'Proyección Gasto'!L68+'Proyección Gasto'!L72+'Proyección Gasto'!L95+'Proyección Gasto'!L132+'Proyección Gasto'!L168</f>
        <v>2657938211.852039</v>
      </c>
      <c r="M62" s="305">
        <f>+'Proyección Gasto'!M59+'Proyección Gasto'!M60+'Proyección Gasto'!M65+'Proyección Gasto'!M67+'Proyección Gasto'!M68+'Proyección Gasto'!M72+'Proyección Gasto'!M95+'Proyección Gasto'!M132+'Proyección Gasto'!M168</f>
        <v>2817414504.563161</v>
      </c>
      <c r="N62" s="305">
        <f>+'Proyección Gasto'!N59+'Proyección Gasto'!N60+'Proyección Gasto'!N65+'Proyección Gasto'!N67+'Proyección Gasto'!N68+'Proyección Gasto'!N72+'Proyección Gasto'!N95+'Proyección Gasto'!N132+'Proyección Gasto'!N168</f>
        <v>2986459374.836951</v>
      </c>
    </row>
    <row r="63" spans="1:14" ht="26.25" thickBot="1">
      <c r="A63" s="304" t="s">
        <v>188</v>
      </c>
      <c r="B63" s="305">
        <f>+Gastos!G183</f>
        <v>0</v>
      </c>
      <c r="C63" s="305">
        <f>+'Proyección Gasto'!C183</f>
        <v>0</v>
      </c>
      <c r="D63" s="305">
        <f>+'Proyección Gasto'!D183</f>
        <v>0</v>
      </c>
      <c r="E63" s="305">
        <f>+'Proyección Gasto'!E183</f>
        <v>0</v>
      </c>
      <c r="F63" s="305">
        <f>+'Proyección Gasto'!F183</f>
        <v>0</v>
      </c>
      <c r="G63" s="305">
        <f>+'Proyección Gasto'!G183</f>
        <v>0</v>
      </c>
      <c r="H63" s="305">
        <f>+'Proyección Gasto'!H183</f>
        <v>0</v>
      </c>
      <c r="I63" s="305">
        <f>+'Proyección Gasto'!I183</f>
        <v>0</v>
      </c>
      <c r="J63" s="305">
        <f>+'Proyección Gasto'!J183</f>
        <v>0</v>
      </c>
      <c r="K63" s="305">
        <f>+'Proyección Gasto'!K183</f>
        <v>0</v>
      </c>
      <c r="L63" s="305">
        <f>+'Proyección Gasto'!L183</f>
        <v>0</v>
      </c>
      <c r="M63" s="305">
        <f>+'Proyección Gasto'!M183</f>
        <v>0</v>
      </c>
      <c r="N63" s="305">
        <f>+'Proyección Gasto'!N183</f>
        <v>0</v>
      </c>
    </row>
    <row r="64" spans="1:14" ht="27" thickBot="1">
      <c r="A64" s="315" t="s">
        <v>189</v>
      </c>
      <c r="B64" s="316">
        <f aca="true" t="shared" si="14" ref="B64:J64">+B53-B61</f>
        <v>-857503853.24</v>
      </c>
      <c r="C64" s="316">
        <f t="shared" si="14"/>
        <v>-944680472.0554001</v>
      </c>
      <c r="D64" s="316">
        <f t="shared" si="14"/>
        <v>45299533.33000016</v>
      </c>
      <c r="E64" s="316">
        <f t="shared" si="14"/>
        <v>2453437.9879996777</v>
      </c>
      <c r="F64" s="316">
        <f t="shared" si="14"/>
        <v>-1698522092.160554</v>
      </c>
      <c r="G64" s="316">
        <f t="shared" si="14"/>
        <v>-1817160476.7058187</v>
      </c>
      <c r="H64" s="316">
        <f t="shared" si="14"/>
        <v>-1933759963.7148466</v>
      </c>
      <c r="I64" s="316">
        <f t="shared" si="14"/>
        <v>-2057523517.3624475</v>
      </c>
      <c r="J64" s="316">
        <f t="shared" si="14"/>
        <v>-2190424996.5695133</v>
      </c>
      <c r="K64" s="316">
        <f>+K53-K61</f>
        <v>-2331779566.1049476</v>
      </c>
      <c r="L64" s="316">
        <f>+L53-L61</f>
        <v>-2481640937.17121</v>
      </c>
      <c r="M64" s="316">
        <f>+M53-M61</f>
        <v>-2640519620.436185</v>
      </c>
      <c r="N64" s="316">
        <f>+N53-N61</f>
        <v>-2808956759.5959435</v>
      </c>
    </row>
    <row r="65" spans="1:14" ht="27" thickBot="1">
      <c r="A65" s="324" t="s">
        <v>190</v>
      </c>
      <c r="B65" s="325">
        <f aca="true" t="shared" si="15" ref="B65:K65">+(B52+B53)-B61</f>
        <v>144767657.25000024</v>
      </c>
      <c r="C65" s="325">
        <f t="shared" si="15"/>
        <v>155432598.1279502</v>
      </c>
      <c r="D65" s="325">
        <f t="shared" si="15"/>
        <v>1268935000.4200003</v>
      </c>
      <c r="E65" s="325">
        <f t="shared" si="15"/>
        <v>1189903894.9738994</v>
      </c>
      <c r="F65" s="325">
        <f t="shared" si="15"/>
        <v>-410931541.81798744</v>
      </c>
      <c r="G65" s="325">
        <f t="shared" si="15"/>
        <v>-428215662.0307398</v>
      </c>
      <c r="H65" s="325">
        <f t="shared" si="15"/>
        <v>-444409599.5864973</v>
      </c>
      <c r="I65" s="325">
        <f t="shared" si="15"/>
        <v>-461231204.9964483</v>
      </c>
      <c r="J65" s="325">
        <f t="shared" si="15"/>
        <v>-480246791.27990675</v>
      </c>
      <c r="K65" s="325">
        <f t="shared" si="15"/>
        <v>-500339063.6908679</v>
      </c>
      <c r="L65" s="325">
        <f>+(L52+L53)-L61</f>
        <v>-521102851.6609764</v>
      </c>
      <c r="M65" s="325">
        <f>+(M52+M53)-M61</f>
        <v>-542561762.2554893</v>
      </c>
      <c r="N65" s="325">
        <f>+(N52+N53)-N61</f>
        <v>-564740317.7583609</v>
      </c>
    </row>
    <row r="66" spans="1:14" ht="26.25">
      <c r="A66" s="326" t="s">
        <v>191</v>
      </c>
      <c r="B66" s="308">
        <f>SUM(B67)</f>
        <v>0</v>
      </c>
      <c r="C66" s="308">
        <f aca="true" t="shared" si="16" ref="C66:N67">SUM(C67)</f>
        <v>0</v>
      </c>
      <c r="D66" s="308">
        <f t="shared" si="16"/>
        <v>0</v>
      </c>
      <c r="E66" s="308">
        <f t="shared" si="16"/>
        <v>0</v>
      </c>
      <c r="F66" s="308">
        <f t="shared" si="16"/>
        <v>0</v>
      </c>
      <c r="G66" s="308">
        <f t="shared" si="16"/>
        <v>0</v>
      </c>
      <c r="H66" s="308">
        <f t="shared" si="16"/>
        <v>0</v>
      </c>
      <c r="I66" s="308">
        <f t="shared" si="16"/>
        <v>0</v>
      </c>
      <c r="J66" s="308">
        <f t="shared" si="16"/>
        <v>0</v>
      </c>
      <c r="K66" s="308">
        <f t="shared" si="16"/>
        <v>0</v>
      </c>
      <c r="L66" s="308">
        <f t="shared" si="16"/>
        <v>0</v>
      </c>
      <c r="M66" s="308">
        <f t="shared" si="16"/>
        <v>0</v>
      </c>
      <c r="N66" s="308">
        <f t="shared" si="16"/>
        <v>0</v>
      </c>
    </row>
    <row r="67" spans="1:14" ht="26.25">
      <c r="A67" s="307" t="s">
        <v>192</v>
      </c>
      <c r="B67" s="308">
        <f>SUM(B68)</f>
        <v>0</v>
      </c>
      <c r="C67" s="308">
        <f t="shared" si="16"/>
        <v>0</v>
      </c>
      <c r="D67" s="308">
        <f t="shared" si="16"/>
        <v>0</v>
      </c>
      <c r="E67" s="308">
        <f t="shared" si="16"/>
        <v>0</v>
      </c>
      <c r="F67" s="308">
        <f t="shared" si="16"/>
        <v>0</v>
      </c>
      <c r="G67" s="308">
        <f t="shared" si="16"/>
        <v>0</v>
      </c>
      <c r="H67" s="308">
        <f t="shared" si="16"/>
        <v>0</v>
      </c>
      <c r="I67" s="308">
        <f t="shared" si="16"/>
        <v>0</v>
      </c>
      <c r="J67" s="308">
        <f t="shared" si="16"/>
        <v>0</v>
      </c>
      <c r="K67" s="308">
        <f t="shared" si="16"/>
        <v>0</v>
      </c>
      <c r="L67" s="308">
        <f t="shared" si="16"/>
        <v>0</v>
      </c>
      <c r="M67" s="308">
        <f t="shared" si="16"/>
        <v>0</v>
      </c>
      <c r="N67" s="308">
        <f t="shared" si="16"/>
        <v>0</v>
      </c>
    </row>
    <row r="68" spans="1:14" ht="26.25">
      <c r="A68" s="307" t="s">
        <v>62</v>
      </c>
      <c r="B68" s="308">
        <f>B69-B70</f>
        <v>0</v>
      </c>
      <c r="C68" s="308">
        <f aca="true" t="shared" si="17" ref="C68:L68">C69-C70</f>
        <v>0</v>
      </c>
      <c r="D68" s="308">
        <f t="shared" si="17"/>
        <v>0</v>
      </c>
      <c r="E68" s="308">
        <f t="shared" si="17"/>
        <v>0</v>
      </c>
      <c r="F68" s="308">
        <f t="shared" si="17"/>
        <v>0</v>
      </c>
      <c r="G68" s="308">
        <f t="shared" si="17"/>
        <v>0</v>
      </c>
      <c r="H68" s="308">
        <f t="shared" si="17"/>
        <v>0</v>
      </c>
      <c r="I68" s="308">
        <f t="shared" si="17"/>
        <v>0</v>
      </c>
      <c r="J68" s="308">
        <f t="shared" si="17"/>
        <v>0</v>
      </c>
      <c r="K68" s="308">
        <f t="shared" si="17"/>
        <v>0</v>
      </c>
      <c r="L68" s="308">
        <f t="shared" si="17"/>
        <v>0</v>
      </c>
      <c r="M68" s="308">
        <f>M69-M70</f>
        <v>0</v>
      </c>
      <c r="N68" s="308">
        <f>N69-N70</f>
        <v>0</v>
      </c>
    </row>
    <row r="69" spans="1:14" ht="25.5">
      <c r="A69" s="304" t="s">
        <v>193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</row>
    <row r="70" spans="1:14" ht="26.25" thickBot="1">
      <c r="A70" s="328" t="s">
        <v>194</v>
      </c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</row>
    <row r="72" ht="36" customHeight="1" thickBot="1"/>
    <row r="73" spans="1:14" ht="22.5" customHeight="1" thickBot="1">
      <c r="A73" s="330" t="s">
        <v>195</v>
      </c>
      <c r="B73" s="303">
        <f aca="true" t="shared" si="18" ref="B73:K73">+(B12+B53)-(B33+B49+B50+B51+B61)</f>
        <v>144767657.25000048</v>
      </c>
      <c r="C73" s="303">
        <f t="shared" si="18"/>
        <v>155432598.12795067</v>
      </c>
      <c r="D73" s="303">
        <f t="shared" si="18"/>
        <v>1268935000.4199996</v>
      </c>
      <c r="E73" s="303">
        <f t="shared" si="18"/>
        <v>1189903894.9738994</v>
      </c>
      <c r="F73" s="303">
        <f t="shared" si="18"/>
        <v>-410931541.81798744</v>
      </c>
      <c r="G73" s="331">
        <f t="shared" si="18"/>
        <v>-428215662.0307398</v>
      </c>
      <c r="H73" s="303">
        <f t="shared" si="18"/>
        <v>-444409599.58649683</v>
      </c>
      <c r="I73" s="331">
        <f t="shared" si="18"/>
        <v>-461231204.9964485</v>
      </c>
      <c r="J73" s="303">
        <f t="shared" si="18"/>
        <v>-480246791.2799063</v>
      </c>
      <c r="K73" s="303">
        <f t="shared" si="18"/>
        <v>-500339063.6908674</v>
      </c>
      <c r="L73" s="303">
        <f>+(L12+L53)-(L33+L49+L50+L51+L61)</f>
        <v>-521102851.6609764</v>
      </c>
      <c r="M73" s="303">
        <f>+(M12+M53)-(M33+M49+M50+M51+M61)</f>
        <v>-542561762.2554884</v>
      </c>
      <c r="N73" s="303">
        <f>+(N12+N53)-(N33+N49+N50+N51+N61)</f>
        <v>-564740317.7583599</v>
      </c>
    </row>
    <row r="74" spans="1:14" ht="25.5" customHeight="1" thickBot="1">
      <c r="A74" s="332" t="s">
        <v>196</v>
      </c>
      <c r="B74" s="333" t="e">
        <f>+(B73/B47)*100</f>
        <v>#DIV/0!</v>
      </c>
      <c r="C74" s="333" t="e">
        <f aca="true" t="shared" si="19" ref="C74:L74">+(C73/C47)*100</f>
        <v>#DIV/0!</v>
      </c>
      <c r="D74" s="333" t="e">
        <f t="shared" si="19"/>
        <v>#DIV/0!</v>
      </c>
      <c r="E74" s="333" t="e">
        <f t="shared" si="19"/>
        <v>#DIV/0!</v>
      </c>
      <c r="F74" s="333" t="e">
        <f t="shared" si="19"/>
        <v>#DIV/0!</v>
      </c>
      <c r="G74" s="333" t="e">
        <f t="shared" si="19"/>
        <v>#DIV/0!</v>
      </c>
      <c r="H74" s="333" t="e">
        <f t="shared" si="19"/>
        <v>#DIV/0!</v>
      </c>
      <c r="I74" s="333" t="e">
        <f t="shared" si="19"/>
        <v>#DIV/0!</v>
      </c>
      <c r="J74" s="333" t="e">
        <f t="shared" si="19"/>
        <v>#DIV/0!</v>
      </c>
      <c r="K74" s="333" t="e">
        <f t="shared" si="19"/>
        <v>#DIV/0!</v>
      </c>
      <c r="L74" s="333" t="e">
        <f t="shared" si="19"/>
        <v>#DIV/0!</v>
      </c>
      <c r="M74" s="333" t="e">
        <f>+(M73/M47)*100</f>
        <v>#DIV/0!</v>
      </c>
      <c r="N74" s="333" t="e">
        <f>+(N73/N47)*100</f>
        <v>#DIV/0!</v>
      </c>
    </row>
    <row r="75" ht="36.75" customHeight="1" thickBot="1"/>
    <row r="76" spans="1:14" ht="27" thickBot="1">
      <c r="A76" s="334" t="s">
        <v>347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</row>
    <row r="77" spans="1:18" ht="27" thickBot="1">
      <c r="A77" s="335" t="s">
        <v>159</v>
      </c>
      <c r="B77" s="336">
        <f aca="true" t="shared" si="20" ref="B77:J77">+B11+B69</f>
        <v>2953187261.15</v>
      </c>
      <c r="C77" s="336">
        <f t="shared" si="20"/>
        <v>3155410050.7530003</v>
      </c>
      <c r="D77" s="336">
        <f t="shared" si="20"/>
        <v>4939584473.809999</v>
      </c>
      <c r="E77" s="336">
        <f t="shared" si="20"/>
        <v>5094329620.1816</v>
      </c>
      <c r="F77" s="336">
        <f t="shared" si="20"/>
        <v>3738007369.0923343</v>
      </c>
      <c r="G77" s="336">
        <f t="shared" si="20"/>
        <v>3960494223.686473</v>
      </c>
      <c r="H77" s="336">
        <f t="shared" si="20"/>
        <v>4177876121.704477</v>
      </c>
      <c r="I77" s="336">
        <f t="shared" si="20"/>
        <v>4407752499.275635</v>
      </c>
      <c r="J77" s="336">
        <f t="shared" si="20"/>
        <v>4649317600.143262</v>
      </c>
      <c r="K77" s="336">
        <f>+K11+K69</f>
        <v>4904494106.059295</v>
      </c>
      <c r="L77" s="336">
        <f>+L11+L69</f>
        <v>5174540070.561047</v>
      </c>
      <c r="M77" s="336">
        <f>+M11+M69</f>
        <v>5460335090.455312</v>
      </c>
      <c r="N77" s="336">
        <f>+N11+N69</f>
        <v>5762811161.925209</v>
      </c>
      <c r="O77" s="337"/>
      <c r="P77" s="337"/>
      <c r="Q77" s="337"/>
      <c r="R77" s="337"/>
    </row>
    <row r="78" spans="1:14" ht="27" thickBot="1">
      <c r="A78" s="338" t="s">
        <v>199</v>
      </c>
      <c r="B78" s="339">
        <f aca="true" t="shared" si="21" ref="B78:J78">+B31+B70</f>
        <v>2808419603.8999996</v>
      </c>
      <c r="C78" s="339">
        <f t="shared" si="21"/>
        <v>2999977452.6250496</v>
      </c>
      <c r="D78" s="339">
        <f t="shared" si="21"/>
        <v>3670649473.39</v>
      </c>
      <c r="E78" s="339">
        <f t="shared" si="21"/>
        <v>3904425725.2077003</v>
      </c>
      <c r="F78" s="339">
        <f t="shared" si="21"/>
        <v>4148938910.9103217</v>
      </c>
      <c r="G78" s="339">
        <f t="shared" si="21"/>
        <v>4388709885.717213</v>
      </c>
      <c r="H78" s="339">
        <f t="shared" si="21"/>
        <v>4622285721.290974</v>
      </c>
      <c r="I78" s="339">
        <f t="shared" si="21"/>
        <v>4868983704.272083</v>
      </c>
      <c r="J78" s="339">
        <f t="shared" si="21"/>
        <v>5129564391.423168</v>
      </c>
      <c r="K78" s="339">
        <f>+K31+K70</f>
        <v>5404833169.750162</v>
      </c>
      <c r="L78" s="339">
        <f>+L31+L70</f>
        <v>5695642922.222023</v>
      </c>
      <c r="M78" s="339">
        <f>+M31+M70</f>
        <v>6002896852.7108</v>
      </c>
      <c r="N78" s="339">
        <f>+N31+N70</f>
        <v>6327551479.683569</v>
      </c>
    </row>
    <row r="79" spans="1:14" ht="27" thickBot="1">
      <c r="A79" s="340" t="s">
        <v>200</v>
      </c>
      <c r="B79" s="325">
        <f aca="true" t="shared" si="22" ref="B79:J79">+B77-B78</f>
        <v>144767657.25000048</v>
      </c>
      <c r="C79" s="325">
        <f t="shared" si="22"/>
        <v>155432598.12795067</v>
      </c>
      <c r="D79" s="325">
        <f t="shared" si="22"/>
        <v>1268935000.4199996</v>
      </c>
      <c r="E79" s="325">
        <f t="shared" si="22"/>
        <v>1189903894.9738994</v>
      </c>
      <c r="F79" s="325">
        <f t="shared" si="22"/>
        <v>-410931541.81798744</v>
      </c>
      <c r="G79" s="325">
        <f t="shared" si="22"/>
        <v>-428215662.0307398</v>
      </c>
      <c r="H79" s="325">
        <f t="shared" si="22"/>
        <v>-444409599.58649683</v>
      </c>
      <c r="I79" s="325">
        <f t="shared" si="22"/>
        <v>-461231204.9964485</v>
      </c>
      <c r="J79" s="325">
        <f t="shared" si="22"/>
        <v>-480246791.2799063</v>
      </c>
      <c r="K79" s="325">
        <f>+K77-K78</f>
        <v>-500339063.6908674</v>
      </c>
      <c r="L79" s="325">
        <f>+L77-L78</f>
        <v>-521102851.6609764</v>
      </c>
      <c r="M79" s="325">
        <f>+M77-M78</f>
        <v>-542561762.2554884</v>
      </c>
      <c r="N79" s="325">
        <f>+N77-N78</f>
        <v>-564740317.7583599</v>
      </c>
    </row>
    <row r="81" ht="30" customHeight="1" thickBot="1"/>
    <row r="82" ht="27" thickBot="1">
      <c r="A82" s="334" t="s">
        <v>348</v>
      </c>
    </row>
    <row r="83" spans="1:14" ht="27" thickBot="1">
      <c r="A83" s="341" t="s">
        <v>264</v>
      </c>
      <c r="B83" s="342">
        <f>B73/B12</f>
        <v>0.05542727688099563</v>
      </c>
      <c r="C83" s="342">
        <f aca="true" t="shared" si="23" ref="C83:L83">C73/C12</f>
        <v>0.05552460265220773</v>
      </c>
      <c r="D83" s="342">
        <f t="shared" si="23"/>
        <v>0.38860373497856077</v>
      </c>
      <c r="E83" s="342">
        <f t="shared" si="23"/>
        <v>0.35530790920440497</v>
      </c>
      <c r="F83" s="342">
        <f t="shared" si="23"/>
        <v>-0.11505579833144097</v>
      </c>
      <c r="G83" s="342">
        <f t="shared" si="23"/>
        <v>-0.11294130135069899</v>
      </c>
      <c r="H83" s="342">
        <f t="shared" si="23"/>
        <v>-0.1109276868338417</v>
      </c>
      <c r="I83" s="342">
        <f t="shared" si="23"/>
        <v>-0.10894487987445178</v>
      </c>
      <c r="J83" s="342">
        <f t="shared" si="23"/>
        <v>-0.1073372181072324</v>
      </c>
      <c r="K83" s="342">
        <f t="shared" si="23"/>
        <v>-0.10580711231040218</v>
      </c>
      <c r="L83" s="342">
        <f t="shared" si="23"/>
        <v>-0.10425721057218218</v>
      </c>
      <c r="M83" s="342">
        <f>M73/M12</f>
        <v>-0.10269100076227328</v>
      </c>
      <c r="N83" s="342">
        <f>N73/N12</f>
        <v>-0.10111174933990462</v>
      </c>
    </row>
    <row r="84" spans="1:14" ht="27" thickBot="1">
      <c r="A84" s="343" t="s">
        <v>265</v>
      </c>
      <c r="B84" s="342">
        <f>B32/B12</f>
        <v>0.6162597255688975</v>
      </c>
      <c r="C84" s="342">
        <f aca="true" t="shared" si="24" ref="C84:L84">C32/C12</f>
        <v>0.6070107440129927</v>
      </c>
      <c r="D84" s="342">
        <f t="shared" si="24"/>
        <v>0.6252689754746911</v>
      </c>
      <c r="E84" s="342">
        <f t="shared" si="24"/>
        <v>0.6454246927524092</v>
      </c>
      <c r="F84" s="342">
        <f t="shared" si="24"/>
        <v>0.639490417215769</v>
      </c>
      <c r="G84" s="342">
        <f t="shared" si="24"/>
        <v>0.6336676848068021</v>
      </c>
      <c r="H84" s="342">
        <f t="shared" si="24"/>
        <v>0.6282479250411821</v>
      </c>
      <c r="I84" s="342">
        <f t="shared" si="24"/>
        <v>0.6229485942596539</v>
      </c>
      <c r="J84" s="342">
        <f t="shared" si="24"/>
        <v>0.6177678344623929</v>
      </c>
      <c r="K84" s="342">
        <f t="shared" si="24"/>
        <v>0.6127037743179857</v>
      </c>
      <c r="L84" s="342">
        <f t="shared" si="24"/>
        <v>0.6077545318274256</v>
      </c>
      <c r="M84" s="342">
        <f>M32/M12</f>
        <v>0.6029182168716835</v>
      </c>
      <c r="N84" s="342">
        <f>N32/N12</f>
        <v>0.5981929336437655</v>
      </c>
    </row>
    <row r="85" spans="1:14" ht="27" thickBot="1">
      <c r="A85" s="343" t="s">
        <v>266</v>
      </c>
      <c r="B85" s="342">
        <f>B52/B12</f>
        <v>0.3837402744311024</v>
      </c>
      <c r="C85" s="342">
        <f aca="true" t="shared" si="25" ref="C85:L85">C52/C12</f>
        <v>0.39298925598700735</v>
      </c>
      <c r="D85" s="342">
        <f t="shared" si="25"/>
        <v>0.37473102452530893</v>
      </c>
      <c r="E85" s="342">
        <f t="shared" si="25"/>
        <v>0.35457530724759073</v>
      </c>
      <c r="F85" s="342">
        <f t="shared" si="25"/>
        <v>0.360509582784231</v>
      </c>
      <c r="G85" s="342">
        <f t="shared" si="25"/>
        <v>0.3663323151931978</v>
      </c>
      <c r="H85" s="342">
        <f t="shared" si="25"/>
        <v>0.37175207495881796</v>
      </c>
      <c r="I85" s="342">
        <f t="shared" si="25"/>
        <v>0.3770514057403461</v>
      </c>
      <c r="J85" s="342">
        <f t="shared" si="25"/>
        <v>0.3822321655376071</v>
      </c>
      <c r="K85" s="342">
        <f t="shared" si="25"/>
        <v>0.38729622568201433</v>
      </c>
      <c r="L85" s="342">
        <f t="shared" si="25"/>
        <v>0.39224546817257444</v>
      </c>
      <c r="M85" s="342">
        <f>M52/M12</f>
        <v>0.3970817831283165</v>
      </c>
      <c r="N85" s="342">
        <f>N52/N12</f>
        <v>0.40180706635623453</v>
      </c>
    </row>
    <row r="86" spans="1:14" ht="27" thickBot="1">
      <c r="A86" s="343" t="s">
        <v>267</v>
      </c>
      <c r="B86" s="342">
        <f>B65/B12</f>
        <v>0.05542727688099554</v>
      </c>
      <c r="C86" s="342">
        <f aca="true" t="shared" si="26" ref="C86:L86">C65/C12</f>
        <v>0.05552460265220756</v>
      </c>
      <c r="D86" s="342">
        <f t="shared" si="26"/>
        <v>0.388603734978561</v>
      </c>
      <c r="E86" s="342">
        <f t="shared" si="26"/>
        <v>0.35530790920440497</v>
      </c>
      <c r="F86" s="342">
        <f t="shared" si="26"/>
        <v>-0.11505579833144097</v>
      </c>
      <c r="G86" s="342">
        <f t="shared" si="26"/>
        <v>-0.11294130135069899</v>
      </c>
      <c r="H86" s="342">
        <f t="shared" si="26"/>
        <v>-0.11092768683384183</v>
      </c>
      <c r="I86" s="342">
        <f t="shared" si="26"/>
        <v>-0.10894487987445173</v>
      </c>
      <c r="J86" s="342">
        <f t="shared" si="26"/>
        <v>-0.10733721810723251</v>
      </c>
      <c r="K86" s="342">
        <f t="shared" si="26"/>
        <v>-0.10580711231040228</v>
      </c>
      <c r="L86" s="344">
        <f t="shared" si="26"/>
        <v>-0.10425721057218218</v>
      </c>
      <c r="M86" s="344">
        <f>M65/M12</f>
        <v>-0.10269100076227346</v>
      </c>
      <c r="N86" s="344">
        <f>N65/N12</f>
        <v>-0.10111174933990479</v>
      </c>
    </row>
    <row r="88" ht="29.25" customHeight="1" thickBot="1"/>
    <row r="89" ht="27" thickBot="1">
      <c r="A89" s="334" t="s">
        <v>349</v>
      </c>
    </row>
    <row r="90" spans="1:14" ht="26.25">
      <c r="A90" s="345" t="s">
        <v>160</v>
      </c>
      <c r="B90" s="346">
        <f aca="true" t="shared" si="27" ref="B90:L90">SUM(B91:B96)</f>
        <v>1528418359</v>
      </c>
      <c r="C90" s="346">
        <f t="shared" si="27"/>
        <v>1629979214.3400006</v>
      </c>
      <c r="D90" s="346">
        <f t="shared" si="27"/>
        <v>3351592964.6299996</v>
      </c>
      <c r="E90" s="346">
        <f t="shared" si="27"/>
        <v>3555916128.6629996</v>
      </c>
      <c r="F90" s="346">
        <f t="shared" si="27"/>
        <v>2091904933.1674323</v>
      </c>
      <c r="G90" s="346">
        <f t="shared" si="27"/>
        <v>2207395129.4264526</v>
      </c>
      <c r="H90" s="346">
        <f t="shared" si="27"/>
        <v>2319591081.788855</v>
      </c>
      <c r="I90" s="346">
        <f t="shared" si="27"/>
        <v>2437970356.9650755</v>
      </c>
      <c r="J90" s="346">
        <f t="shared" si="27"/>
        <v>2561348529.2940683</v>
      </c>
      <c r="K90" s="346">
        <f t="shared" si="27"/>
        <v>2691246890.9591494</v>
      </c>
      <c r="L90" s="346">
        <f t="shared" si="27"/>
        <v>2828498022.5548925</v>
      </c>
      <c r="M90" s="346">
        <f>SUM(M91:M96)</f>
        <v>2973530519.5687885</v>
      </c>
      <c r="N90" s="346">
        <f>SUM(N91:N96)</f>
        <v>3126798316.7854934</v>
      </c>
    </row>
    <row r="91" spans="1:14" ht="26.25">
      <c r="A91" s="347" t="s">
        <v>268</v>
      </c>
      <c r="B91" s="305">
        <f>+'Proyección Ingreso'!B14</f>
        <v>354545107</v>
      </c>
      <c r="C91" s="305">
        <f>+'Proyección Ingreso'!C14</f>
        <v>374045087.885</v>
      </c>
      <c r="D91" s="305">
        <f>+'Proyección Ingreso'!D14</f>
        <v>357996152.64</v>
      </c>
      <c r="E91" s="305">
        <f>+'Proyección Ingreso'!E14</f>
        <v>374105979.5088</v>
      </c>
      <c r="F91" s="305">
        <f>+'Proyección Ingreso'!F14</f>
        <v>389070218.6891519</v>
      </c>
      <c r="G91" s="305">
        <f>+'Proyección Ingreso'!G14</f>
        <v>402687676.34327227</v>
      </c>
      <c r="H91" s="305">
        <f>+'Proyección Ingreso'!H14</f>
        <v>414768306.63357043</v>
      </c>
      <c r="I91" s="305">
        <f>+'Proyección Ingreso'!I14</f>
        <v>427211355.83257747</v>
      </c>
      <c r="J91" s="305">
        <f>+'Proyección Ingreso'!J14</f>
        <v>440027696.5075549</v>
      </c>
      <c r="K91" s="305">
        <f>+'Proyección Ingreso'!K14</f>
        <v>453228527.4027815</v>
      </c>
      <c r="L91" s="305">
        <f>+'Proyección Ingreso'!L14</f>
        <v>466825383.224865</v>
      </c>
      <c r="M91" s="305">
        <f>+'Proyección Ingreso'!M14</f>
        <v>480830144.72161096</v>
      </c>
      <c r="N91" s="305">
        <f>+'Proyección Ingreso'!N14</f>
        <v>495255049.0632593</v>
      </c>
    </row>
    <row r="92" spans="1:14" ht="26.25">
      <c r="A92" s="347" t="s">
        <v>269</v>
      </c>
      <c r="B92" s="305">
        <f>+'Proyección Ingreso'!B30-'Proyección Ingreso'!B35-'Proyección Ingreso'!B59</f>
        <v>30416837.00000018</v>
      </c>
      <c r="C92" s="305">
        <f>+'Proyección Ingreso'!C30-'Proyección Ingreso'!C35-'Proyección Ingreso'!C59</f>
        <v>32089763.034999996</v>
      </c>
      <c r="D92" s="305">
        <f>+'Proyección Ingreso'!D30-'Proyección Ingreso'!D35-'Proyección Ingreso'!D59</f>
        <v>55918145.64999998</v>
      </c>
      <c r="E92" s="305">
        <f>+'Proyección Ingreso'!E30-'Proyección Ingreso'!E35-'Proyección Ingreso'!E59</f>
        <v>59389932.34549986</v>
      </c>
      <c r="F92" s="305">
        <f>+'Proyección Ingreso'!F30-'Proyección Ingreso'!F35-'Proyección Ingreso'!F59</f>
        <v>62992353.30068499</v>
      </c>
      <c r="G92" s="305">
        <f>+'Proyección Ingreso'!G30-'Proyección Ingreso'!G35-'Proyección Ingreso'!G59</f>
        <v>66509786.98386958</v>
      </c>
      <c r="H92" s="305">
        <f>+'Proyección Ingreso'!H30-'Proyección Ingreso'!H35-'Proyección Ingreso'!H59</f>
        <v>69903107.4966941</v>
      </c>
      <c r="I92" s="305">
        <f>+'Proyección Ingreso'!I30-'Proyección Ingreso'!I35-'Proyección Ingreso'!I59</f>
        <v>73482109.23910198</v>
      </c>
      <c r="J92" s="305">
        <f>+'Proyección Ingreso'!J30-'Proyección Ingreso'!J35-'Proyección Ingreso'!J59</f>
        <v>77257395.54483272</v>
      </c>
      <c r="K92" s="305">
        <f>+'Proyección Ingreso'!K30-'Proyección Ingreso'!K35-'Proyección Ingreso'!K59</f>
        <v>81240189.8214484</v>
      </c>
      <c r="L92" s="305">
        <f>+'Proyección Ingreso'!L30-'Proyección Ingreso'!L35-'Proyección Ingreso'!L59</f>
        <v>85442372.27097866</v>
      </c>
      <c r="M92" s="305">
        <f>+'Proyección Ingreso'!M30-'Proyección Ingreso'!M35-'Proyección Ingreso'!M59</f>
        <v>89876518.79928848</v>
      </c>
      <c r="N92" s="305">
        <f>+'Proyección Ingreso'!N30-'Proyección Ingreso'!N35-'Proyección Ingreso'!N59</f>
        <v>94555942.2450578</v>
      </c>
    </row>
    <row r="93" spans="1:14" ht="26.25">
      <c r="A93" s="347" t="s">
        <v>270</v>
      </c>
      <c r="B93" s="305">
        <f>+'Proyección Ingreso'!B35-'Proyección Ingreso'!B39-'Proyección Ingreso'!B42-'Proyección Ingreso'!B49-'Proyección Ingreso'!B51-'Proyección Ingreso'!B58</f>
        <v>861588243.9999999</v>
      </c>
      <c r="C93" s="305">
        <f>+'Proyección Ingreso'!C35-'Proyección Ingreso'!C39-'Proyección Ingreso'!C42-'Proyección Ingreso'!C49-'Proyección Ingreso'!C51-'Proyección Ingreso'!C58</f>
        <v>930515303.5200005</v>
      </c>
      <c r="D93" s="305">
        <f>+'Proyección Ingreso'!D35-'Proyección Ingreso'!D39-'Proyección Ingreso'!D42-'Proyección Ingreso'!D49-'Proyección Ingreso'!D51-'Proyección Ingreso'!D58</f>
        <v>1263464250</v>
      </c>
      <c r="E93" s="305">
        <f>+'Proyección Ingreso'!E35-'Proyección Ingreso'!E39-'Proyección Ingreso'!E42-'Proyección Ingreso'!E49-'Proyección Ingreso'!E51-'Proyección Ingreso'!E58</f>
        <v>1377027854</v>
      </c>
      <c r="F93" s="305">
        <f>+'Proyección Ingreso'!F35-'Proyección Ingreso'!F39-'Proyección Ingreso'!F42-'Proyección Ingreso'!F49-'Proyección Ingreso'!F51-'Proyección Ingreso'!F58</f>
        <v>1473419803.78</v>
      </c>
      <c r="G93" s="305">
        <f>+'Proyección Ingreso'!G35-'Proyección Ingreso'!G39-'Proyección Ingreso'!G42-'Proyección Ingreso'!G49-'Proyección Ingreso'!G51-'Proyección Ingreso'!G58</f>
        <v>1569192091.0257</v>
      </c>
      <c r="H93" s="305">
        <f>+'Proyección Ingreso'!H35-'Proyección Ingreso'!H39-'Proyección Ingreso'!H42-'Proyección Ingreso'!H49-'Proyección Ingreso'!H51-'Proyección Ingreso'!H58</f>
        <v>1663343616.4872427</v>
      </c>
      <c r="I93" s="305">
        <f>+'Proyección Ingreso'!I35-'Proyección Ingreso'!I39-'Proyección Ingreso'!I42-'Proyección Ingreso'!I49-'Proyección Ingreso'!I51-'Proyección Ingreso'!I58</f>
        <v>1763144233.4764771</v>
      </c>
      <c r="J93" s="305">
        <f>+'Proyección Ingreso'!J35-'Proyección Ingreso'!J39-'Proyección Ingreso'!J42-'Proyección Ingreso'!J49-'Proyección Ingreso'!J51-'Proyección Ingreso'!J58</f>
        <v>1868932887.4850657</v>
      </c>
      <c r="K93" s="305">
        <f>+'Proyección Ingreso'!K35-'Proyección Ingreso'!K39-'Proyección Ingreso'!K42-'Proyección Ingreso'!K49-'Proyección Ingreso'!K51-'Proyección Ingreso'!K58</f>
        <v>1981068860.7341702</v>
      </c>
      <c r="L93" s="305">
        <f>+'Proyección Ingreso'!L35-'Proyección Ingreso'!L39-'Proyección Ingreso'!L42-'Proyección Ingreso'!L49-'Proyección Ingreso'!L51-'Proyección Ingreso'!L58</f>
        <v>2099932992.37822</v>
      </c>
      <c r="M93" s="305">
        <f>+'Proyección Ingreso'!M35-'Proyección Ingreso'!M39-'Proyección Ingreso'!M42-'Proyección Ingreso'!M49-'Proyección Ingreso'!M51-'Proyección Ingreso'!M58</f>
        <v>2225928971.9209137</v>
      </c>
      <c r="N93" s="305">
        <f>+'Proyección Ingreso'!N35-'Proyección Ingreso'!N39-'Proyección Ingreso'!N42-'Proyección Ingreso'!N49-'Proyección Ingreso'!N51-'Proyección Ingreso'!N58</f>
        <v>2359484710.236169</v>
      </c>
    </row>
    <row r="94" spans="1:14" ht="25.5">
      <c r="A94" s="295" t="s">
        <v>271</v>
      </c>
      <c r="B94" s="305">
        <f>+'Proyección Ingreso'!B73-'Proyección Ingreso'!B79</f>
        <v>248726885</v>
      </c>
      <c r="C94" s="305">
        <f>+'Proyección Ingreso'!C73-'Proyección Ingreso'!C79</f>
        <v>258675960.40000004</v>
      </c>
      <c r="D94" s="305">
        <f>+'Proyección Ingreso'!D73-'Proyección Ingreso'!D79</f>
        <v>1651138525.6200001</v>
      </c>
      <c r="E94" s="305">
        <f>+'Proyección Ingreso'!E73-'Proyección Ingreso'!E79</f>
        <v>1721681166.8906999</v>
      </c>
      <c r="F94" s="305">
        <f>+'Proyección Ingreso'!F73-'Proyección Ingreso'!F79</f>
        <v>142165247.13406047</v>
      </c>
      <c r="G94" s="305">
        <f>+'Proyección Ingreso'!G73-'Proyección Ingreso'!G79</f>
        <v>144297725.84107137</v>
      </c>
      <c r="H94" s="305">
        <f>+'Proyección Ingreso'!H73-'Proyección Ingreso'!H79</f>
        <v>146462191.72868744</v>
      </c>
      <c r="I94" s="305">
        <f>+'Proyección Ingreso'!I73-'Proyección Ingreso'!I79</f>
        <v>148659124.60461774</v>
      </c>
      <c r="J94" s="305">
        <f>+'Proyección Ingreso'!J73-'Proyección Ingreso'!J79</f>
        <v>149402420.2276408</v>
      </c>
      <c r="K94" s="305">
        <f>+'Proyección Ingreso'!K73-'Proyección Ingreso'!K79</f>
        <v>149775926.2782099</v>
      </c>
      <c r="L94" s="305">
        <f>+'Proyección Ingreso'!L73-'Proyección Ingreso'!L79</f>
        <v>150150366.09390542</v>
      </c>
      <c r="M94" s="305">
        <f>+'Proyección Ingreso'!M73-'Proyección Ingreso'!M79</f>
        <v>150525742.00914016</v>
      </c>
      <c r="N94" s="305">
        <f>+'Proyección Ingreso'!N73-'Proyección Ingreso'!N79</f>
        <v>150902056.364163</v>
      </c>
    </row>
    <row r="95" spans="1:14" ht="25.5">
      <c r="A95" s="348" t="s">
        <v>272</v>
      </c>
      <c r="B95" s="305">
        <f>+'Proyección Ingreso'!B67</f>
        <v>12410804</v>
      </c>
      <c r="C95" s="305">
        <f>+'Proyección Ingreso'!C67</f>
        <v>13093398.219999999</v>
      </c>
      <c r="D95" s="305">
        <f>+'Proyección Ingreso'!D67</f>
        <v>1946931</v>
      </c>
      <c r="E95" s="305">
        <f>+'Proyección Ingreso'!E67</f>
        <v>2054012.2049999998</v>
      </c>
      <c r="F95" s="305">
        <f>+'Proyección Ingreso'!F67</f>
        <v>2166982.8762749997</v>
      </c>
      <c r="G95" s="305">
        <f>+'Proyección Ingreso'!G67</f>
        <v>2286166.9344701245</v>
      </c>
      <c r="H95" s="305">
        <f>+'Proyección Ingreso'!H67</f>
        <v>2411906.115865981</v>
      </c>
      <c r="I95" s="305">
        <f>+'Proyección Ingreso'!I67</f>
        <v>2544560.95223861</v>
      </c>
      <c r="J95" s="305">
        <f>+'Proyección Ingreso'!J67</f>
        <v>2684511.804611733</v>
      </c>
      <c r="K95" s="305">
        <f>+'Proyección Ingreso'!K67</f>
        <v>2832159.953865378</v>
      </c>
      <c r="L95" s="305">
        <f>+'Proyección Ingreso'!L67</f>
        <v>2987928.751327974</v>
      </c>
      <c r="M95" s="305">
        <f>+'Proyección Ingreso'!M67</f>
        <v>3152264.832651012</v>
      </c>
      <c r="N95" s="305">
        <f>+'Proyección Ingreso'!N67</f>
        <v>3325639.3984468174</v>
      </c>
    </row>
    <row r="96" spans="1:14" ht="25.5">
      <c r="A96" s="295" t="s">
        <v>273</v>
      </c>
      <c r="B96" s="305">
        <f>+'Proyección Ingreso'!B81</f>
        <v>20730482</v>
      </c>
      <c r="C96" s="305">
        <f>+'Proyección Ingreso'!C81</f>
        <v>21559701.28</v>
      </c>
      <c r="D96" s="305">
        <f>+'Proyección Ingreso'!D81</f>
        <v>21128959.72</v>
      </c>
      <c r="E96" s="305">
        <f>+'Proyección Ingreso'!E81</f>
        <v>21657183.712999996</v>
      </c>
      <c r="F96" s="305">
        <f>+'Proyección Ingreso'!F81</f>
        <v>22090327.387259997</v>
      </c>
      <c r="G96" s="305">
        <f>+'Proyección Ingreso'!G81</f>
        <v>22421682.298068896</v>
      </c>
      <c r="H96" s="305">
        <f>+'Proyección Ingreso'!H81</f>
        <v>22701953.326794755</v>
      </c>
      <c r="I96" s="305">
        <f>+'Proyección Ingreso'!I81</f>
        <v>22928972.860062703</v>
      </c>
      <c r="J96" s="305">
        <f>+'Proyección Ingreso'!J81</f>
        <v>23043617.724363014</v>
      </c>
      <c r="K96" s="305">
        <f>+'Proyección Ingreso'!K81</f>
        <v>23101226.76867392</v>
      </c>
      <c r="L96" s="305">
        <f>+'Proyección Ingreso'!L81</f>
        <v>23158979.835595604</v>
      </c>
      <c r="M96" s="305">
        <f>+'Proyección Ingreso'!M81</f>
        <v>23216877.285184592</v>
      </c>
      <c r="N96" s="305">
        <f>+'Proyección Ingreso'!N81</f>
        <v>23274919.478397552</v>
      </c>
    </row>
    <row r="97" spans="1:14" ht="26.25">
      <c r="A97" s="345" t="s">
        <v>274</v>
      </c>
      <c r="B97" s="308">
        <f>SUM(B98:B102)</f>
        <v>521290433.71000004</v>
      </c>
      <c r="C97" s="308">
        <f aca="true" t="shared" si="28" ref="C97:L97">SUM(C98:C102)</f>
        <v>550291845.4690499</v>
      </c>
      <c r="D97" s="308">
        <f t="shared" si="28"/>
        <v>715479210.2</v>
      </c>
      <c r="E97" s="308">
        <f t="shared" si="28"/>
        <v>747675774.6589999</v>
      </c>
      <c r="F97" s="308">
        <f t="shared" si="28"/>
        <v>777582805.64536</v>
      </c>
      <c r="G97" s="308">
        <f t="shared" si="28"/>
        <v>804798203.8429475</v>
      </c>
      <c r="H97" s="308">
        <f t="shared" si="28"/>
        <v>828942149.958236</v>
      </c>
      <c r="I97" s="308">
        <f t="shared" si="28"/>
        <v>853810414.4569831</v>
      </c>
      <c r="J97" s="308">
        <f t="shared" si="28"/>
        <v>879424726.8906925</v>
      </c>
      <c r="K97" s="308">
        <f t="shared" si="28"/>
        <v>905807468.6974134</v>
      </c>
      <c r="L97" s="308">
        <f t="shared" si="28"/>
        <v>932981692.7583358</v>
      </c>
      <c r="M97" s="308">
        <f>SUM(M98:M102)</f>
        <v>960971143.541086</v>
      </c>
      <c r="N97" s="308">
        <f>SUM(N98:N102)</f>
        <v>989800277.8473184</v>
      </c>
    </row>
    <row r="98" spans="1:14" ht="25.5">
      <c r="A98" s="295" t="s">
        <v>275</v>
      </c>
      <c r="B98" s="305">
        <f>+'Proyección Gasto'!B14</f>
        <v>310743204.71000004</v>
      </c>
      <c r="C98" s="305">
        <f>+'Proyección Gasto'!C14</f>
        <v>327834080.96905</v>
      </c>
      <c r="D98" s="305">
        <f>+'Proyección Gasto'!D14</f>
        <v>404878607.8</v>
      </c>
      <c r="E98" s="305">
        <f>+'Proyección Gasto'!E14</f>
        <v>423098145.151</v>
      </c>
      <c r="F98" s="305">
        <f>+'Proyección Gasto'!F14</f>
        <v>440022070.9570401</v>
      </c>
      <c r="G98" s="305">
        <f>+'Proyección Gasto'!G14</f>
        <v>455422843.4405364</v>
      </c>
      <c r="H98" s="305">
        <f>+'Proyección Gasto'!H14</f>
        <v>469085528.7437525</v>
      </c>
      <c r="I98" s="305">
        <f>+'Proyección Gasto'!I14</f>
        <v>483158094.60606503</v>
      </c>
      <c r="J98" s="305">
        <f>+'Proyección Gasto'!J14</f>
        <v>497652837.44424707</v>
      </c>
      <c r="K98" s="305">
        <f>+'Proyección Gasto'!K14</f>
        <v>512582422.56757444</v>
      </c>
      <c r="L98" s="305">
        <f>+'Proyección Gasto'!L14</f>
        <v>527959895.2446017</v>
      </c>
      <c r="M98" s="305">
        <f>+'Proyección Gasto'!M14</f>
        <v>543798692.1019398</v>
      </c>
      <c r="N98" s="305">
        <f>+'Proyección Gasto'!N14</f>
        <v>560112652.864998</v>
      </c>
    </row>
    <row r="99" spans="1:14" ht="25.5">
      <c r="A99" s="295" t="s">
        <v>276</v>
      </c>
      <c r="B99" s="305">
        <f>+'Proyección Gasto'!B29</f>
        <v>66087581</v>
      </c>
      <c r="C99" s="305">
        <f>+'Proyección Gasto'!C29</f>
        <v>70052835.86</v>
      </c>
      <c r="D99" s="305">
        <f>+'Proyección Gasto'!D29</f>
        <v>226472334.39999998</v>
      </c>
      <c r="E99" s="305">
        <f>+'Proyección Gasto'!E29</f>
        <v>236663589.44799995</v>
      </c>
      <c r="F99" s="305">
        <f>+'Proyección Gasto'!F29</f>
        <v>246130133.02591997</v>
      </c>
      <c r="G99" s="305">
        <f>+'Proyección Gasto'!G29</f>
        <v>254744687.68182713</v>
      </c>
      <c r="H99" s="305">
        <f>+'Proyección Gasto'!H29</f>
        <v>262387028.31228194</v>
      </c>
      <c r="I99" s="305">
        <f>+'Proyección Gasto'!I29</f>
        <v>270258639.1616504</v>
      </c>
      <c r="J99" s="305">
        <f>+'Proyección Gasto'!J29</f>
        <v>278366398.3364999</v>
      </c>
      <c r="K99" s="305">
        <f>+'Proyección Gasto'!K29</f>
        <v>286717390.28659487</v>
      </c>
      <c r="L99" s="305">
        <f>+'Proyección Gasto'!L29</f>
        <v>295318911.99519277</v>
      </c>
      <c r="M99" s="305">
        <f>+'Proyección Gasto'!M29</f>
        <v>304178479.35504854</v>
      </c>
      <c r="N99" s="305">
        <f>+'Proyección Gasto'!N29</f>
        <v>313303833.7357</v>
      </c>
    </row>
    <row r="100" spans="1:14" ht="25.5">
      <c r="A100" s="295" t="s">
        <v>270</v>
      </c>
      <c r="B100" s="305">
        <f>+'Proyección Gasto'!B33-'Proyección Gasto'!B50</f>
        <v>72229824</v>
      </c>
      <c r="C100" s="305">
        <f>+'Proyección Gasto'!C33-'Proyección Gasto'!C50</f>
        <v>76202464.32</v>
      </c>
      <c r="D100" s="305">
        <f>+'Proyección Gasto'!D33-'Proyección Gasto'!D50</f>
        <v>42064134</v>
      </c>
      <c r="E100" s="305">
        <f>+'Proyección Gasto'!E33-'Proyección Gasto'!E50</f>
        <v>43957020.029999994</v>
      </c>
      <c r="F100" s="305">
        <f>+'Proyección Gasto'!F33-'Proyección Gasto'!F50</f>
        <v>45715300.8312</v>
      </c>
      <c r="G100" s="305">
        <f>+'Proyección Gasto'!G33-'Proyección Gasto'!G50</f>
        <v>47315336.360291995</v>
      </c>
      <c r="H100" s="305">
        <f>+'Proyección Gasto'!H33-'Proyección Gasto'!H50</f>
        <v>48734796.45110077</v>
      </c>
      <c r="I100" s="305">
        <f>+'Proyección Gasto'!I33-'Proyección Gasto'!I50</f>
        <v>50196840.34463378</v>
      </c>
      <c r="J100" s="305">
        <f>+'Proyección Gasto'!J33-'Proyección Gasto'!J50</f>
        <v>51702745.5549728</v>
      </c>
      <c r="K100" s="305">
        <f>+'Proyección Gasto'!K33-'Proyección Gasto'!K50</f>
        <v>53253827.92162198</v>
      </c>
      <c r="L100" s="305">
        <f>+'Proyección Gasto'!L33-'Proyección Gasto'!L50</f>
        <v>54851442.75927064</v>
      </c>
      <c r="M100" s="305">
        <f>+'Proyección Gasto'!M33-'Proyección Gasto'!M50</f>
        <v>56496986.04204876</v>
      </c>
      <c r="N100" s="305">
        <f>+'Proyección Gasto'!N33-'Proyección Gasto'!N50</f>
        <v>58191895.623310216</v>
      </c>
    </row>
    <row r="101" spans="1:14" ht="25.5">
      <c r="A101" s="295" t="s">
        <v>277</v>
      </c>
      <c r="B101" s="305">
        <f>+'Proyección Gasto'!B33-'Proyección Gasto'!B50</f>
        <v>72229824</v>
      </c>
      <c r="C101" s="305">
        <f>+'Proyección Gasto'!C33-'Proyección Gasto'!C50</f>
        <v>76202464.32</v>
      </c>
      <c r="D101" s="305">
        <f>+'Proyección Gasto'!D33-'Proyección Gasto'!D50</f>
        <v>42064134</v>
      </c>
      <c r="E101" s="305">
        <f>+'Proyección Gasto'!E33-'Proyección Gasto'!E50</f>
        <v>43957020.029999994</v>
      </c>
      <c r="F101" s="305">
        <f>+'Proyección Gasto'!F33-'Proyección Gasto'!F50</f>
        <v>45715300.8312</v>
      </c>
      <c r="G101" s="305">
        <f>+'Proyección Gasto'!G33-'Proyección Gasto'!G50</f>
        <v>47315336.360291995</v>
      </c>
      <c r="H101" s="305">
        <f>+'Proyección Gasto'!H33-'Proyección Gasto'!H50</f>
        <v>48734796.45110077</v>
      </c>
      <c r="I101" s="305">
        <f>+'Proyección Gasto'!I33-'Proyección Gasto'!I50</f>
        <v>50196840.34463378</v>
      </c>
      <c r="J101" s="305">
        <f>+'Proyección Gasto'!J33-'Proyección Gasto'!J50</f>
        <v>51702745.5549728</v>
      </c>
      <c r="K101" s="305">
        <f>+'Proyección Gasto'!K33-'Proyección Gasto'!K50</f>
        <v>53253827.92162198</v>
      </c>
      <c r="L101" s="305">
        <f>+'Proyección Gasto'!L33-'Proyección Gasto'!L50</f>
        <v>54851442.75927064</v>
      </c>
      <c r="M101" s="305">
        <f>+'Proyección Gasto'!M33-'Proyección Gasto'!M50</f>
        <v>56496986.04204876</v>
      </c>
      <c r="N101" s="305">
        <f>+'Proyección Gasto'!N33-'Proyección Gasto'!N50</f>
        <v>58191895.623310216</v>
      </c>
    </row>
    <row r="102" spans="1:14" ht="26.25" thickBot="1">
      <c r="A102" s="295" t="s">
        <v>278</v>
      </c>
      <c r="B102" s="305">
        <f>+'Proyección Gasto'!B53</f>
        <v>0</v>
      </c>
      <c r="C102" s="305">
        <f>+'Proyección Gasto'!C53</f>
        <v>0</v>
      </c>
      <c r="D102" s="305">
        <f>+'Proyección Gasto'!D53</f>
        <v>0</v>
      </c>
      <c r="E102" s="305">
        <f>+'Proyección Gasto'!E53</f>
        <v>0</v>
      </c>
      <c r="F102" s="305">
        <f>+'Proyección Gasto'!F53</f>
        <v>0</v>
      </c>
      <c r="G102" s="305">
        <f>+'Proyección Gasto'!G53</f>
        <v>0</v>
      </c>
      <c r="H102" s="305">
        <f>+'Proyección Gasto'!H53</f>
        <v>0</v>
      </c>
      <c r="I102" s="305">
        <f>+'Proyección Gasto'!I53</f>
        <v>0</v>
      </c>
      <c r="J102" s="305">
        <f>+'Proyección Gasto'!J53</f>
        <v>0</v>
      </c>
      <c r="K102" s="305">
        <f>+'Proyección Gasto'!K53</f>
        <v>0</v>
      </c>
      <c r="L102" s="305">
        <f>+'Proyección Gasto'!L53</f>
        <v>0</v>
      </c>
      <c r="M102" s="305">
        <f>+'Proyección Gasto'!M53</f>
        <v>0</v>
      </c>
      <c r="N102" s="305">
        <f>+'Proyección Gasto'!N53</f>
        <v>0</v>
      </c>
    </row>
    <row r="103" spans="1:14" ht="27" thickBot="1">
      <c r="A103" s="306" t="s">
        <v>279</v>
      </c>
      <c r="B103" s="303">
        <f>+B90-B97</f>
        <v>1007127925.29</v>
      </c>
      <c r="C103" s="303">
        <f aca="true" t="shared" si="29" ref="C103:L103">+C90-C97</f>
        <v>1079687368.8709507</v>
      </c>
      <c r="D103" s="303">
        <f t="shared" si="29"/>
        <v>2636113754.4299994</v>
      </c>
      <c r="E103" s="303">
        <f t="shared" si="29"/>
        <v>2808240354.0039997</v>
      </c>
      <c r="F103" s="303">
        <f t="shared" si="29"/>
        <v>1314322127.5220723</v>
      </c>
      <c r="G103" s="303">
        <f t="shared" si="29"/>
        <v>1402596925.5835052</v>
      </c>
      <c r="H103" s="303">
        <f t="shared" si="29"/>
        <v>1490648931.830619</v>
      </c>
      <c r="I103" s="303">
        <f t="shared" si="29"/>
        <v>1584159942.5080924</v>
      </c>
      <c r="J103" s="303">
        <f t="shared" si="29"/>
        <v>1681923802.4033759</v>
      </c>
      <c r="K103" s="303">
        <f t="shared" si="29"/>
        <v>1785439422.261736</v>
      </c>
      <c r="L103" s="303">
        <f t="shared" si="29"/>
        <v>1895516329.7965567</v>
      </c>
      <c r="M103" s="303">
        <f>+M90-M97</f>
        <v>2012559376.0277026</v>
      </c>
      <c r="N103" s="303">
        <f>+N90-N97</f>
        <v>2136998038.938175</v>
      </c>
    </row>
    <row r="104" spans="1:14" ht="26.25">
      <c r="A104" s="349" t="s">
        <v>280</v>
      </c>
      <c r="B104" s="350"/>
      <c r="C104" s="350"/>
      <c r="D104" s="350"/>
      <c r="E104" s="350"/>
      <c r="F104" s="350"/>
      <c r="G104" s="350"/>
      <c r="H104" s="350"/>
      <c r="I104" s="350"/>
      <c r="J104" s="350"/>
      <c r="K104" s="350"/>
      <c r="L104" s="350"/>
      <c r="M104" s="350"/>
      <c r="N104" s="350"/>
    </row>
    <row r="105" spans="1:14" ht="26.25">
      <c r="A105" s="345" t="s">
        <v>281</v>
      </c>
      <c r="B105" s="308">
        <f>+B106+B107+B108-B109</f>
        <v>0</v>
      </c>
      <c r="C105" s="308">
        <f aca="true" t="shared" si="30" ref="C105:L105">+C106+C107+C108-C109</f>
        <v>0</v>
      </c>
      <c r="D105" s="308">
        <f t="shared" si="30"/>
        <v>0</v>
      </c>
      <c r="E105" s="308">
        <f t="shared" si="30"/>
        <v>0</v>
      </c>
      <c r="F105" s="308">
        <f t="shared" si="30"/>
        <v>0</v>
      </c>
      <c r="G105" s="308">
        <f t="shared" si="30"/>
        <v>0</v>
      </c>
      <c r="H105" s="308">
        <f t="shared" si="30"/>
        <v>0</v>
      </c>
      <c r="I105" s="308">
        <f t="shared" si="30"/>
        <v>0</v>
      </c>
      <c r="J105" s="308">
        <f t="shared" si="30"/>
        <v>0</v>
      </c>
      <c r="K105" s="308">
        <f t="shared" si="30"/>
        <v>0</v>
      </c>
      <c r="L105" s="308">
        <f t="shared" si="30"/>
        <v>0</v>
      </c>
      <c r="M105" s="308">
        <f>+M106+M107+M108-M109</f>
        <v>0</v>
      </c>
      <c r="N105" s="308">
        <f>+N106+N107+N108-N109</f>
        <v>0</v>
      </c>
    </row>
    <row r="106" spans="1:14" ht="25.5">
      <c r="A106" s="295" t="s">
        <v>282</v>
      </c>
      <c r="B106" s="351"/>
      <c r="C106" s="351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</row>
    <row r="107" spans="1:14" ht="25.5">
      <c r="A107" s="295" t="s">
        <v>283</v>
      </c>
      <c r="B107" s="351"/>
      <c r="C107" s="351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</row>
    <row r="108" spans="1:14" ht="25.5">
      <c r="A108" s="295" t="s">
        <v>284</v>
      </c>
      <c r="B108" s="351"/>
      <c r="C108" s="351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</row>
    <row r="109" spans="1:14" ht="25.5">
      <c r="A109" s="295" t="s">
        <v>285</v>
      </c>
      <c r="B109" s="351"/>
      <c r="C109" s="351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</row>
    <row r="110" spans="1:14" ht="26.25">
      <c r="A110" s="345" t="s">
        <v>286</v>
      </c>
      <c r="B110" s="308">
        <f>SUM(B111:B112)</f>
        <v>0</v>
      </c>
      <c r="C110" s="308">
        <f>SUM(C111:C112)</f>
        <v>0</v>
      </c>
      <c r="D110" s="308">
        <f aca="true" t="shared" si="31" ref="D110:L110">SUM(D111:D112)</f>
        <v>0</v>
      </c>
      <c r="E110" s="308">
        <f>SUM(E111:E112)</f>
        <v>0</v>
      </c>
      <c r="F110" s="308">
        <f t="shared" si="31"/>
        <v>0</v>
      </c>
      <c r="G110" s="308">
        <f t="shared" si="31"/>
        <v>0</v>
      </c>
      <c r="H110" s="308">
        <f t="shared" si="31"/>
        <v>0</v>
      </c>
      <c r="I110" s="308">
        <f t="shared" si="31"/>
        <v>0</v>
      </c>
      <c r="J110" s="308">
        <f t="shared" si="31"/>
        <v>0</v>
      </c>
      <c r="K110" s="308">
        <f t="shared" si="31"/>
        <v>0</v>
      </c>
      <c r="L110" s="308">
        <f t="shared" si="31"/>
        <v>0</v>
      </c>
      <c r="M110" s="308">
        <f>SUM(M111:M112)</f>
        <v>0</v>
      </c>
      <c r="N110" s="308">
        <f>SUM(N111:N112)</f>
        <v>0</v>
      </c>
    </row>
    <row r="111" spans="1:14" ht="25.5">
      <c r="A111" s="295" t="s">
        <v>287</v>
      </c>
      <c r="B111" s="351"/>
      <c r="C111" s="351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</row>
    <row r="112" spans="1:14" ht="25.5">
      <c r="A112" s="295" t="s">
        <v>288</v>
      </c>
      <c r="B112" s="352">
        <f>+'Proyección Gasto'!B186</f>
        <v>0</v>
      </c>
      <c r="C112" s="352">
        <f>+'Proyección Gasto'!C186</f>
        <v>0</v>
      </c>
      <c r="D112" s="352">
        <f>+'Proyección Gasto'!D186</f>
        <v>0</v>
      </c>
      <c r="E112" s="352">
        <f>+'Proyección Gasto'!E186</f>
        <v>0</v>
      </c>
      <c r="F112" s="352">
        <f>+'Proyección Gasto'!F186</f>
        <v>0</v>
      </c>
      <c r="G112" s="352">
        <f>+'Proyección Gasto'!G186</f>
        <v>0</v>
      </c>
      <c r="H112" s="352">
        <f>+'Proyección Gasto'!H186</f>
        <v>0</v>
      </c>
      <c r="I112" s="352">
        <f>+'Proyección Gasto'!I186</f>
        <v>0</v>
      </c>
      <c r="J112" s="352">
        <f>+'Proyección Gasto'!J186</f>
        <v>0</v>
      </c>
      <c r="K112" s="352">
        <f>+'Proyección Gasto'!K186</f>
        <v>0</v>
      </c>
      <c r="L112" s="352">
        <f>+'Proyección Gasto'!L186</f>
        <v>0</v>
      </c>
      <c r="M112" s="352">
        <f>+'Proyección Gasto'!M186</f>
        <v>0</v>
      </c>
      <c r="N112" s="352">
        <f>+'Proyección Gasto'!N186</f>
        <v>0</v>
      </c>
    </row>
    <row r="113" spans="1:14" ht="26.25">
      <c r="A113" s="345" t="s">
        <v>289</v>
      </c>
      <c r="B113" s="308">
        <f>SUM(B114:B115)</f>
        <v>0</v>
      </c>
      <c r="C113" s="308">
        <f aca="true" t="shared" si="32" ref="C113:L113">SUM(C114:C115)</f>
        <v>0</v>
      </c>
      <c r="D113" s="308">
        <f t="shared" si="32"/>
        <v>0</v>
      </c>
      <c r="E113" s="308">
        <f t="shared" si="32"/>
        <v>0</v>
      </c>
      <c r="F113" s="308">
        <f t="shared" si="32"/>
        <v>0</v>
      </c>
      <c r="G113" s="308">
        <f t="shared" si="32"/>
        <v>0</v>
      </c>
      <c r="H113" s="308">
        <f t="shared" si="32"/>
        <v>0</v>
      </c>
      <c r="I113" s="308">
        <f t="shared" si="32"/>
        <v>0</v>
      </c>
      <c r="J113" s="308">
        <f t="shared" si="32"/>
        <v>0</v>
      </c>
      <c r="K113" s="308">
        <f t="shared" si="32"/>
        <v>0</v>
      </c>
      <c r="L113" s="308">
        <f t="shared" si="32"/>
        <v>0</v>
      </c>
      <c r="M113" s="308">
        <f>SUM(M114:M115)</f>
        <v>0</v>
      </c>
      <c r="N113" s="308">
        <f>SUM(N114:N115)</f>
        <v>0</v>
      </c>
    </row>
    <row r="114" spans="1:14" ht="25.5">
      <c r="A114" s="295" t="s">
        <v>290</v>
      </c>
      <c r="B114" s="351"/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</row>
    <row r="115" spans="1:14" ht="25.5">
      <c r="A115" s="295" t="s">
        <v>291</v>
      </c>
      <c r="B115" s="352">
        <f>+'Proyección Gasto'!B187</f>
        <v>0</v>
      </c>
      <c r="C115" s="352">
        <f>+'Proyección Gasto'!C187</f>
        <v>0</v>
      </c>
      <c r="D115" s="352">
        <f>+'Proyección Gasto'!D187</f>
        <v>0</v>
      </c>
      <c r="E115" s="352">
        <f>+'Proyección Gasto'!E187</f>
        <v>0</v>
      </c>
      <c r="F115" s="352">
        <f>+'Proyección Gasto'!F187</f>
        <v>0</v>
      </c>
      <c r="G115" s="352">
        <f>+'Proyección Gasto'!G187</f>
        <v>0</v>
      </c>
      <c r="H115" s="352">
        <f>+'Proyección Gasto'!H187</f>
        <v>0</v>
      </c>
      <c r="I115" s="352">
        <f>+'Proyección Gasto'!I187</f>
        <v>0</v>
      </c>
      <c r="J115" s="352">
        <f>+'Proyección Gasto'!J187</f>
        <v>0</v>
      </c>
      <c r="K115" s="352">
        <f>+'Proyección Gasto'!K187</f>
        <v>0</v>
      </c>
      <c r="L115" s="352">
        <f>+'Proyección Gasto'!L187</f>
        <v>0</v>
      </c>
      <c r="M115" s="352">
        <f>+'Proyección Gasto'!M187</f>
        <v>0</v>
      </c>
      <c r="N115" s="352">
        <f>+'Proyección Gasto'!N187</f>
        <v>0</v>
      </c>
    </row>
    <row r="116" spans="1:14" ht="26.25">
      <c r="A116" s="349" t="s">
        <v>292</v>
      </c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</row>
    <row r="117" spans="1:14" ht="25.5">
      <c r="A117" s="295" t="s">
        <v>293</v>
      </c>
      <c r="B117" s="351"/>
      <c r="C117" s="351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</row>
    <row r="118" spans="1:14" ht="25.5">
      <c r="A118" s="295" t="s">
        <v>294</v>
      </c>
      <c r="B118" s="351"/>
      <c r="C118" s="351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</row>
    <row r="119" spans="1:14" ht="26.25" thickBot="1">
      <c r="A119" s="295" t="s">
        <v>295</v>
      </c>
      <c r="B119" s="351"/>
      <c r="C119" s="351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</row>
    <row r="120" spans="1:14" ht="27" thickBot="1">
      <c r="A120" s="306" t="s">
        <v>296</v>
      </c>
      <c r="B120" s="303">
        <f>+B105+B117-B118</f>
        <v>0</v>
      </c>
      <c r="C120" s="303">
        <f aca="true" t="shared" si="33" ref="C120:L120">+C105+C117-C118</f>
        <v>0</v>
      </c>
      <c r="D120" s="303">
        <f t="shared" si="33"/>
        <v>0</v>
      </c>
      <c r="E120" s="303">
        <f t="shared" si="33"/>
        <v>0</v>
      </c>
      <c r="F120" s="303">
        <f t="shared" si="33"/>
        <v>0</v>
      </c>
      <c r="G120" s="303">
        <f t="shared" si="33"/>
        <v>0</v>
      </c>
      <c r="H120" s="303">
        <f t="shared" si="33"/>
        <v>0</v>
      </c>
      <c r="I120" s="303">
        <f t="shared" si="33"/>
        <v>0</v>
      </c>
      <c r="J120" s="303">
        <f t="shared" si="33"/>
        <v>0</v>
      </c>
      <c r="K120" s="303">
        <f t="shared" si="33"/>
        <v>0</v>
      </c>
      <c r="L120" s="303">
        <f t="shared" si="33"/>
        <v>0</v>
      </c>
      <c r="M120" s="303">
        <f>+M105+M117-M118</f>
        <v>0</v>
      </c>
      <c r="N120" s="303">
        <f>+N105+N117-N118</f>
        <v>0</v>
      </c>
    </row>
    <row r="121" spans="1:14" ht="27" thickBot="1">
      <c r="A121" s="306" t="s">
        <v>297</v>
      </c>
      <c r="B121" s="303">
        <f aca="true" t="shared" si="34" ref="B121:L121">+B113+B119</f>
        <v>0</v>
      </c>
      <c r="C121" s="303">
        <f>+C112+C119</f>
        <v>0</v>
      </c>
      <c r="D121" s="303">
        <f t="shared" si="34"/>
        <v>0</v>
      </c>
      <c r="E121" s="303">
        <f t="shared" si="34"/>
        <v>0</v>
      </c>
      <c r="F121" s="303">
        <f t="shared" si="34"/>
        <v>0</v>
      </c>
      <c r="G121" s="303">
        <f t="shared" si="34"/>
        <v>0</v>
      </c>
      <c r="H121" s="303">
        <f t="shared" si="34"/>
        <v>0</v>
      </c>
      <c r="I121" s="303">
        <f t="shared" si="34"/>
        <v>0</v>
      </c>
      <c r="J121" s="303">
        <f t="shared" si="34"/>
        <v>0</v>
      </c>
      <c r="K121" s="303">
        <f t="shared" si="34"/>
        <v>0</v>
      </c>
      <c r="L121" s="303">
        <f t="shared" si="34"/>
        <v>0</v>
      </c>
      <c r="M121" s="303">
        <f>+M113+M119</f>
        <v>0</v>
      </c>
      <c r="N121" s="303">
        <f>+N113+N119</f>
        <v>0</v>
      </c>
    </row>
    <row r="122" spans="1:15" ht="26.25" customHeight="1" thickBot="1">
      <c r="A122" s="353"/>
      <c r="B122" s="354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5"/>
    </row>
    <row r="123" ht="27" thickBot="1">
      <c r="A123" s="334" t="s">
        <v>350</v>
      </c>
    </row>
    <row r="124" spans="1:14" ht="27" thickBot="1">
      <c r="A124" s="343" t="s">
        <v>298</v>
      </c>
      <c r="B124" s="356">
        <f>+(B121/B103)</f>
        <v>0</v>
      </c>
      <c r="C124" s="356">
        <f>+(C121/C103)*100</f>
        <v>0</v>
      </c>
      <c r="D124" s="356">
        <f aca="true" t="shared" si="35" ref="D124:L124">+(D121/D103)*100</f>
        <v>0</v>
      </c>
      <c r="E124" s="356">
        <f t="shared" si="35"/>
        <v>0</v>
      </c>
      <c r="F124" s="356">
        <f t="shared" si="35"/>
        <v>0</v>
      </c>
      <c r="G124" s="356">
        <f t="shared" si="35"/>
        <v>0</v>
      </c>
      <c r="H124" s="356">
        <f t="shared" si="35"/>
        <v>0</v>
      </c>
      <c r="I124" s="356">
        <f t="shared" si="35"/>
        <v>0</v>
      </c>
      <c r="J124" s="356">
        <f t="shared" si="35"/>
        <v>0</v>
      </c>
      <c r="K124" s="356">
        <f t="shared" si="35"/>
        <v>0</v>
      </c>
      <c r="L124" s="356">
        <f t="shared" si="35"/>
        <v>0</v>
      </c>
      <c r="M124" s="356">
        <f>+(M121/M103)*100</f>
        <v>0</v>
      </c>
      <c r="N124" s="356">
        <f>+(N121/N103)*100</f>
        <v>0</v>
      </c>
    </row>
    <row r="125" spans="1:14" ht="27" thickBot="1">
      <c r="A125" s="343" t="s">
        <v>299</v>
      </c>
      <c r="B125" s="357">
        <f>+(B120/B90)</f>
        <v>0</v>
      </c>
      <c r="C125" s="357">
        <f aca="true" t="shared" si="36" ref="C125:L125">+(C120/C90)*100</f>
        <v>0</v>
      </c>
      <c r="D125" s="357">
        <f t="shared" si="36"/>
        <v>0</v>
      </c>
      <c r="E125" s="357">
        <f t="shared" si="36"/>
        <v>0</v>
      </c>
      <c r="F125" s="357">
        <f t="shared" si="36"/>
        <v>0</v>
      </c>
      <c r="G125" s="357">
        <f t="shared" si="36"/>
        <v>0</v>
      </c>
      <c r="H125" s="357">
        <f t="shared" si="36"/>
        <v>0</v>
      </c>
      <c r="I125" s="357">
        <f t="shared" si="36"/>
        <v>0</v>
      </c>
      <c r="J125" s="357">
        <f t="shared" si="36"/>
        <v>0</v>
      </c>
      <c r="K125" s="357">
        <f t="shared" si="36"/>
        <v>0</v>
      </c>
      <c r="L125" s="357">
        <f t="shared" si="36"/>
        <v>0</v>
      </c>
      <c r="M125" s="357">
        <f>+(M120/M90)*100</f>
        <v>0</v>
      </c>
      <c r="N125" s="357">
        <f>+(N120/N90)*100</f>
        <v>0</v>
      </c>
    </row>
    <row r="126" spans="1:14" ht="27" thickBot="1">
      <c r="A126" s="358" t="s">
        <v>309</v>
      </c>
      <c r="B126" s="359" t="str">
        <f>IF(B124&lt;0,"AHORRO NEGATIVO",IF(B125&gt;0.8,"ROJO",IF(B124&gt;0.4,"ROJO",IF(B124&lt;=0.4,"VERDE"))))</f>
        <v>VERDE</v>
      </c>
      <c r="C126" s="359" t="str">
        <f>IF(C124&lt;0,"AHORRO NEGATIVO",IF(C125&gt;0.8,"ROJO",IF(C124&gt;0.4,"ROJO",IF(C124&lt;=0.4,"VERDE"))))</f>
        <v>VERDE</v>
      </c>
      <c r="D126" s="359" t="str">
        <f aca="true" t="shared" si="37" ref="D126:L126">IF(D124&lt;0,"AHORRO NEGATIVO",IF(D125&gt;0.8,"ROJO",IF(D124&gt;0.4,"ROJO",IF(D124&lt;=0.4,"VERDE"))))</f>
        <v>VERDE</v>
      </c>
      <c r="E126" s="359" t="str">
        <f t="shared" si="37"/>
        <v>VERDE</v>
      </c>
      <c r="F126" s="359" t="str">
        <f t="shared" si="37"/>
        <v>VERDE</v>
      </c>
      <c r="G126" s="359" t="str">
        <f t="shared" si="37"/>
        <v>VERDE</v>
      </c>
      <c r="H126" s="359" t="str">
        <f t="shared" si="37"/>
        <v>VERDE</v>
      </c>
      <c r="I126" s="359" t="str">
        <f t="shared" si="37"/>
        <v>VERDE</v>
      </c>
      <c r="J126" s="359" t="str">
        <f t="shared" si="37"/>
        <v>VERDE</v>
      </c>
      <c r="K126" s="359" t="str">
        <f t="shared" si="37"/>
        <v>VERDE</v>
      </c>
      <c r="L126" s="359" t="str">
        <f t="shared" si="37"/>
        <v>VERDE</v>
      </c>
      <c r="M126" s="359" t="str">
        <f>IF(M124&lt;0,"AHORRO NEGATIVO",IF(M125&gt;0.8,"ROJO",IF(M124&gt;0.4,"ROJO",IF(M124&lt;=0.4,"VERDE"))))</f>
        <v>VERDE</v>
      </c>
      <c r="N126" s="359" t="str">
        <f>IF(N124&lt;0,"AHORRO NEGATIVO",IF(N125&gt;0.8,"ROJO",IF(N124&gt;0.4,"ROJO",IF(N124&lt;=0.4,"VERDE"))))</f>
        <v>VERDE</v>
      </c>
    </row>
    <row r="127" spans="1:14" ht="27" thickBot="1">
      <c r="A127" s="360" t="s">
        <v>307</v>
      </c>
      <c r="B127" s="361" t="str">
        <f aca="true" t="shared" si="38" ref="B127:L127">IF(AND(B124&gt;=0,B124&lt;=40%),"VERDE","ROJO")</f>
        <v>VERDE</v>
      </c>
      <c r="C127" s="361" t="str">
        <f t="shared" si="38"/>
        <v>VERDE</v>
      </c>
      <c r="D127" s="361" t="str">
        <f t="shared" si="38"/>
        <v>VERDE</v>
      </c>
      <c r="E127" s="361" t="str">
        <f t="shared" si="38"/>
        <v>VERDE</v>
      </c>
      <c r="F127" s="361" t="str">
        <f t="shared" si="38"/>
        <v>VERDE</v>
      </c>
      <c r="G127" s="361" t="str">
        <f t="shared" si="38"/>
        <v>VERDE</v>
      </c>
      <c r="H127" s="361" t="str">
        <f t="shared" si="38"/>
        <v>VERDE</v>
      </c>
      <c r="I127" s="361" t="str">
        <f t="shared" si="38"/>
        <v>VERDE</v>
      </c>
      <c r="J127" s="361" t="str">
        <f t="shared" si="38"/>
        <v>VERDE</v>
      </c>
      <c r="K127" s="361" t="str">
        <f t="shared" si="38"/>
        <v>VERDE</v>
      </c>
      <c r="L127" s="361" t="str">
        <f t="shared" si="38"/>
        <v>VERDE</v>
      </c>
      <c r="M127" s="361" t="str">
        <f>IF(AND(M124&gt;=0,M124&lt;=40%),"VERDE","ROJO")</f>
        <v>VERDE</v>
      </c>
      <c r="N127" s="361" t="str">
        <f>IF(AND(N124&gt;=0,N124&lt;=40%),"VERDE","ROJO")</f>
        <v>VERDE</v>
      </c>
    </row>
    <row r="128" spans="1:14" ht="27" thickBot="1">
      <c r="A128" s="338" t="s">
        <v>308</v>
      </c>
      <c r="B128" s="362" t="str">
        <f>IF(B125&lt;=80%,"VERDE","ROJO")</f>
        <v>VERDE</v>
      </c>
      <c r="C128" s="362" t="str">
        <f aca="true" t="shared" si="39" ref="C128:L128">IF(C125&lt;=80%,"VERDE","ROJO")</f>
        <v>VERDE</v>
      </c>
      <c r="D128" s="363" t="str">
        <f t="shared" si="39"/>
        <v>VERDE</v>
      </c>
      <c r="E128" s="362" t="str">
        <f t="shared" si="39"/>
        <v>VERDE</v>
      </c>
      <c r="F128" s="362" t="str">
        <f t="shared" si="39"/>
        <v>VERDE</v>
      </c>
      <c r="G128" s="363" t="str">
        <f t="shared" si="39"/>
        <v>VERDE</v>
      </c>
      <c r="H128" s="362" t="str">
        <f t="shared" si="39"/>
        <v>VERDE</v>
      </c>
      <c r="I128" s="362" t="str">
        <f t="shared" si="39"/>
        <v>VERDE</v>
      </c>
      <c r="J128" s="362" t="str">
        <f t="shared" si="39"/>
        <v>VERDE</v>
      </c>
      <c r="K128" s="363" t="str">
        <f t="shared" si="39"/>
        <v>VERDE</v>
      </c>
      <c r="L128" s="362" t="str">
        <f t="shared" si="39"/>
        <v>VERDE</v>
      </c>
      <c r="M128" s="362" t="str">
        <f>IF(M125&lt;=80%,"VERDE","ROJO")</f>
        <v>VERDE</v>
      </c>
      <c r="N128" s="362" t="str">
        <f>IF(N125&lt;=80%,"VERDE","ROJO")</f>
        <v>VERDE</v>
      </c>
    </row>
    <row r="129" spans="1:14" ht="27" thickBot="1">
      <c r="A129" s="338" t="s">
        <v>354</v>
      </c>
      <c r="B129" s="364">
        <f>+B73/(B59+B70)</f>
        <v>0.5820346170057189</v>
      </c>
      <c r="C129" s="364">
        <f aca="true" t="shared" si="40" ref="C129:L129">+C73/(C59+C70)</f>
        <v>0.6008776304052359</v>
      </c>
      <c r="D129" s="364">
        <f t="shared" si="40"/>
        <v>0.7685212238285799</v>
      </c>
      <c r="E129" s="364">
        <f t="shared" si="40"/>
        <v>0.6911290649260148</v>
      </c>
      <c r="F129" s="364">
        <f t="shared" si="40"/>
        <v>-2.8905203634646583</v>
      </c>
      <c r="G129" s="364">
        <f t="shared" si="40"/>
        <v>-2.9675842743521397</v>
      </c>
      <c r="H129" s="364">
        <f t="shared" si="40"/>
        <v>-3.0342957069066627</v>
      </c>
      <c r="I129" s="364">
        <f t="shared" si="40"/>
        <v>-3.1026094511397484</v>
      </c>
      <c r="J129" s="364">
        <f t="shared" si="40"/>
        <v>-3.214451215369644</v>
      </c>
      <c r="K129" s="364">
        <f t="shared" si="40"/>
        <v>-3.3405840052124525</v>
      </c>
      <c r="L129" s="364">
        <f t="shared" si="40"/>
        <v>-3.470540000782109</v>
      </c>
      <c r="M129" s="364">
        <f>+M73/(M59+M70)</f>
        <v>-3.604445027233569</v>
      </c>
      <c r="N129" s="364">
        <f>+N73/(N59+N70)</f>
        <v>-3.7424295689881486</v>
      </c>
    </row>
    <row r="130" spans="1:14" ht="27" thickBot="1">
      <c r="A130" s="365" t="s">
        <v>352</v>
      </c>
      <c r="B130" s="366" t="e">
        <f aca="true" t="shared" si="41" ref="B130:L130">+IF(AND(B140&lt;=85%,B126="VERDE",B74&gt;=100%),"OK","NECESITA AJUSTE")</f>
        <v>#DIV/0!</v>
      </c>
      <c r="C130" s="366" t="e">
        <f t="shared" si="41"/>
        <v>#DIV/0!</v>
      </c>
      <c r="D130" s="367" t="e">
        <f t="shared" si="41"/>
        <v>#DIV/0!</v>
      </c>
      <c r="E130" s="366" t="e">
        <f t="shared" si="41"/>
        <v>#DIV/0!</v>
      </c>
      <c r="F130" s="367" t="e">
        <f t="shared" si="41"/>
        <v>#DIV/0!</v>
      </c>
      <c r="G130" s="366" t="e">
        <f t="shared" si="41"/>
        <v>#DIV/0!</v>
      </c>
      <c r="H130" s="367" t="e">
        <f t="shared" si="41"/>
        <v>#DIV/0!</v>
      </c>
      <c r="I130" s="366" t="e">
        <f t="shared" si="41"/>
        <v>#DIV/0!</v>
      </c>
      <c r="J130" s="367" t="e">
        <f t="shared" si="41"/>
        <v>#DIV/0!</v>
      </c>
      <c r="K130" s="366" t="e">
        <f t="shared" si="41"/>
        <v>#DIV/0!</v>
      </c>
      <c r="L130" s="368" t="e">
        <f t="shared" si="41"/>
        <v>#DIV/0!</v>
      </c>
      <c r="M130" s="368" t="e">
        <f>+IF(AND(M140&lt;=85%,M126="VERDE",M74&gt;=100%),"OK","NECESITA AJUSTE")</f>
        <v>#DIV/0!</v>
      </c>
      <c r="N130" s="368" t="e">
        <f>+IF(AND(N140&lt;=85%,N126="VERDE",N74&gt;=100%),"OK","NECESITA AJUSTE")</f>
        <v>#DIV/0!</v>
      </c>
    </row>
    <row r="131" spans="1:14" ht="27" thickBot="1">
      <c r="A131" s="369" t="s">
        <v>353</v>
      </c>
      <c r="B131" s="370" t="e">
        <f aca="true" t="shared" si="42" ref="B131:L131">+IF(AND(B140&lt;=85%,B126="VERDE",B74&gt;=100%),"OK","NECESITA AJUSTE")</f>
        <v>#DIV/0!</v>
      </c>
      <c r="C131" s="370" t="e">
        <f t="shared" si="42"/>
        <v>#DIV/0!</v>
      </c>
      <c r="D131" s="370" t="e">
        <f t="shared" si="42"/>
        <v>#DIV/0!</v>
      </c>
      <c r="E131" s="370" t="e">
        <f t="shared" si="42"/>
        <v>#DIV/0!</v>
      </c>
      <c r="F131" s="370" t="e">
        <f t="shared" si="42"/>
        <v>#DIV/0!</v>
      </c>
      <c r="G131" s="370" t="e">
        <f t="shared" si="42"/>
        <v>#DIV/0!</v>
      </c>
      <c r="H131" s="370" t="e">
        <f t="shared" si="42"/>
        <v>#DIV/0!</v>
      </c>
      <c r="I131" s="370" t="e">
        <f t="shared" si="42"/>
        <v>#DIV/0!</v>
      </c>
      <c r="J131" s="370" t="e">
        <f t="shared" si="42"/>
        <v>#DIV/0!</v>
      </c>
      <c r="K131" s="370" t="e">
        <f t="shared" si="42"/>
        <v>#DIV/0!</v>
      </c>
      <c r="L131" s="370" t="e">
        <f t="shared" si="42"/>
        <v>#DIV/0!</v>
      </c>
      <c r="M131" s="370" t="e">
        <f>+IF(AND(M140&lt;=85%,M126="VERDE",M74&gt;=100%),"OK","NECESITA AJUSTE")</f>
        <v>#DIV/0!</v>
      </c>
      <c r="N131" s="370" t="e">
        <f>+IF(AND(N140&lt;=85%,N126="VERDE",N74&gt;=100%),"OK","NECESITA AJUSTE")</f>
        <v>#DIV/0!</v>
      </c>
    </row>
    <row r="132" spans="1:14" ht="26.25">
      <c r="A132" s="371"/>
      <c r="B132" s="372"/>
      <c r="C132" s="372"/>
      <c r="D132" s="372"/>
      <c r="E132" s="372"/>
      <c r="F132" s="372"/>
      <c r="G132" s="372"/>
      <c r="H132" s="372"/>
      <c r="I132" s="372"/>
      <c r="J132" s="372"/>
      <c r="K132" s="372"/>
      <c r="L132" s="372"/>
      <c r="M132" s="372"/>
      <c r="N132" s="372"/>
    </row>
    <row r="133" ht="26.25" thickBot="1"/>
    <row r="134" ht="27" thickBot="1">
      <c r="A134" s="334" t="s">
        <v>351</v>
      </c>
    </row>
    <row r="135" spans="1:14" ht="17.25" customHeight="1" thickBot="1">
      <c r="A135" s="373" t="s">
        <v>346</v>
      </c>
      <c r="B135" s="374" t="s">
        <v>335</v>
      </c>
      <c r="C135" s="374" t="s">
        <v>336</v>
      </c>
      <c r="D135" s="374" t="s">
        <v>337</v>
      </c>
      <c r="E135" s="374" t="s">
        <v>338</v>
      </c>
      <c r="F135" s="374" t="s">
        <v>339</v>
      </c>
      <c r="G135" s="374" t="s">
        <v>340</v>
      </c>
      <c r="H135" s="374" t="s">
        <v>341</v>
      </c>
      <c r="I135" s="374" t="s">
        <v>342</v>
      </c>
      <c r="J135" s="374" t="s">
        <v>343</v>
      </c>
      <c r="K135" s="374" t="s">
        <v>344</v>
      </c>
      <c r="L135" s="374" t="s">
        <v>345</v>
      </c>
      <c r="M135" s="374" t="s">
        <v>464</v>
      </c>
      <c r="N135" s="374" t="s">
        <v>465</v>
      </c>
    </row>
    <row r="136" spans="1:14" ht="26.25">
      <c r="A136" s="375" t="s">
        <v>330</v>
      </c>
      <c r="B136" s="376">
        <f>+'Aplica Ley 617'!C13</f>
        <v>2611848631.15</v>
      </c>
      <c r="C136" s="376">
        <f>+'Aplica Ley 617'!J13</f>
        <v>2799346428.493</v>
      </c>
      <c r="D136" s="377">
        <f>+'Aplica Ley 617'!K13</f>
        <v>3265370057.47</v>
      </c>
      <c r="E136" s="376">
        <f>+'Aplica Ley 617'!L13</f>
        <v>3348937257.3729</v>
      </c>
      <c r="F136" s="377">
        <f>+'Aplica Ley 617'!M13</f>
        <v>3571584811.694739</v>
      </c>
      <c r="G136" s="376">
        <f>+'Aplica Ley 617'!N13</f>
        <v>3791488648.6128626</v>
      </c>
      <c r="H136" s="377">
        <f>+'Aplica Ley 617'!O13</f>
        <v>4006300070.5331287</v>
      </c>
      <c r="I136" s="376">
        <f>+'Aplica Ley 617'!P13</f>
        <v>4233619840.858716</v>
      </c>
      <c r="J136" s="377">
        <f>+'Aplica Ley 617'!Q13</f>
        <v>4474187050.386646</v>
      </c>
      <c r="K136" s="376">
        <f>+'Aplica Ley 617'!R13</f>
        <v>4728784793.058544</v>
      </c>
      <c r="L136" s="376">
        <f>+'Aplica Ley 617'!S13</f>
        <v>4998242795.880218</v>
      </c>
      <c r="M136" s="376">
        <f>+'Aplica Ley 617'!T13</f>
        <v>5283440206.328336</v>
      </c>
      <c r="N136" s="376">
        <f>+'Aplica Ley 617'!U13</f>
        <v>5585308546.6842</v>
      </c>
    </row>
    <row r="137" spans="1:14" ht="26.25">
      <c r="A137" s="371" t="s">
        <v>331</v>
      </c>
      <c r="B137" s="378">
        <f>+'Aplica Ley 617'!C69+Gastos!G196</f>
        <v>1398661330.6599998</v>
      </c>
      <c r="C137" s="378">
        <f>+'Aplica Ley 617'!J69+'Proyección Gasto'!C196</f>
        <v>1502308189.2496498</v>
      </c>
      <c r="D137" s="379">
        <f>+'Aplica Ley 617'!K69+'Proyección Gasto'!D196</f>
        <v>1931603945.3799999</v>
      </c>
      <c r="E137" s="378">
        <f>+'Aplica Ley 617'!L69+'Proyección Gasto'!E196</f>
        <v>2043702457.412</v>
      </c>
      <c r="F137" s="379">
        <f>+'Aplica Ley 617'!M69+'Proyección Gasto'!F196</f>
        <v>2158034545.1263723</v>
      </c>
      <c r="G137" s="378">
        <f>+'Aplica Ley 617'!N69+'Proyección Gasto'!G196</f>
        <v>2268469048.145055</v>
      </c>
      <c r="H137" s="379">
        <f>+'Aplica Ley 617'!O69+'Proyección Gasto'!H196</f>
        <v>2374905276.371806</v>
      </c>
      <c r="I137" s="378">
        <f>+'Aplica Ley 617'!P69+'Proyección Gasto'!I196</f>
        <v>2486837520.8523035</v>
      </c>
      <c r="J137" s="379">
        <f>+'Aplica Ley 617'!Q69+'Proyección Gasto'!J196</f>
        <v>2604568837.8385763</v>
      </c>
      <c r="K137" s="378">
        <f>+'Aplica Ley 617'!R69+'Proyección Gasto'!K196</f>
        <v>2728419665.8160806</v>
      </c>
      <c r="L137" s="378">
        <f>+'Aplica Ley 617'!S69+'Proyección Gasto'!L196</f>
        <v>2858728844.40345</v>
      </c>
      <c r="M137" s="378">
        <f>+'Aplica Ley 617'!T69+'Proyección Gasto'!M196</f>
        <v>2995854693.6652136</v>
      </c>
      <c r="N137" s="378">
        <f>+'Aplica Ley 617'!U69+'Proyección Gasto'!N196</f>
        <v>3140176157.4406104</v>
      </c>
    </row>
    <row r="138" spans="1:14" ht="26.25">
      <c r="A138" s="319" t="s">
        <v>332</v>
      </c>
      <c r="B138" s="380">
        <f aca="true" t="shared" si="43" ref="B138:L138">+B137/B136</f>
        <v>0.5355062747430993</v>
      </c>
      <c r="C138" s="380">
        <f t="shared" si="43"/>
        <v>0.536663906245574</v>
      </c>
      <c r="D138" s="381">
        <f t="shared" si="43"/>
        <v>0.5915421258185364</v>
      </c>
      <c r="E138" s="380">
        <f t="shared" si="43"/>
        <v>0.6102540299650756</v>
      </c>
      <c r="F138" s="381">
        <f t="shared" si="43"/>
        <v>0.6042232395154497</v>
      </c>
      <c r="G138" s="380">
        <f t="shared" si="43"/>
        <v>0.5983056414991476</v>
      </c>
      <c r="H138" s="381">
        <f t="shared" si="43"/>
        <v>0.5927926602002559</v>
      </c>
      <c r="I138" s="380">
        <f t="shared" si="43"/>
        <v>0.587402179300986</v>
      </c>
      <c r="J138" s="381">
        <f t="shared" si="43"/>
        <v>0.5821323088433455</v>
      </c>
      <c r="K138" s="380">
        <f t="shared" si="43"/>
        <v>0.5769811453084458</v>
      </c>
      <c r="L138" s="380">
        <f t="shared" si="43"/>
        <v>0.5719467743263185</v>
      </c>
      <c r="M138" s="380">
        <f>+M137/M136</f>
        <v>0.567027273267307</v>
      </c>
      <c r="N138" s="380">
        <f>+N137/N136</f>
        <v>0.5622207137159543</v>
      </c>
    </row>
    <row r="139" spans="1:14" ht="26.25">
      <c r="A139" s="371" t="s">
        <v>333</v>
      </c>
      <c r="B139" s="378">
        <f>+'Aplica Ley 617'!C69</f>
        <v>1309425132.37</v>
      </c>
      <c r="C139" s="378">
        <f>+'Aplica Ley 617'!J69</f>
        <v>1408610181.0451498</v>
      </c>
      <c r="D139" s="379">
        <f>+'Aplica Ley 617'!K69</f>
        <v>1815076440.3799999</v>
      </c>
      <c r="E139" s="379">
        <f>+'Aplica Ley 617'!L69</f>
        <v>1922513852.212</v>
      </c>
      <c r="F139" s="379">
        <f>+'Aplica Ley 617'!M69</f>
        <v>2032604338.7443721</v>
      </c>
      <c r="G139" s="379">
        <f>+'Aplica Ley 617'!N69</f>
        <v>2139275935.5715947</v>
      </c>
      <c r="H139" s="379">
        <f>+'Aplica Ley 617'!O69</f>
        <v>2241836370.4211426</v>
      </c>
      <c r="I139" s="379">
        <f>+'Aplica Ley 617'!P69</f>
        <v>2349776547.7231197</v>
      </c>
      <c r="J139" s="379">
        <f>+'Aplica Ley 617'!Q69</f>
        <v>2463396035.515517</v>
      </c>
      <c r="K139" s="379">
        <f>+'Aplica Ley 617'!R69</f>
        <v>2583011679.4233294</v>
      </c>
      <c r="L139" s="379">
        <f>+'Aplica Ley 617'!S69</f>
        <v>2708958618.4189167</v>
      </c>
      <c r="M139" s="379">
        <f>+'Aplica Ley 617'!T69</f>
        <v>2841591360.901144</v>
      </c>
      <c r="N139" s="379">
        <f>+'Aplica Ley 617'!U69</f>
        <v>2981284924.693619</v>
      </c>
    </row>
    <row r="140" spans="1:14" ht="27" thickBot="1">
      <c r="A140" s="382" t="s">
        <v>334</v>
      </c>
      <c r="B140" s="383">
        <f aca="true" t="shared" si="44" ref="B140:L140">+B139/B136</f>
        <v>0.5013403597563992</v>
      </c>
      <c r="C140" s="383">
        <f t="shared" si="44"/>
        <v>0.5031925190493343</v>
      </c>
      <c r="D140" s="384">
        <f t="shared" si="44"/>
        <v>0.5558562761447983</v>
      </c>
      <c r="E140" s="383">
        <f t="shared" si="44"/>
        <v>0.5740668470212341</v>
      </c>
      <c r="F140" s="384">
        <f t="shared" si="44"/>
        <v>0.5691043180855865</v>
      </c>
      <c r="G140" s="383">
        <f t="shared" si="44"/>
        <v>0.5642311328966423</v>
      </c>
      <c r="H140" s="384">
        <f t="shared" si="44"/>
        <v>0.5595777477853314</v>
      </c>
      <c r="I140" s="383">
        <f t="shared" si="44"/>
        <v>0.5550277625415012</v>
      </c>
      <c r="J140" s="384">
        <f t="shared" si="44"/>
        <v>0.5505795818935727</v>
      </c>
      <c r="K140" s="383">
        <f t="shared" si="44"/>
        <v>0.5462315991235152</v>
      </c>
      <c r="L140" s="383">
        <f t="shared" si="44"/>
        <v>0.5419821983541426</v>
      </c>
      <c r="M140" s="383">
        <f>+M139/M136</f>
        <v>0.5378297567364493</v>
      </c>
      <c r="N140" s="383">
        <f>+N139/N136</f>
        <v>0.5337726465377641</v>
      </c>
    </row>
  </sheetData>
  <sheetProtection/>
  <mergeCells count="5">
    <mergeCell ref="A8:L8"/>
    <mergeCell ref="A1:L1"/>
    <mergeCell ref="A3:L3"/>
    <mergeCell ref="A5:L5"/>
    <mergeCell ref="A7:L7"/>
  </mergeCells>
  <printOptions/>
  <pageMargins left="1.62" right="0.75" top="0.68" bottom="0.77" header="0" footer="0"/>
  <pageSetup fitToHeight="0" fitToWidth="1" horizontalDpi="300" verticalDpi="300" orientation="landscape" scale="2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7"/>
  <sheetViews>
    <sheetView zoomScale="90" zoomScaleNormal="90" zoomScalePageLayoutView="0" workbookViewId="0" topLeftCell="A40">
      <selection activeCell="K72" sqref="K72"/>
    </sheetView>
  </sheetViews>
  <sheetFormatPr defaultColWidth="11.421875" defaultRowHeight="12.75"/>
  <cols>
    <col min="1" max="1" width="49.421875" style="45" customWidth="1"/>
    <col min="2" max="2" width="15.421875" style="45" customWidth="1"/>
    <col min="3" max="3" width="15.57421875" style="45" customWidth="1"/>
    <col min="4" max="4" width="14.00390625" style="45" customWidth="1"/>
    <col min="5" max="5" width="13.8515625" style="45" customWidth="1"/>
    <col min="6" max="6" width="14.00390625" style="45" customWidth="1"/>
    <col min="7" max="7" width="15.140625" style="45" customWidth="1"/>
    <col min="8" max="8" width="15.8515625" style="45" customWidth="1"/>
    <col min="9" max="9" width="5.28125" style="45" customWidth="1"/>
    <col min="10" max="12" width="15.7109375" style="45" bestFit="1" customWidth="1"/>
    <col min="13" max="19" width="17.28125" style="45" bestFit="1" customWidth="1"/>
    <col min="20" max="21" width="17.28125" style="45" customWidth="1"/>
    <col min="22" max="16384" width="11.421875" style="45" customWidth="1"/>
  </cols>
  <sheetData>
    <row r="1" spans="1:8" ht="20.25">
      <c r="A1" s="387"/>
      <c r="B1" s="387"/>
      <c r="C1" s="387"/>
      <c r="D1" s="387"/>
      <c r="E1" s="387"/>
      <c r="F1" s="387"/>
      <c r="G1" s="387"/>
      <c r="H1" s="387"/>
    </row>
    <row r="2" ht="12.75"/>
    <row r="3" spans="1:8" ht="18">
      <c r="A3" s="391" t="s">
        <v>325</v>
      </c>
      <c r="B3" s="391"/>
      <c r="C3" s="391"/>
      <c r="D3" s="391"/>
      <c r="E3" s="391"/>
      <c r="F3" s="391"/>
      <c r="G3" s="391"/>
      <c r="H3" s="391"/>
    </row>
    <row r="4" spans="1:8" ht="12.75">
      <c r="A4" s="231"/>
      <c r="B4" s="231"/>
      <c r="C4" s="231"/>
      <c r="D4" s="231"/>
      <c r="E4" s="231"/>
      <c r="F4" s="231"/>
      <c r="G4" s="231"/>
      <c r="H4" s="231"/>
    </row>
    <row r="5" spans="1:8" ht="18">
      <c r="A5" s="393" t="s">
        <v>356</v>
      </c>
      <c r="B5" s="393"/>
      <c r="C5" s="393"/>
      <c r="D5" s="393"/>
      <c r="E5" s="393"/>
      <c r="F5" s="393"/>
      <c r="G5" s="393"/>
      <c r="H5" s="393"/>
    </row>
    <row r="6" spans="1:8" ht="12.75">
      <c r="A6" s="231"/>
      <c r="B6" s="231"/>
      <c r="C6" s="231"/>
      <c r="D6" s="231"/>
      <c r="E6" s="231"/>
      <c r="F6" s="231"/>
      <c r="G6" s="231"/>
      <c r="H6" s="231"/>
    </row>
    <row r="7" spans="1:8" ht="18">
      <c r="A7" s="392" t="s">
        <v>326</v>
      </c>
      <c r="B7" s="392"/>
      <c r="C7" s="392"/>
      <c r="D7" s="392"/>
      <c r="E7" s="392"/>
      <c r="F7" s="392"/>
      <c r="G7" s="392"/>
      <c r="H7" s="392"/>
    </row>
    <row r="8" spans="1:8" ht="18">
      <c r="A8" s="392" t="s">
        <v>470</v>
      </c>
      <c r="B8" s="392"/>
      <c r="C8" s="392"/>
      <c r="D8" s="392"/>
      <c r="E8" s="392"/>
      <c r="F8" s="392"/>
      <c r="G8" s="392"/>
      <c r="H8" s="392"/>
    </row>
    <row r="9" ht="12.75"/>
    <row r="10" ht="13.5" thickBot="1">
      <c r="B10" s="233"/>
    </row>
    <row r="11" spans="2:8" ht="13.5" thickBot="1">
      <c r="B11" s="403" t="s">
        <v>311</v>
      </c>
      <c r="C11" s="404"/>
      <c r="D11" s="400" t="s">
        <v>313</v>
      </c>
      <c r="E11" s="398"/>
      <c r="F11" s="399"/>
      <c r="G11" s="400" t="s">
        <v>314</v>
      </c>
      <c r="H11" s="399"/>
    </row>
    <row r="12" spans="1:21" ht="48.75" thickBot="1">
      <c r="A12" s="4" t="s">
        <v>4</v>
      </c>
      <c r="B12" s="234" t="s">
        <v>310</v>
      </c>
      <c r="C12" s="48" t="s">
        <v>355</v>
      </c>
      <c r="D12" s="16" t="s">
        <v>312</v>
      </c>
      <c r="E12" s="50" t="s">
        <v>310</v>
      </c>
      <c r="F12" s="48" t="s">
        <v>355</v>
      </c>
      <c r="G12" s="50" t="s">
        <v>310</v>
      </c>
      <c r="H12" s="48" t="s">
        <v>355</v>
      </c>
      <c r="J12" s="16" t="s">
        <v>238</v>
      </c>
      <c r="K12" s="16" t="s">
        <v>11</v>
      </c>
      <c r="L12" s="16" t="s">
        <v>12</v>
      </c>
      <c r="M12" s="16" t="s">
        <v>13</v>
      </c>
      <c r="N12" s="16" t="s">
        <v>14</v>
      </c>
      <c r="O12" s="16" t="s">
        <v>15</v>
      </c>
      <c r="P12" s="16" t="s">
        <v>16</v>
      </c>
      <c r="Q12" s="16" t="s">
        <v>17</v>
      </c>
      <c r="R12" s="16" t="s">
        <v>202</v>
      </c>
      <c r="S12" s="16" t="s">
        <v>19</v>
      </c>
      <c r="T12" s="16" t="s">
        <v>466</v>
      </c>
      <c r="U12" s="16" t="s">
        <v>467</v>
      </c>
    </row>
    <row r="13" spans="1:21" ht="13.5" thickBot="1">
      <c r="A13" s="11" t="s">
        <v>29</v>
      </c>
      <c r="B13" s="53">
        <f>+B14+B30</f>
        <v>2774587721.5099998</v>
      </c>
      <c r="C13" s="53">
        <f>+C14+C30</f>
        <v>2611848631.15</v>
      </c>
      <c r="D13" s="256"/>
      <c r="E13" s="53">
        <f>+E14+E30</f>
        <v>0</v>
      </c>
      <c r="F13" s="206">
        <f>+F14+F30</f>
        <v>0</v>
      </c>
      <c r="G13" s="53">
        <f>+G14+G30</f>
        <v>2774587721.5099998</v>
      </c>
      <c r="H13" s="65">
        <f>+H14+H30</f>
        <v>2611848631.15</v>
      </c>
      <c r="I13" s="231"/>
      <c r="J13" s="53">
        <f aca="true" t="shared" si="0" ref="J13:S13">+J14+J30</f>
        <v>2799346428.493</v>
      </c>
      <c r="K13" s="53">
        <f t="shared" si="0"/>
        <v>3265370057.47</v>
      </c>
      <c r="L13" s="53">
        <f t="shared" si="0"/>
        <v>3348937257.3729</v>
      </c>
      <c r="M13" s="53">
        <f t="shared" si="0"/>
        <v>3571584811.694739</v>
      </c>
      <c r="N13" s="53">
        <f t="shared" si="0"/>
        <v>3791488648.6128626</v>
      </c>
      <c r="O13" s="206">
        <f t="shared" si="0"/>
        <v>4006300070.5331287</v>
      </c>
      <c r="P13" s="53">
        <f t="shared" si="0"/>
        <v>4233619840.858716</v>
      </c>
      <c r="Q13" s="206">
        <f t="shared" si="0"/>
        <v>4474187050.386646</v>
      </c>
      <c r="R13" s="53">
        <f t="shared" si="0"/>
        <v>4728784793.058544</v>
      </c>
      <c r="S13" s="53">
        <f t="shared" si="0"/>
        <v>4998242795.880218</v>
      </c>
      <c r="T13" s="53">
        <f>+T14+T30</f>
        <v>5283440206.328336</v>
      </c>
      <c r="U13" s="53">
        <f>+U14+U30</f>
        <v>5585308546.6842</v>
      </c>
    </row>
    <row r="14" spans="1:21" ht="12.75">
      <c r="A14" s="122" t="s">
        <v>30</v>
      </c>
      <c r="B14" s="235">
        <f>SUM(B15:B29)</f>
        <v>321075000</v>
      </c>
      <c r="C14" s="137">
        <f>SUM(C15:C29)</f>
        <v>354545107</v>
      </c>
      <c r="D14" s="223"/>
      <c r="E14" s="137">
        <f>SUM(E15:E29)</f>
        <v>0</v>
      </c>
      <c r="F14" s="235">
        <f>SUM(F15:F29)</f>
        <v>0</v>
      </c>
      <c r="G14" s="137">
        <f>SUM(G15:G29)</f>
        <v>321075000</v>
      </c>
      <c r="H14" s="139">
        <f>SUM(H15:H29)</f>
        <v>354545107</v>
      </c>
      <c r="I14" s="231"/>
      <c r="J14" s="137">
        <f aca="true" t="shared" si="1" ref="J14:S14">SUM(J15:J29)</f>
        <v>374045087.885</v>
      </c>
      <c r="K14" s="137">
        <f t="shared" si="1"/>
        <v>357996152.64</v>
      </c>
      <c r="L14" s="137">
        <f t="shared" si="1"/>
        <v>374105979.5088</v>
      </c>
      <c r="M14" s="137">
        <f t="shared" si="1"/>
        <v>389070218.6891519</v>
      </c>
      <c r="N14" s="137">
        <f t="shared" si="1"/>
        <v>402687676.34327227</v>
      </c>
      <c r="O14" s="138">
        <f t="shared" si="1"/>
        <v>414768306.63357043</v>
      </c>
      <c r="P14" s="137">
        <f t="shared" si="1"/>
        <v>427211355.83257747</v>
      </c>
      <c r="Q14" s="138">
        <f t="shared" si="1"/>
        <v>440027696.5075549</v>
      </c>
      <c r="R14" s="137">
        <f t="shared" si="1"/>
        <v>453228527.4027815</v>
      </c>
      <c r="S14" s="137">
        <f t="shared" si="1"/>
        <v>466825383.224865</v>
      </c>
      <c r="T14" s="137">
        <f>SUM(T15:T29)</f>
        <v>480830144.72161096</v>
      </c>
      <c r="U14" s="137">
        <f>SUM(U15:U29)</f>
        <v>495255049.0632593</v>
      </c>
    </row>
    <row r="15" spans="1:21" ht="12.75">
      <c r="A15" s="2" t="s">
        <v>229</v>
      </c>
      <c r="B15" s="236">
        <f>+G15-E15</f>
        <v>120000000</v>
      </c>
      <c r="C15" s="156">
        <f>+H15-F15</f>
        <v>147118712</v>
      </c>
      <c r="D15" s="222"/>
      <c r="E15" s="156">
        <f>+$D15*G15</f>
        <v>0</v>
      </c>
      <c r="F15" s="236">
        <f>+$D15*H15</f>
        <v>0</v>
      </c>
      <c r="G15" s="156">
        <f>Ingresos!E15</f>
        <v>120000000</v>
      </c>
      <c r="H15" s="237">
        <f>+Ingresos!G15</f>
        <v>147118712</v>
      </c>
      <c r="J15" s="238">
        <f>+'Proyección Ingreso'!C15-('Proyección Ingreso'!C15*'Aplica Ley 617'!$D15)</f>
        <v>155210241.16</v>
      </c>
      <c r="K15" s="238">
        <f>+'Proyección Ingreso'!D15-('Proyección Ingreso'!D15*'Aplica Ley 617'!$D15)</f>
        <v>186137497</v>
      </c>
      <c r="L15" s="238">
        <f>+'Proyección Ingreso'!E15-('Proyección Ingreso'!E15*'Aplica Ley 617'!$D15)</f>
        <v>194513684.36499998</v>
      </c>
      <c r="M15" s="238">
        <f>+'Proyección Ingreso'!F15-('Proyección Ingreso'!F15*'Aplica Ley 617'!$D15)</f>
        <v>202294231.73959997</v>
      </c>
      <c r="N15" s="238">
        <f>+'Proyección Ingreso'!G15-('Proyección Ingreso'!G15*'Aplica Ley 617'!$D15)</f>
        <v>209374529.85048595</v>
      </c>
      <c r="O15" s="238">
        <f>+'Proyección Ingreso'!H15-('Proyección Ingreso'!H15*'Aplica Ley 617'!$D15)</f>
        <v>215655765.74600053</v>
      </c>
      <c r="P15" s="238">
        <f>+'Proyección Ingreso'!I15-('Proyección Ingreso'!I15*'Aplica Ley 617'!$D15)</f>
        <v>222125438.71838054</v>
      </c>
      <c r="Q15" s="238">
        <f>+'Proyección Ingreso'!J15-('Proyección Ingreso'!J15*'Aplica Ley 617'!$D15)</f>
        <v>228789201.87993196</v>
      </c>
      <c r="R15" s="238">
        <f>+'Proyección Ingreso'!K15-('Proyección Ingreso'!K15*'Aplica Ley 617'!$D15)</f>
        <v>235652877.93632993</v>
      </c>
      <c r="S15" s="238">
        <f>+'Proyección Ingreso'!L15-('Proyección Ingreso'!L15*'Aplica Ley 617'!$D15)</f>
        <v>242722464.27441984</v>
      </c>
      <c r="T15" s="238">
        <f>+'Proyección Ingreso'!M15-('Proyección Ingreso'!M15*'Aplica Ley 617'!$D15)</f>
        <v>250004138.20265245</v>
      </c>
      <c r="U15" s="238">
        <f>+'Proyección Ingreso'!N15-('Proyección Ingreso'!N15*'Aplica Ley 617'!$D15)</f>
        <v>257504262.34873202</v>
      </c>
    </row>
    <row r="16" spans="1:21" ht="12.75">
      <c r="A16" s="2" t="s">
        <v>198</v>
      </c>
      <c r="B16" s="236">
        <f aca="true" t="shared" si="2" ref="B16:C29">+G16-E16</f>
        <v>0</v>
      </c>
      <c r="C16" s="156">
        <f t="shared" si="2"/>
        <v>0</v>
      </c>
      <c r="D16" s="222"/>
      <c r="E16" s="156">
        <f aca="true" t="shared" si="3" ref="E16:F34">+$D16*G16</f>
        <v>0</v>
      </c>
      <c r="F16" s="236">
        <f t="shared" si="3"/>
        <v>0</v>
      </c>
      <c r="G16" s="156">
        <f>Ingresos!E16</f>
        <v>0</v>
      </c>
      <c r="H16" s="237">
        <f>+Ingresos!G16</f>
        <v>0</v>
      </c>
      <c r="J16" s="238">
        <f>+'Proyección Ingreso'!C16-('Proyección Ingreso'!C16*'Aplica Ley 617'!$D16)</f>
        <v>0</v>
      </c>
      <c r="K16" s="238">
        <f>+'Proyección Ingreso'!D16-('Proyección Ingreso'!D16*'Aplica Ley 617'!$D16)</f>
        <v>0</v>
      </c>
      <c r="L16" s="238">
        <f>+'Proyección Ingreso'!E16-('Proyección Ingreso'!E16*'Aplica Ley 617'!$D16)</f>
        <v>0</v>
      </c>
      <c r="M16" s="238">
        <f>+'Proyección Ingreso'!F16-('Proyección Ingreso'!F16*'Aplica Ley 617'!$D16)</f>
        <v>0</v>
      </c>
      <c r="N16" s="238">
        <f>+'Proyección Ingreso'!G16-('Proyección Ingreso'!G16*'Aplica Ley 617'!$D16)</f>
        <v>0</v>
      </c>
      <c r="O16" s="238">
        <f>+'Proyección Ingreso'!H16-('Proyección Ingreso'!H16*'Aplica Ley 617'!$D16)</f>
        <v>0</v>
      </c>
      <c r="P16" s="238">
        <f>+'Proyección Ingreso'!I16-('Proyección Ingreso'!I16*'Aplica Ley 617'!$D16)</f>
        <v>0</v>
      </c>
      <c r="Q16" s="238">
        <f>+'Proyección Ingreso'!J16-('Proyección Ingreso'!J16*'Aplica Ley 617'!$D16)</f>
        <v>0</v>
      </c>
      <c r="R16" s="238">
        <f>+'Proyección Ingreso'!K16-('Proyección Ingreso'!K16*'Aplica Ley 617'!$D16)</f>
        <v>0</v>
      </c>
      <c r="S16" s="238">
        <f>+'Proyección Ingreso'!L16-('Proyección Ingreso'!L16*'Aplica Ley 617'!$D16)</f>
        <v>0</v>
      </c>
      <c r="T16" s="238">
        <f>+'Proyección Ingreso'!M16-('Proyección Ingreso'!M16*'Aplica Ley 617'!$D16)</f>
        <v>0</v>
      </c>
      <c r="U16" s="238">
        <f>+'Proyección Ingreso'!N16-('Proyección Ingreso'!N16*'Aplica Ley 617'!$D16)</f>
        <v>0</v>
      </c>
    </row>
    <row r="17" spans="1:21" ht="12.75">
      <c r="A17" s="2" t="s">
        <v>31</v>
      </c>
      <c r="B17" s="236">
        <f t="shared" si="2"/>
        <v>5500000</v>
      </c>
      <c r="C17" s="156">
        <f t="shared" si="2"/>
        <v>5204700</v>
      </c>
      <c r="D17" s="222"/>
      <c r="E17" s="156">
        <f t="shared" si="3"/>
        <v>0</v>
      </c>
      <c r="F17" s="236">
        <f t="shared" si="3"/>
        <v>0</v>
      </c>
      <c r="G17" s="156">
        <f>Ingresos!E17</f>
        <v>5500000</v>
      </c>
      <c r="H17" s="237">
        <f>+Ingresos!G17</f>
        <v>5204700</v>
      </c>
      <c r="J17" s="238">
        <f>+'Proyección Ingreso'!C17-('Proyección Ingreso'!C17*'Aplica Ley 617'!$D17)</f>
        <v>5490958.5</v>
      </c>
      <c r="K17" s="238">
        <f>+'Proyección Ingreso'!D17-('Proyección Ingreso'!D17*'Aplica Ley 617'!$D17)</f>
        <v>5391660</v>
      </c>
      <c r="L17" s="238">
        <f>+'Proyección Ingreso'!E17-('Proyección Ingreso'!E17*'Aplica Ley 617'!$D17)</f>
        <v>5634284.699999999</v>
      </c>
      <c r="M17" s="238">
        <f>+'Proyección Ingreso'!F17-('Proyección Ingreso'!F17*'Aplica Ley 617'!$D17)</f>
        <v>5859656.0879999995</v>
      </c>
      <c r="N17" s="238">
        <f>+'Proyección Ingreso'!G17-('Proyección Ingreso'!G17*'Aplica Ley 617'!$D17)</f>
        <v>6064744.051079999</v>
      </c>
      <c r="O17" s="238">
        <f>+'Proyección Ingreso'!H17-('Proyección Ingreso'!H17*'Aplica Ley 617'!$D17)</f>
        <v>6246686.372612399</v>
      </c>
      <c r="P17" s="238">
        <f>+'Proyección Ingreso'!I17-('Proyección Ingreso'!I17*'Aplica Ley 617'!$D17)</f>
        <v>6434086.963790772</v>
      </c>
      <c r="Q17" s="238">
        <f>+'Proyección Ingreso'!J17-('Proyección Ingreso'!J17*'Aplica Ley 617'!$D17)</f>
        <v>6627109.572704495</v>
      </c>
      <c r="R17" s="238">
        <f>+'Proyección Ingreso'!K17-('Proyección Ingreso'!K17*'Aplica Ley 617'!$D17)</f>
        <v>6825922.85988563</v>
      </c>
      <c r="S17" s="238">
        <f>+'Proyección Ingreso'!L17-('Proyección Ingreso'!L17*'Aplica Ley 617'!$D17)</f>
        <v>7030700.545682199</v>
      </c>
      <c r="T17" s="238">
        <f>+'Proyección Ingreso'!M17-('Proyección Ingreso'!M17*'Aplica Ley 617'!$D17)</f>
        <v>7241621.562052665</v>
      </c>
      <c r="U17" s="238">
        <f>+'Proyección Ingreso'!N17-('Proyección Ingreso'!N17*'Aplica Ley 617'!$D17)</f>
        <v>7458870.2089142455</v>
      </c>
    </row>
    <row r="18" spans="1:21" ht="12.75">
      <c r="A18" s="2" t="s">
        <v>32</v>
      </c>
      <c r="B18" s="236">
        <f t="shared" si="2"/>
        <v>4000000</v>
      </c>
      <c r="C18" s="156">
        <f t="shared" si="2"/>
        <v>2982210</v>
      </c>
      <c r="D18" s="222"/>
      <c r="E18" s="156">
        <f t="shared" si="3"/>
        <v>0</v>
      </c>
      <c r="F18" s="236">
        <f t="shared" si="3"/>
        <v>0</v>
      </c>
      <c r="G18" s="156">
        <f>Ingresos!E18</f>
        <v>4000000</v>
      </c>
      <c r="H18" s="237">
        <f>+Ingresos!G18</f>
        <v>2982210</v>
      </c>
      <c r="J18" s="238">
        <f>+'Proyección Ingreso'!C18-('Proyección Ingreso'!C18*'Aplica Ley 617'!$D18)</f>
        <v>3146231.55</v>
      </c>
      <c r="K18" s="238">
        <f>+'Proyección Ingreso'!D18-('Proyección Ingreso'!D18*'Aplica Ley 617'!$D18)</f>
        <v>3448188</v>
      </c>
      <c r="L18" s="238">
        <f>+'Proyección Ingreso'!E18-('Proyección Ingreso'!E18*'Aplica Ley 617'!$D18)</f>
        <v>3603356.46</v>
      </c>
      <c r="M18" s="238">
        <f>+'Proyección Ingreso'!F18-('Proyección Ingreso'!F18*'Aplica Ley 617'!$D18)</f>
        <v>3747490.7184</v>
      </c>
      <c r="N18" s="238">
        <f>+'Proyección Ingreso'!G18-('Proyección Ingreso'!G18*'Aplica Ley 617'!$D18)</f>
        <v>3878652.8935439996</v>
      </c>
      <c r="O18" s="238">
        <f>+'Proyección Ingreso'!H18-('Proyección Ingreso'!H18*'Aplica Ley 617'!$D18)</f>
        <v>3995012.4803503198</v>
      </c>
      <c r="P18" s="238">
        <f>+'Proyección Ingreso'!I18-('Proyección Ingreso'!I18*'Aplica Ley 617'!$D18)</f>
        <v>4114862.8547608294</v>
      </c>
      <c r="Q18" s="238">
        <f>+'Proyección Ingreso'!J18-('Proyección Ingreso'!J18*'Aplica Ley 617'!$D18)</f>
        <v>4238308.740403654</v>
      </c>
      <c r="R18" s="238">
        <f>+'Proyección Ingreso'!K18-('Proyección Ingreso'!K18*'Aplica Ley 617'!$D18)</f>
        <v>4365458.002615764</v>
      </c>
      <c r="S18" s="238">
        <f>+'Proyección Ingreso'!L18-('Proyección Ingreso'!L18*'Aplica Ley 617'!$D18)</f>
        <v>4496421.742694237</v>
      </c>
      <c r="T18" s="238">
        <f>+'Proyección Ingreso'!M18-('Proyección Ingreso'!M18*'Aplica Ley 617'!$D18)</f>
        <v>4631314.394975064</v>
      </c>
      <c r="U18" s="238">
        <f>+'Proyección Ingreso'!N18-('Proyección Ingreso'!N18*'Aplica Ley 617'!$D18)</f>
        <v>4770253.826824317</v>
      </c>
    </row>
    <row r="19" spans="1:21" ht="12.75">
      <c r="A19" s="2" t="s">
        <v>33</v>
      </c>
      <c r="B19" s="236">
        <f t="shared" si="2"/>
        <v>85000000</v>
      </c>
      <c r="C19" s="156">
        <f t="shared" si="2"/>
        <v>110339000</v>
      </c>
      <c r="D19" s="222"/>
      <c r="E19" s="156">
        <f t="shared" si="3"/>
        <v>0</v>
      </c>
      <c r="F19" s="236">
        <f t="shared" si="3"/>
        <v>0</v>
      </c>
      <c r="G19" s="156">
        <f>Ingresos!E19</f>
        <v>85000000</v>
      </c>
      <c r="H19" s="237">
        <f>+Ingresos!G19</f>
        <v>110339000</v>
      </c>
      <c r="J19" s="238">
        <f>+'Proyección Ingreso'!C19-('Proyección Ingreso'!C19*'Aplica Ley 617'!$D19)</f>
        <v>116407645</v>
      </c>
      <c r="K19" s="238">
        <f>+'Proyección Ingreso'!D19-('Proyección Ingreso'!D19*'Aplica Ley 617'!$D19)</f>
        <v>112411000</v>
      </c>
      <c r="L19" s="238">
        <f>+'Proyección Ingreso'!E19-('Proyección Ingreso'!E19*'Aplica Ley 617'!$D19)</f>
        <v>117469494.99999999</v>
      </c>
      <c r="M19" s="238">
        <f>+'Proyección Ingreso'!F19-('Proyección Ingreso'!F19*'Aplica Ley 617'!$D19)</f>
        <v>122168274.79999998</v>
      </c>
      <c r="N19" s="238">
        <f>+'Proyección Ingreso'!G19-('Proyección Ingreso'!G19*'Aplica Ley 617'!$D19)</f>
        <v>126444164.41799997</v>
      </c>
      <c r="O19" s="238">
        <f>+'Proyección Ingreso'!H19-('Proyección Ingreso'!H19*'Aplica Ley 617'!$D19)</f>
        <v>130237489.35053997</v>
      </c>
      <c r="P19" s="238">
        <f>+'Proyección Ingreso'!I19-('Proyección Ingreso'!I19*'Aplica Ley 617'!$D19)</f>
        <v>134144614.03105617</v>
      </c>
      <c r="Q19" s="238">
        <f>+'Proyección Ingreso'!J19-('Proyección Ingreso'!J19*'Aplica Ley 617'!$D19)</f>
        <v>138168952.45198786</v>
      </c>
      <c r="R19" s="238">
        <f>+'Proyección Ingreso'!K19-('Proyección Ingreso'!K19*'Aplica Ley 617'!$D19)</f>
        <v>142314021.0255475</v>
      </c>
      <c r="S19" s="238">
        <f>+'Proyección Ingreso'!L19-('Proyección Ingreso'!L19*'Aplica Ley 617'!$D19)</f>
        <v>146583441.65631393</v>
      </c>
      <c r="T19" s="238">
        <f>+'Proyección Ingreso'!M19-('Proyección Ingreso'!M19*'Aplica Ley 617'!$D19)</f>
        <v>150980944.90600336</v>
      </c>
      <c r="U19" s="238">
        <f>+'Proyección Ingreso'!N19-('Proyección Ingreso'!N19*'Aplica Ley 617'!$D19)</f>
        <v>155510373.25318345</v>
      </c>
    </row>
    <row r="20" spans="1:21" ht="12.75">
      <c r="A20" s="2" t="s">
        <v>34</v>
      </c>
      <c r="B20" s="236">
        <f t="shared" si="2"/>
        <v>75000</v>
      </c>
      <c r="C20" s="156">
        <f t="shared" si="2"/>
        <v>0</v>
      </c>
      <c r="D20" s="222"/>
      <c r="E20" s="156">
        <f t="shared" si="3"/>
        <v>0</v>
      </c>
      <c r="F20" s="236">
        <f t="shared" si="3"/>
        <v>0</v>
      </c>
      <c r="G20" s="156">
        <f>Ingresos!E20</f>
        <v>75000</v>
      </c>
      <c r="H20" s="237">
        <f>+Ingresos!G20</f>
        <v>0</v>
      </c>
      <c r="J20" s="238">
        <f>+'Proyección Ingreso'!C20-('Proyección Ingreso'!C20*'Aplica Ley 617'!$D20)</f>
        <v>0</v>
      </c>
      <c r="K20" s="238">
        <f>+'Proyección Ingreso'!D20-('Proyección Ingreso'!D20*'Aplica Ley 617'!$D20)</f>
        <v>0</v>
      </c>
      <c r="L20" s="238">
        <f>+'Proyección Ingreso'!E20-('Proyección Ingreso'!E20*'Aplica Ley 617'!$D20)</f>
        <v>0</v>
      </c>
      <c r="M20" s="238">
        <f>+'Proyección Ingreso'!F20-('Proyección Ingreso'!F20*'Aplica Ley 617'!$D20)</f>
        <v>0</v>
      </c>
      <c r="N20" s="238">
        <f>+'Proyección Ingreso'!G20-('Proyección Ingreso'!G20*'Aplica Ley 617'!$D20)</f>
        <v>0</v>
      </c>
      <c r="O20" s="238">
        <f>+'Proyección Ingreso'!H20-('Proyección Ingreso'!H20*'Aplica Ley 617'!$D20)</f>
        <v>0</v>
      </c>
      <c r="P20" s="238">
        <f>+'Proyección Ingreso'!I20-('Proyección Ingreso'!I20*'Aplica Ley 617'!$D20)</f>
        <v>0</v>
      </c>
      <c r="Q20" s="238">
        <f>+'Proyección Ingreso'!J20-('Proyección Ingreso'!J20*'Aplica Ley 617'!$D20)</f>
        <v>0</v>
      </c>
      <c r="R20" s="238">
        <f>+'Proyección Ingreso'!K20-('Proyección Ingreso'!K20*'Aplica Ley 617'!$D20)</f>
        <v>0</v>
      </c>
      <c r="S20" s="238">
        <f>+'Proyección Ingreso'!L20-('Proyección Ingreso'!L20*'Aplica Ley 617'!$D20)</f>
        <v>0</v>
      </c>
      <c r="T20" s="238">
        <f>+'Proyección Ingreso'!M20-('Proyección Ingreso'!M20*'Aplica Ley 617'!$D20)</f>
        <v>0</v>
      </c>
      <c r="U20" s="238">
        <f>+'Proyección Ingreso'!N20-('Proyección Ingreso'!N20*'Aplica Ley 617'!$D20)</f>
        <v>0</v>
      </c>
    </row>
    <row r="21" spans="1:21" ht="12.75">
      <c r="A21" s="2" t="s">
        <v>35</v>
      </c>
      <c r="B21" s="236">
        <f t="shared" si="2"/>
        <v>50000</v>
      </c>
      <c r="C21" s="156">
        <f t="shared" si="2"/>
        <v>0</v>
      </c>
      <c r="D21" s="222"/>
      <c r="E21" s="156">
        <f t="shared" si="3"/>
        <v>0</v>
      </c>
      <c r="F21" s="236">
        <f t="shared" si="3"/>
        <v>0</v>
      </c>
      <c r="G21" s="156">
        <f>Ingresos!E21</f>
        <v>50000</v>
      </c>
      <c r="H21" s="237">
        <f>+Ingresos!G21</f>
        <v>0</v>
      </c>
      <c r="J21" s="238">
        <f>+'Proyección Ingreso'!C21-('Proyección Ingreso'!C21*'Aplica Ley 617'!$D21)</f>
        <v>0</v>
      </c>
      <c r="K21" s="238">
        <f>+'Proyección Ingreso'!D21-('Proyección Ingreso'!D21*'Aplica Ley 617'!$D21)</f>
        <v>0</v>
      </c>
      <c r="L21" s="238">
        <f>+'Proyección Ingreso'!E21-('Proyección Ingreso'!E21*'Aplica Ley 617'!$D21)</f>
        <v>0</v>
      </c>
      <c r="M21" s="238">
        <f>+'Proyección Ingreso'!F21-('Proyección Ingreso'!F21*'Aplica Ley 617'!$D21)</f>
        <v>0</v>
      </c>
      <c r="N21" s="238">
        <f>+'Proyección Ingreso'!G21-('Proyección Ingreso'!G21*'Aplica Ley 617'!$D21)</f>
        <v>0</v>
      </c>
      <c r="O21" s="238">
        <f>+'Proyección Ingreso'!H21-('Proyección Ingreso'!H21*'Aplica Ley 617'!$D21)</f>
        <v>0</v>
      </c>
      <c r="P21" s="238">
        <f>+'Proyección Ingreso'!I21-('Proyección Ingreso'!I21*'Aplica Ley 617'!$D21)</f>
        <v>0</v>
      </c>
      <c r="Q21" s="238">
        <f>+'Proyección Ingreso'!J21-('Proyección Ingreso'!J21*'Aplica Ley 617'!$D21)</f>
        <v>0</v>
      </c>
      <c r="R21" s="238">
        <f>+'Proyección Ingreso'!K21-('Proyección Ingreso'!K21*'Aplica Ley 617'!$D21)</f>
        <v>0</v>
      </c>
      <c r="S21" s="238">
        <f>+'Proyección Ingreso'!L21-('Proyección Ingreso'!L21*'Aplica Ley 617'!$D21)</f>
        <v>0</v>
      </c>
      <c r="T21" s="238">
        <f>+'Proyección Ingreso'!M21-('Proyección Ingreso'!M21*'Aplica Ley 617'!$D21)</f>
        <v>0</v>
      </c>
      <c r="U21" s="238">
        <f>+'Proyección Ingreso'!N21-('Proyección Ingreso'!N21*'Aplica Ley 617'!$D21)</f>
        <v>0</v>
      </c>
    </row>
    <row r="22" spans="1:21" ht="12.75">
      <c r="A22" s="2" t="s">
        <v>36</v>
      </c>
      <c r="B22" s="236">
        <f t="shared" si="2"/>
        <v>500000</v>
      </c>
      <c r="C22" s="156">
        <f t="shared" si="2"/>
        <v>301646</v>
      </c>
      <c r="D22" s="222"/>
      <c r="E22" s="156">
        <f t="shared" si="3"/>
        <v>0</v>
      </c>
      <c r="F22" s="236">
        <f t="shared" si="3"/>
        <v>0</v>
      </c>
      <c r="G22" s="156">
        <f>Ingresos!E22</f>
        <v>500000</v>
      </c>
      <c r="H22" s="237">
        <f>+Ingresos!G22</f>
        <v>301646</v>
      </c>
      <c r="J22" s="238">
        <f>+'Proyección Ingreso'!C22-('Proyección Ingreso'!C22*'Aplica Ley 617'!$D22)</f>
        <v>318236.52999999997</v>
      </c>
      <c r="K22" s="238">
        <f>+'Proyección Ingreso'!D22-('Proyección Ingreso'!D22*'Aplica Ley 617'!$D22)</f>
        <v>1843846</v>
      </c>
      <c r="L22" s="238">
        <f>+'Proyección Ingreso'!E22-('Proyección Ingreso'!E22*'Aplica Ley 617'!$D22)</f>
        <v>1926819.0699999998</v>
      </c>
      <c r="M22" s="238">
        <f>+'Proyección Ingreso'!F22-('Proyección Ingreso'!F22*'Aplica Ley 617'!$D22)</f>
        <v>2003891.8328</v>
      </c>
      <c r="N22" s="238">
        <f>+'Proyección Ingreso'!G22-('Proyección Ingreso'!G22*'Aplica Ley 617'!$D22)</f>
        <v>2074028.0469479999</v>
      </c>
      <c r="O22" s="238">
        <f>+'Proyección Ingreso'!H22-('Proyección Ingreso'!H22*'Aplica Ley 617'!$D22)</f>
        <v>2136248.88835644</v>
      </c>
      <c r="P22" s="238">
        <f>+'Proyección Ingreso'!I22-('Proyección Ingreso'!I22*'Aplica Ley 617'!$D22)</f>
        <v>2200336.355007133</v>
      </c>
      <c r="Q22" s="238">
        <f>+'Proyección Ingreso'!J22-('Proyección Ingreso'!J22*'Aplica Ley 617'!$D22)</f>
        <v>2266346.445657347</v>
      </c>
      <c r="R22" s="238">
        <f>+'Proyección Ingreso'!K22-('Proyección Ingreso'!K22*'Aplica Ley 617'!$D22)</f>
        <v>2334336.839027067</v>
      </c>
      <c r="S22" s="238">
        <f>+'Proyección Ingreso'!L22-('Proyección Ingreso'!L22*'Aplica Ley 617'!$D22)</f>
        <v>2404366.944197879</v>
      </c>
      <c r="T22" s="238">
        <f>+'Proyección Ingreso'!M22-('Proyección Ingreso'!M22*'Aplica Ley 617'!$D22)</f>
        <v>2476497.9525238154</v>
      </c>
      <c r="U22" s="238">
        <f>+'Proyección Ingreso'!N22-('Proyección Ingreso'!N22*'Aplica Ley 617'!$D22)</f>
        <v>2550792.89109953</v>
      </c>
    </row>
    <row r="23" spans="1:21" ht="12.75">
      <c r="A23" s="2" t="s">
        <v>37</v>
      </c>
      <c r="B23" s="236">
        <f t="shared" si="2"/>
        <v>0</v>
      </c>
      <c r="C23" s="156">
        <f t="shared" si="2"/>
        <v>0</v>
      </c>
      <c r="D23" s="222"/>
      <c r="E23" s="156">
        <f t="shared" si="3"/>
        <v>0</v>
      </c>
      <c r="F23" s="236">
        <f t="shared" si="3"/>
        <v>0</v>
      </c>
      <c r="G23" s="156">
        <f>Ingresos!E23</f>
        <v>0</v>
      </c>
      <c r="H23" s="237">
        <f>+Ingresos!G23</f>
        <v>0</v>
      </c>
      <c r="J23" s="238">
        <f>+'Proyección Ingreso'!C23-('Proyección Ingreso'!C23*'Aplica Ley 617'!$D23)</f>
        <v>0</v>
      </c>
      <c r="K23" s="238">
        <f>+'Proyección Ingreso'!D23-('Proyección Ingreso'!D23*'Aplica Ley 617'!$D23)</f>
        <v>0</v>
      </c>
      <c r="L23" s="238">
        <f>+'Proyección Ingreso'!E23-('Proyección Ingreso'!E23*'Aplica Ley 617'!$D23)</f>
        <v>0</v>
      </c>
      <c r="M23" s="238">
        <f>+'Proyección Ingreso'!F23-('Proyección Ingreso'!F23*'Aplica Ley 617'!$D23)</f>
        <v>0</v>
      </c>
      <c r="N23" s="238">
        <f>+'Proyección Ingreso'!G23-('Proyección Ingreso'!G23*'Aplica Ley 617'!$D23)</f>
        <v>0</v>
      </c>
      <c r="O23" s="238">
        <f>+'Proyección Ingreso'!H23-('Proyección Ingreso'!H23*'Aplica Ley 617'!$D23)</f>
        <v>0</v>
      </c>
      <c r="P23" s="238">
        <f>+'Proyección Ingreso'!I23-('Proyección Ingreso'!I23*'Aplica Ley 617'!$D23)</f>
        <v>0</v>
      </c>
      <c r="Q23" s="238">
        <f>+'Proyección Ingreso'!J23-('Proyección Ingreso'!J23*'Aplica Ley 617'!$D23)</f>
        <v>0</v>
      </c>
      <c r="R23" s="238">
        <f>+'Proyección Ingreso'!K23-('Proyección Ingreso'!K23*'Aplica Ley 617'!$D23)</f>
        <v>0</v>
      </c>
      <c r="S23" s="238">
        <f>+'Proyección Ingreso'!L23-('Proyección Ingreso'!L23*'Aplica Ley 617'!$D23)</f>
        <v>0</v>
      </c>
      <c r="T23" s="238">
        <f>+'Proyección Ingreso'!M23-('Proyección Ingreso'!M23*'Aplica Ley 617'!$D23)</f>
        <v>0</v>
      </c>
      <c r="U23" s="238">
        <f>+'Proyección Ingreso'!N23-('Proyección Ingreso'!N23*'Aplica Ley 617'!$D23)</f>
        <v>0</v>
      </c>
    </row>
    <row r="24" spans="1:21" ht="12.75">
      <c r="A24" s="2" t="s">
        <v>38</v>
      </c>
      <c r="B24" s="236">
        <f t="shared" si="2"/>
        <v>500000</v>
      </c>
      <c r="C24" s="156">
        <f t="shared" si="2"/>
        <v>0</v>
      </c>
      <c r="D24" s="222"/>
      <c r="E24" s="156">
        <f t="shared" si="3"/>
        <v>0</v>
      </c>
      <c r="F24" s="236">
        <f t="shared" si="3"/>
        <v>0</v>
      </c>
      <c r="G24" s="156">
        <f>Ingresos!E24</f>
        <v>500000</v>
      </c>
      <c r="H24" s="237">
        <f>+Ingresos!G24</f>
        <v>0</v>
      </c>
      <c r="J24" s="238">
        <f>+'Proyección Ingreso'!C24-('Proyección Ingreso'!C24*'Aplica Ley 617'!$D24)</f>
        <v>0</v>
      </c>
      <c r="K24" s="238">
        <f>+'Proyección Ingreso'!D24-('Proyección Ingreso'!D24*'Aplica Ley 617'!$D24)</f>
        <v>65055</v>
      </c>
      <c r="L24" s="238">
        <f>+'Proyección Ingreso'!E24-('Proyección Ingreso'!E24*'Aplica Ley 617'!$D24)</f>
        <v>67982.47499999999</v>
      </c>
      <c r="M24" s="238">
        <f>+'Proyección Ingreso'!F24-('Proyección Ingreso'!F24*'Aplica Ley 617'!$D24)</f>
        <v>70701.77399999999</v>
      </c>
      <c r="N24" s="238">
        <f>+'Proyección Ingreso'!G24-('Proyección Ingreso'!G24*'Aplica Ley 617'!$D24)</f>
        <v>73176.33608999998</v>
      </c>
      <c r="O24" s="238">
        <f>+'Proyección Ingreso'!H24-('Proyección Ingreso'!H24*'Aplica Ley 617'!$D24)</f>
        <v>75371.62617269998</v>
      </c>
      <c r="P24" s="238">
        <f>+'Proyección Ingreso'!I24-('Proyección Ingreso'!I24*'Aplica Ley 617'!$D24)</f>
        <v>77632.77495788097</v>
      </c>
      <c r="Q24" s="238">
        <f>+'Proyección Ingreso'!J24-('Proyección Ingreso'!J24*'Aplica Ley 617'!$D24)</f>
        <v>79961.7582066174</v>
      </c>
      <c r="R24" s="238">
        <f>+'Proyección Ingreso'!K24-('Proyección Ingreso'!K24*'Aplica Ley 617'!$D24)</f>
        <v>82360.61095281593</v>
      </c>
      <c r="S24" s="238">
        <f>+'Proyección Ingreso'!L24-('Proyección Ingreso'!L24*'Aplica Ley 617'!$D24)</f>
        <v>84831.42928140041</v>
      </c>
      <c r="T24" s="238">
        <f>+'Proyección Ingreso'!M24-('Proyección Ingreso'!M24*'Aplica Ley 617'!$D24)</f>
        <v>87376.37215984243</v>
      </c>
      <c r="U24" s="238">
        <f>+'Proyección Ingreso'!N24-('Proyección Ingreso'!N24*'Aplica Ley 617'!$D24)</f>
        <v>89997.6633246377</v>
      </c>
    </row>
    <row r="25" spans="1:21" ht="12.75">
      <c r="A25" s="2" t="s">
        <v>39</v>
      </c>
      <c r="B25" s="236">
        <f t="shared" si="2"/>
        <v>0</v>
      </c>
      <c r="C25" s="156">
        <f t="shared" si="2"/>
        <v>0</v>
      </c>
      <c r="D25" s="222"/>
      <c r="E25" s="156">
        <f t="shared" si="3"/>
        <v>0</v>
      </c>
      <c r="F25" s="236">
        <f t="shared" si="3"/>
        <v>0</v>
      </c>
      <c r="G25" s="156">
        <f>Ingresos!E25</f>
        <v>0</v>
      </c>
      <c r="H25" s="237">
        <f>+Ingresos!G25</f>
        <v>0</v>
      </c>
      <c r="J25" s="238">
        <f>+'Proyección Ingreso'!C25-('Proyección Ingreso'!C25*'Aplica Ley 617'!$D25)</f>
        <v>0</v>
      </c>
      <c r="K25" s="238">
        <f>+'Proyección Ingreso'!D25-('Proyección Ingreso'!D25*'Aplica Ley 617'!$D25)</f>
        <v>0</v>
      </c>
      <c r="L25" s="238">
        <f>+'Proyección Ingreso'!E25-('Proyección Ingreso'!E25*'Aplica Ley 617'!$D25)</f>
        <v>0</v>
      </c>
      <c r="M25" s="238">
        <f>+'Proyección Ingreso'!F25-('Proyección Ingreso'!F25*'Aplica Ley 617'!$D25)</f>
        <v>0</v>
      </c>
      <c r="N25" s="238">
        <f>+'Proyección Ingreso'!G25-('Proyección Ingreso'!G25*'Aplica Ley 617'!$D25)</f>
        <v>0</v>
      </c>
      <c r="O25" s="238">
        <f>+'Proyección Ingreso'!H25-('Proyección Ingreso'!H25*'Aplica Ley 617'!$D25)</f>
        <v>0</v>
      </c>
      <c r="P25" s="238">
        <f>+'Proyección Ingreso'!I25-('Proyección Ingreso'!I25*'Aplica Ley 617'!$D25)</f>
        <v>0</v>
      </c>
      <c r="Q25" s="238">
        <f>+'Proyección Ingreso'!J25-('Proyección Ingreso'!J25*'Aplica Ley 617'!$D25)</f>
        <v>0</v>
      </c>
      <c r="R25" s="238">
        <f>+'Proyección Ingreso'!K25-('Proyección Ingreso'!K25*'Aplica Ley 617'!$D25)</f>
        <v>0</v>
      </c>
      <c r="S25" s="238">
        <f>+'Proyección Ingreso'!L25-('Proyección Ingreso'!L25*'Aplica Ley 617'!$D25)</f>
        <v>0</v>
      </c>
      <c r="T25" s="238">
        <f>+'Proyección Ingreso'!M25-('Proyección Ingreso'!M25*'Aplica Ley 617'!$D25)</f>
        <v>0</v>
      </c>
      <c r="U25" s="238">
        <f>+'Proyección Ingreso'!N25-('Proyección Ingreso'!N25*'Aplica Ley 617'!$D25)</f>
        <v>0</v>
      </c>
    </row>
    <row r="26" spans="1:21" ht="12.75">
      <c r="A26" s="2" t="s">
        <v>40</v>
      </c>
      <c r="B26" s="236">
        <f t="shared" si="2"/>
        <v>0</v>
      </c>
      <c r="C26" s="156">
        <f t="shared" si="2"/>
        <v>0</v>
      </c>
      <c r="D26" s="222"/>
      <c r="E26" s="156">
        <f t="shared" si="3"/>
        <v>0</v>
      </c>
      <c r="F26" s="236">
        <f t="shared" si="3"/>
        <v>0</v>
      </c>
      <c r="G26" s="156">
        <f>Ingresos!E26</f>
        <v>0</v>
      </c>
      <c r="H26" s="237">
        <f>+Ingresos!G26</f>
        <v>0</v>
      </c>
      <c r="J26" s="238">
        <f>+'Proyección Ingreso'!C26-('Proyección Ingreso'!C26*'Aplica Ley 617'!$D26)</f>
        <v>0</v>
      </c>
      <c r="K26" s="238">
        <f>+'Proyección Ingreso'!D26-('Proyección Ingreso'!D26*'Aplica Ley 617'!$D26)</f>
        <v>0</v>
      </c>
      <c r="L26" s="238">
        <f>+'Proyección Ingreso'!E26-('Proyección Ingreso'!E26*'Aplica Ley 617'!$D26)</f>
        <v>0</v>
      </c>
      <c r="M26" s="238">
        <f>+'Proyección Ingreso'!F26-('Proyección Ingreso'!F26*'Aplica Ley 617'!$D26)</f>
        <v>0</v>
      </c>
      <c r="N26" s="238">
        <f>+'Proyección Ingreso'!G26-('Proyección Ingreso'!G26*'Aplica Ley 617'!$D26)</f>
        <v>0</v>
      </c>
      <c r="O26" s="238">
        <f>+'Proyección Ingreso'!H26-('Proyección Ingreso'!H26*'Aplica Ley 617'!$D26)</f>
        <v>0</v>
      </c>
      <c r="P26" s="238">
        <f>+'Proyección Ingreso'!I26-('Proyección Ingreso'!I26*'Aplica Ley 617'!$D26)</f>
        <v>0</v>
      </c>
      <c r="Q26" s="238">
        <f>+'Proyección Ingreso'!J26-('Proyección Ingreso'!J26*'Aplica Ley 617'!$D26)</f>
        <v>0</v>
      </c>
      <c r="R26" s="238">
        <f>+'Proyección Ingreso'!K26-('Proyección Ingreso'!K26*'Aplica Ley 617'!$D26)</f>
        <v>0</v>
      </c>
      <c r="S26" s="238">
        <f>+'Proyección Ingreso'!L26-('Proyección Ingreso'!L26*'Aplica Ley 617'!$D26)</f>
        <v>0</v>
      </c>
      <c r="T26" s="238">
        <f>+'Proyección Ingreso'!M26-('Proyección Ingreso'!M26*'Aplica Ley 617'!$D26)</f>
        <v>0</v>
      </c>
      <c r="U26" s="238">
        <f>+'Proyección Ingreso'!N26-('Proyección Ingreso'!N26*'Aplica Ley 617'!$D26)</f>
        <v>0</v>
      </c>
    </row>
    <row r="27" spans="1:21" ht="12.75">
      <c r="A27" s="2" t="s">
        <v>0</v>
      </c>
      <c r="B27" s="236">
        <f t="shared" si="2"/>
        <v>25500000</v>
      </c>
      <c r="C27" s="156">
        <f t="shared" si="2"/>
        <v>28177932</v>
      </c>
      <c r="D27" s="222"/>
      <c r="E27" s="156">
        <f t="shared" si="3"/>
        <v>0</v>
      </c>
      <c r="F27" s="236">
        <f t="shared" si="3"/>
        <v>0</v>
      </c>
      <c r="G27" s="156">
        <f>Ingresos!E27</f>
        <v>25500000</v>
      </c>
      <c r="H27" s="237">
        <f>+Ingresos!G27</f>
        <v>28177932</v>
      </c>
      <c r="J27" s="238">
        <f>+'Proyección Ingreso'!C27-('Proyección Ingreso'!C27*'Aplica Ley 617'!$D27)</f>
        <v>29727718.259999998</v>
      </c>
      <c r="K27" s="238">
        <f>+'Proyección Ingreso'!D27-('Proyección Ingreso'!D27*'Aplica Ley 617'!$D27)</f>
        <v>46938690.64</v>
      </c>
      <c r="L27" s="238">
        <f>+'Proyección Ingreso'!E27-('Proyección Ingreso'!E27*'Aplica Ley 617'!$D27)</f>
        <v>49050931.7188</v>
      </c>
      <c r="M27" s="238">
        <f>+'Proyección Ingreso'!F27-('Proyección Ingreso'!F27*'Aplica Ley 617'!$D27)</f>
        <v>51012968.987552</v>
      </c>
      <c r="N27" s="238">
        <f>+'Proyección Ingreso'!G27-('Proyección Ingreso'!G27*'Aplica Ley 617'!$D27)</f>
        <v>52798422.90211632</v>
      </c>
      <c r="O27" s="238">
        <f>+'Proyección Ingreso'!H27-('Proyección Ingreso'!H27*'Aplica Ley 617'!$D27)</f>
        <v>54382375.589179814</v>
      </c>
      <c r="P27" s="238">
        <f>+'Proyección Ingreso'!I27-('Proyección Ingreso'!I27*'Aplica Ley 617'!$D27)</f>
        <v>56013846.856855206</v>
      </c>
      <c r="Q27" s="238">
        <f>+'Proyección Ingreso'!J27-('Proyección Ingreso'!J27*'Aplica Ley 617'!$D27)</f>
        <v>57694262.26256087</v>
      </c>
      <c r="R27" s="238">
        <f>+'Proyección Ingreso'!K27-('Proyección Ingreso'!K27*'Aplica Ley 617'!$D27)</f>
        <v>59425090.130437694</v>
      </c>
      <c r="S27" s="238">
        <f>+'Proyección Ingreso'!L27-('Proyección Ingreso'!L27*'Aplica Ley 617'!$D27)</f>
        <v>61207842.834350824</v>
      </c>
      <c r="T27" s="238">
        <f>+'Proyección Ingreso'!M27-('Proyección Ingreso'!M27*'Aplica Ley 617'!$D27)</f>
        <v>63044078.11938135</v>
      </c>
      <c r="U27" s="238">
        <f>+'Proyección Ingreso'!N27-('Proyección Ingreso'!N27*'Aplica Ley 617'!$D27)</f>
        <v>64935400.4629628</v>
      </c>
    </row>
    <row r="28" spans="1:21" ht="12.75">
      <c r="A28" s="2" t="s">
        <v>41</v>
      </c>
      <c r="B28" s="236">
        <f t="shared" si="2"/>
        <v>0</v>
      </c>
      <c r="C28" s="156">
        <f t="shared" si="2"/>
        <v>0</v>
      </c>
      <c r="D28" s="222"/>
      <c r="E28" s="156">
        <f t="shared" si="3"/>
        <v>0</v>
      </c>
      <c r="F28" s="236">
        <f t="shared" si="3"/>
        <v>0</v>
      </c>
      <c r="G28" s="156">
        <f>Ingresos!E28</f>
        <v>0</v>
      </c>
      <c r="H28" s="237">
        <f>+Ingresos!G28</f>
        <v>0</v>
      </c>
      <c r="J28" s="238">
        <f>+'Proyección Ingreso'!C28-('Proyección Ingreso'!C28*'Aplica Ley 617'!$D28)</f>
        <v>0</v>
      </c>
      <c r="K28" s="238">
        <f>+'Proyección Ingreso'!D28-('Proyección Ingreso'!D28*'Aplica Ley 617'!$D28)</f>
        <v>0</v>
      </c>
      <c r="L28" s="238">
        <f>+'Proyección Ingreso'!E28-('Proyección Ingreso'!E28*'Aplica Ley 617'!$D28)</f>
        <v>0</v>
      </c>
      <c r="M28" s="238">
        <f>+'Proyección Ingreso'!F28-('Proyección Ingreso'!F28*'Aplica Ley 617'!$D28)</f>
        <v>0</v>
      </c>
      <c r="N28" s="238">
        <f>+'Proyección Ingreso'!G28-('Proyección Ingreso'!G28*'Aplica Ley 617'!$D28)</f>
        <v>0</v>
      </c>
      <c r="O28" s="238">
        <f>+'Proyección Ingreso'!H28-('Proyección Ingreso'!H28*'Aplica Ley 617'!$D28)</f>
        <v>0</v>
      </c>
      <c r="P28" s="238">
        <f>+'Proyección Ingreso'!I28-('Proyección Ingreso'!I28*'Aplica Ley 617'!$D28)</f>
        <v>0</v>
      </c>
      <c r="Q28" s="238">
        <f>+'Proyección Ingreso'!J28-('Proyección Ingreso'!J28*'Aplica Ley 617'!$D28)</f>
        <v>0</v>
      </c>
      <c r="R28" s="238">
        <f>+'Proyección Ingreso'!K28-('Proyección Ingreso'!K28*'Aplica Ley 617'!$D28)</f>
        <v>0</v>
      </c>
      <c r="S28" s="238">
        <f>+'Proyección Ingreso'!L28-('Proyección Ingreso'!L28*'Aplica Ley 617'!$D28)</f>
        <v>0</v>
      </c>
      <c r="T28" s="238">
        <f>+'Proyección Ingreso'!M28-('Proyección Ingreso'!M28*'Aplica Ley 617'!$D28)</f>
        <v>0</v>
      </c>
      <c r="U28" s="238">
        <f>+'Proyección Ingreso'!N28-('Proyección Ingreso'!N28*'Aplica Ley 617'!$D28)</f>
        <v>0</v>
      </c>
    </row>
    <row r="29" spans="1:21" ht="12.75">
      <c r="A29" s="3" t="s">
        <v>204</v>
      </c>
      <c r="B29" s="236">
        <f t="shared" si="2"/>
        <v>79950000</v>
      </c>
      <c r="C29" s="156">
        <f t="shared" si="2"/>
        <v>60420907</v>
      </c>
      <c r="D29" s="222"/>
      <c r="E29" s="156">
        <f t="shared" si="3"/>
        <v>0</v>
      </c>
      <c r="F29" s="236">
        <f t="shared" si="3"/>
        <v>0</v>
      </c>
      <c r="G29" s="156">
        <f>Ingresos!E29</f>
        <v>79950000</v>
      </c>
      <c r="H29" s="237">
        <f>+Ingresos!G29</f>
        <v>60420907</v>
      </c>
      <c r="J29" s="238">
        <f>+'Proyección Ingreso'!C29-('Proyección Ingreso'!C29*'Aplica Ley 617'!$D29)</f>
        <v>63744056.885</v>
      </c>
      <c r="K29" s="238">
        <f>+'Proyección Ingreso'!D29-('Proyección Ingreso'!D29*'Aplica Ley 617'!$D29)</f>
        <v>1760216</v>
      </c>
      <c r="L29" s="238">
        <f>+'Proyección Ingreso'!E29-('Proyección Ingreso'!E29*'Aplica Ley 617'!$D29)</f>
        <v>1839425.72</v>
      </c>
      <c r="M29" s="238">
        <f>+'Proyección Ingreso'!F29-('Proyección Ingreso'!F29*'Aplica Ley 617'!$D29)</f>
        <v>1913002.7488</v>
      </c>
      <c r="N29" s="238">
        <f>+'Proyección Ingreso'!G29-('Proyección Ingreso'!G29*'Aplica Ley 617'!$D29)</f>
        <v>1979957.8450079998</v>
      </c>
      <c r="O29" s="238">
        <f>+'Proyección Ingreso'!H29-('Proyección Ingreso'!H29*'Aplica Ley 617'!$D29)</f>
        <v>2039356.5803582398</v>
      </c>
      <c r="P29" s="238">
        <f>+'Proyección Ingreso'!I29-('Proyección Ingreso'!I29*'Aplica Ley 617'!$D29)</f>
        <v>2100537.277768987</v>
      </c>
      <c r="Q29" s="238">
        <f>+'Proyección Ingreso'!J29-('Proyección Ingreso'!J29*'Aplica Ley 617'!$D29)</f>
        <v>2163553.396102057</v>
      </c>
      <c r="R29" s="238">
        <f>+'Proyección Ingreso'!K29-('Proyección Ingreso'!K29*'Aplica Ley 617'!$D29)</f>
        <v>2228459.9979851185</v>
      </c>
      <c r="S29" s="238">
        <f>+'Proyección Ingreso'!L29-('Proyección Ingreso'!L29*'Aplica Ley 617'!$D29)</f>
        <v>2295313.7979246723</v>
      </c>
      <c r="T29" s="238">
        <f>+'Proyección Ingreso'!M29-('Proyección Ingreso'!M29*'Aplica Ley 617'!$D29)</f>
        <v>2364173.2118624123</v>
      </c>
      <c r="U29" s="238">
        <f>+'Proyección Ingreso'!N29-('Proyección Ingreso'!N29*'Aplica Ley 617'!$D29)</f>
        <v>2435098.4082182846</v>
      </c>
    </row>
    <row r="30" spans="1:21" ht="12.75">
      <c r="A30" s="123" t="s">
        <v>42</v>
      </c>
      <c r="B30" s="235">
        <f>SUM(B31:B34)+B35+B59+B63</f>
        <v>2453512721.5099998</v>
      </c>
      <c r="C30" s="137">
        <f>SUM(C31:C34)+C35+C59+C63</f>
        <v>2257303524.15</v>
      </c>
      <c r="D30" s="223"/>
      <c r="E30" s="137">
        <f>SUM(E31:E34)+E35+E59+E63</f>
        <v>0</v>
      </c>
      <c r="F30" s="235">
        <f>SUM(F31:F34)+F35+F59+F63</f>
        <v>0</v>
      </c>
      <c r="G30" s="137">
        <f>SUM(G31:G34)+G35+G59+G63</f>
        <v>2453512721.5099998</v>
      </c>
      <c r="H30" s="139">
        <f>SUM(H31:H34)+H35+H59+H63</f>
        <v>2257303524.15</v>
      </c>
      <c r="I30" s="239"/>
      <c r="J30" s="137">
        <f aca="true" t="shared" si="4" ref="J30:S30">SUM(J31:J34)+J35+J59+J63</f>
        <v>2425301340.6080003</v>
      </c>
      <c r="K30" s="137">
        <f t="shared" si="4"/>
        <v>2907373904.83</v>
      </c>
      <c r="L30" s="137">
        <f t="shared" si="4"/>
        <v>2974831277.8641</v>
      </c>
      <c r="M30" s="137">
        <f t="shared" si="4"/>
        <v>3182514593.005587</v>
      </c>
      <c r="N30" s="137">
        <f t="shared" si="4"/>
        <v>3388800972.2695904</v>
      </c>
      <c r="O30" s="138">
        <f t="shared" si="4"/>
        <v>3591531763.8995585</v>
      </c>
      <c r="P30" s="137">
        <f t="shared" si="4"/>
        <v>3806408485.026139</v>
      </c>
      <c r="Q30" s="138">
        <f t="shared" si="4"/>
        <v>4034159353.8790917</v>
      </c>
      <c r="R30" s="137">
        <f t="shared" si="4"/>
        <v>4275556265.655763</v>
      </c>
      <c r="S30" s="137">
        <f t="shared" si="4"/>
        <v>4531417412.655353</v>
      </c>
      <c r="T30" s="137">
        <f>SUM(T31:T34)+T35+T59+T63</f>
        <v>4802610061.606725</v>
      </c>
      <c r="U30" s="137">
        <f>SUM(U31:U34)+U35+U59+U63</f>
        <v>5090053497.620941</v>
      </c>
    </row>
    <row r="31" spans="1:21" ht="12.75">
      <c r="A31" s="2" t="s">
        <v>43</v>
      </c>
      <c r="B31" s="236">
        <f aca="true" t="shared" si="5" ref="B31:C34">+G31-E31</f>
        <v>150000</v>
      </c>
      <c r="C31" s="156">
        <f t="shared" si="5"/>
        <v>212858</v>
      </c>
      <c r="D31" s="222"/>
      <c r="E31" s="156">
        <f t="shared" si="3"/>
        <v>0</v>
      </c>
      <c r="F31" s="236">
        <f>+$D31*H31</f>
        <v>0</v>
      </c>
      <c r="G31" s="156">
        <f>Ingresos!E31</f>
        <v>150000</v>
      </c>
      <c r="H31" s="237">
        <f>+Ingresos!G31</f>
        <v>212858</v>
      </c>
      <c r="J31" s="238">
        <f>+'Proyección Ingreso'!C31-('Proyección Ingreso'!C31*'Aplica Ley 617'!$D31)</f>
        <v>224565.18999999997</v>
      </c>
      <c r="K31" s="238">
        <f>+'Proyección Ingreso'!D31-('Proyección Ingreso'!D31*'Aplica Ley 617'!$D31)</f>
        <v>21684</v>
      </c>
      <c r="L31" s="238">
        <f>+'Proyección Ingreso'!E31-('Proyección Ingreso'!E31*'Aplica Ley 617'!$D31)</f>
        <v>22659.78</v>
      </c>
      <c r="M31" s="238">
        <f>+'Proyección Ingreso'!F31-('Proyección Ingreso'!F31*'Aplica Ley 617'!$D31)</f>
        <v>23566.1712</v>
      </c>
      <c r="N31" s="238">
        <f>+'Proyección Ingreso'!G31-('Proyección Ingreso'!G31*'Aplica Ley 617'!$D31)</f>
        <v>24390.987192</v>
      </c>
      <c r="O31" s="238">
        <f>+'Proyección Ingreso'!H31-('Proyección Ingreso'!H31*'Aplica Ley 617'!$D31)</f>
        <v>25122.71680776</v>
      </c>
      <c r="P31" s="238">
        <f>+'Proyección Ingreso'!I31-('Proyección Ingreso'!I31*'Aplica Ley 617'!$D31)</f>
        <v>25876.3983119928</v>
      </c>
      <c r="Q31" s="238">
        <f>+'Proyección Ingreso'!J31-('Proyección Ingreso'!J31*'Aplica Ley 617'!$D31)</f>
        <v>26652.690261352585</v>
      </c>
      <c r="R31" s="238">
        <f>+'Proyección Ingreso'!K31-('Proyección Ingreso'!K31*'Aplica Ley 617'!$D31)</f>
        <v>27452.270969193163</v>
      </c>
      <c r="S31" s="238">
        <f>+'Proyección Ingreso'!L31-('Proyección Ingreso'!L31*'Aplica Ley 617'!$D31)</f>
        <v>28275.83909826896</v>
      </c>
      <c r="T31" s="238">
        <f>+'Proyección Ingreso'!M31-('Proyección Ingreso'!M31*'Aplica Ley 617'!$D31)</f>
        <v>29124.11427121703</v>
      </c>
      <c r="U31" s="238">
        <f>+'Proyección Ingreso'!N31-('Proyección Ingreso'!N31*'Aplica Ley 617'!$D31)</f>
        <v>29997.837699353542</v>
      </c>
    </row>
    <row r="32" spans="1:21" ht="12.75">
      <c r="A32" s="2" t="s">
        <v>44</v>
      </c>
      <c r="B32" s="236">
        <f t="shared" si="5"/>
        <v>1000000</v>
      </c>
      <c r="C32" s="156">
        <f t="shared" si="5"/>
        <v>568500</v>
      </c>
      <c r="D32" s="222"/>
      <c r="E32" s="156">
        <f t="shared" si="3"/>
        <v>0</v>
      </c>
      <c r="F32" s="236">
        <f>+$D32*H32</f>
        <v>0</v>
      </c>
      <c r="G32" s="156">
        <f>Ingresos!E32</f>
        <v>1000000</v>
      </c>
      <c r="H32" s="237">
        <f>+Ingresos!G32</f>
        <v>568500</v>
      </c>
      <c r="J32" s="238">
        <f>+'Proyección Ingreso'!C32-('Proyección Ingreso'!C32*'Aplica Ley 617'!$D32)</f>
        <v>599767.5</v>
      </c>
      <c r="K32" s="238">
        <f>+'Proyección Ingreso'!D32-('Proyección Ingreso'!D32*'Aplica Ley 617'!$D32)</f>
        <v>180000</v>
      </c>
      <c r="L32" s="238">
        <f>+'Proyección Ingreso'!E32-('Proyección Ingreso'!E32*'Aplica Ley 617'!$D32)</f>
        <v>188100</v>
      </c>
      <c r="M32" s="238">
        <f>+'Proyección Ingreso'!F32-('Proyección Ingreso'!F32*'Aplica Ley 617'!$D32)</f>
        <v>195624</v>
      </c>
      <c r="N32" s="238">
        <f>+'Proyección Ingreso'!G32-('Proyección Ingreso'!G32*'Aplica Ley 617'!$D32)</f>
        <v>202470.84</v>
      </c>
      <c r="O32" s="238">
        <f>+'Proyección Ingreso'!H32-('Proyección Ingreso'!H32*'Aplica Ley 617'!$D32)</f>
        <v>208544.9652</v>
      </c>
      <c r="P32" s="238">
        <f>+'Proyección Ingreso'!I32-('Proyección Ingreso'!I32*'Aplica Ley 617'!$D32)</f>
        <v>214801.314156</v>
      </c>
      <c r="Q32" s="238">
        <f>+'Proyección Ingreso'!J32-('Proyección Ingreso'!J32*'Aplica Ley 617'!$D32)</f>
        <v>221245.35358068</v>
      </c>
      <c r="R32" s="238">
        <f>+'Proyección Ingreso'!K32-('Proyección Ingreso'!K32*'Aplica Ley 617'!$D32)</f>
        <v>227882.71418810042</v>
      </c>
      <c r="S32" s="238">
        <f>+'Proyección Ingreso'!L32-('Proyección Ingreso'!L32*'Aplica Ley 617'!$D32)</f>
        <v>234719.19561374345</v>
      </c>
      <c r="T32" s="238">
        <f>+'Proyección Ingreso'!M32-('Proyección Ingreso'!M32*'Aplica Ley 617'!$D32)</f>
        <v>241760.77148215575</v>
      </c>
      <c r="U32" s="238">
        <f>+'Proyección Ingreso'!N32-('Proyección Ingreso'!N32*'Aplica Ley 617'!$D32)</f>
        <v>249013.5946266204</v>
      </c>
    </row>
    <row r="33" spans="1:21" ht="12.75">
      <c r="A33" s="2" t="s">
        <v>45</v>
      </c>
      <c r="B33" s="236">
        <f t="shared" si="5"/>
        <v>10000000</v>
      </c>
      <c r="C33" s="156">
        <f t="shared" si="5"/>
        <v>9407186</v>
      </c>
      <c r="D33" s="222"/>
      <c r="E33" s="156">
        <f t="shared" si="3"/>
        <v>0</v>
      </c>
      <c r="F33" s="236">
        <f>+$D33*H33</f>
        <v>0</v>
      </c>
      <c r="G33" s="156">
        <f>Ingresos!E33</f>
        <v>10000000</v>
      </c>
      <c r="H33" s="237">
        <f>+Ingresos!G33</f>
        <v>9407186</v>
      </c>
      <c r="J33" s="238">
        <f>+'Proyección Ingreso'!C33-('Proyección Ingreso'!C33*'Aplica Ley 617'!$D33)</f>
        <v>9924581.229999999</v>
      </c>
      <c r="K33" s="238">
        <f>+'Proyección Ingreso'!D33-('Proyección Ingreso'!D33*'Aplica Ley 617'!$D33)</f>
        <v>17497656</v>
      </c>
      <c r="L33" s="238">
        <f>+'Proyección Ingreso'!E33-('Proyección Ingreso'!E33*'Aplica Ley 617'!$D33)</f>
        <v>18285050.52</v>
      </c>
      <c r="M33" s="238">
        <f>+'Proyección Ingreso'!F33-('Proyección Ingreso'!F33*'Aplica Ley 617'!$D33)</f>
        <v>19016452.5408</v>
      </c>
      <c r="N33" s="238">
        <f>+'Proyección Ingreso'!G33-('Proyección Ingreso'!G33*'Aplica Ley 617'!$D33)</f>
        <v>19682028.379728</v>
      </c>
      <c r="O33" s="238">
        <f>+'Proyección Ingreso'!H33-('Proyección Ingreso'!H33*'Aplica Ley 617'!$D33)</f>
        <v>20272489.23111984</v>
      </c>
      <c r="P33" s="238">
        <f>+'Proyección Ingreso'!I33-('Proyección Ingreso'!I33*'Aplica Ley 617'!$D33)</f>
        <v>20880663.908053435</v>
      </c>
      <c r="Q33" s="238">
        <f>+'Proyección Ingreso'!J33-('Proyección Ingreso'!J33*'Aplica Ley 617'!$D33)</f>
        <v>21507083.82529504</v>
      </c>
      <c r="R33" s="238">
        <f>+'Proyección Ingreso'!K33-('Proyección Ingreso'!K33*'Aplica Ley 617'!$D33)</f>
        <v>22152296.34005389</v>
      </c>
      <c r="S33" s="238">
        <f>+'Proyección Ingreso'!L33-('Proyección Ingreso'!L33*'Aplica Ley 617'!$D33)</f>
        <v>22816865.230255507</v>
      </c>
      <c r="T33" s="238">
        <f>+'Proyección Ingreso'!M33-('Proyección Ingreso'!M33*'Aplica Ley 617'!$D33)</f>
        <v>23501371.187163174</v>
      </c>
      <c r="U33" s="238">
        <f>+'Proyección Ingreso'!N33-('Proyección Ingreso'!N33*'Aplica Ley 617'!$D33)</f>
        <v>24206412.32277807</v>
      </c>
    </row>
    <row r="34" spans="1:21" ht="12.75">
      <c r="A34" s="2" t="s">
        <v>46</v>
      </c>
      <c r="B34" s="236">
        <f t="shared" si="5"/>
        <v>0</v>
      </c>
      <c r="C34" s="156">
        <f t="shared" si="5"/>
        <v>0</v>
      </c>
      <c r="D34" s="222"/>
      <c r="E34" s="156">
        <f t="shared" si="3"/>
        <v>0</v>
      </c>
      <c r="F34" s="236">
        <f>+$D34*H34</f>
        <v>0</v>
      </c>
      <c r="G34" s="156">
        <f>Ingresos!E34</f>
        <v>0</v>
      </c>
      <c r="H34" s="237">
        <f>+Ingresos!G34</f>
        <v>0</v>
      </c>
      <c r="J34" s="238">
        <f>+'Proyección Ingreso'!C34-('Proyección Ingreso'!C34*'Aplica Ley 617'!$D34)</f>
        <v>0</v>
      </c>
      <c r="K34" s="238">
        <f>+'Proyección Ingreso'!D34-('Proyección Ingreso'!D34*'Aplica Ley 617'!$D34)</f>
        <v>0</v>
      </c>
      <c r="L34" s="238">
        <f>+'Proyección Ingreso'!E34-('Proyección Ingreso'!E34*'Aplica Ley 617'!$D34)</f>
        <v>0</v>
      </c>
      <c r="M34" s="238">
        <f>+'Proyección Ingreso'!F34-('Proyección Ingreso'!F34*'Aplica Ley 617'!$D34)</f>
        <v>0</v>
      </c>
      <c r="N34" s="238">
        <f>+'Proyección Ingreso'!G34-('Proyección Ingreso'!G34*'Aplica Ley 617'!$D34)</f>
        <v>0</v>
      </c>
      <c r="O34" s="238">
        <f>+'Proyección Ingreso'!H34-('Proyección Ingreso'!H34*'Aplica Ley 617'!$D34)</f>
        <v>0</v>
      </c>
      <c r="P34" s="238">
        <f>+'Proyección Ingreso'!I34-('Proyección Ingreso'!I34*'Aplica Ley 617'!$D34)</f>
        <v>0</v>
      </c>
      <c r="Q34" s="238">
        <f>+'Proyección Ingreso'!J34-('Proyección Ingreso'!J34*'Aplica Ley 617'!$D34)</f>
        <v>0</v>
      </c>
      <c r="R34" s="238">
        <f>+'Proyección Ingreso'!K34-('Proyección Ingreso'!K34*'Aplica Ley 617'!$D34)</f>
        <v>0</v>
      </c>
      <c r="S34" s="238">
        <f>+'Proyección Ingreso'!L34-('Proyección Ingreso'!L34*'Aplica Ley 617'!$D34)</f>
        <v>0</v>
      </c>
      <c r="T34" s="238">
        <f>+'Proyección Ingreso'!M34-('Proyección Ingreso'!M34*'Aplica Ley 617'!$D34)</f>
        <v>0</v>
      </c>
      <c r="U34" s="238">
        <f>+'Proyección Ingreso'!N34-('Proyección Ingreso'!N34*'Aplica Ley 617'!$D34)</f>
        <v>0</v>
      </c>
    </row>
    <row r="35" spans="1:21" ht="12.75">
      <c r="A35" s="3" t="s">
        <v>47</v>
      </c>
      <c r="B35" s="240">
        <f>+B36+B38+B51+B55</f>
        <v>2287787688.5099998</v>
      </c>
      <c r="C35" s="182">
        <f>+C36+C38+C51+C55</f>
        <v>2095389659.08</v>
      </c>
      <c r="D35" s="224"/>
      <c r="E35" s="182">
        <f>+E36+E38+E51+E55</f>
        <v>0</v>
      </c>
      <c r="F35" s="240">
        <f>+F36+F38+F51+F55</f>
        <v>0</v>
      </c>
      <c r="G35" s="182">
        <f>+G36+G38+G51+G55</f>
        <v>2287787688.5099998</v>
      </c>
      <c r="H35" s="241">
        <f>+H36+H38+H51+H55</f>
        <v>2095389659.08</v>
      </c>
      <c r="I35" s="231"/>
      <c r="J35" s="182">
        <f aca="true" t="shared" si="6" ref="J35:S35">+J36+J38+J51+J55</f>
        <v>2254482212.9591503</v>
      </c>
      <c r="K35" s="182">
        <f t="shared" si="6"/>
        <v>2795505057.56</v>
      </c>
      <c r="L35" s="182">
        <f t="shared" si="6"/>
        <v>2855574094.7852</v>
      </c>
      <c r="M35" s="182">
        <f t="shared" si="6"/>
        <v>3055464281.420164</v>
      </c>
      <c r="N35" s="182">
        <f t="shared" si="6"/>
        <v>3254069459.712475</v>
      </c>
      <c r="O35" s="210">
        <f t="shared" si="6"/>
        <v>3449313627.2952237</v>
      </c>
      <c r="P35" s="182">
        <f t="shared" si="6"/>
        <v>3656272444.9329376</v>
      </c>
      <c r="Q35" s="210">
        <f t="shared" si="6"/>
        <v>3875648791.628914</v>
      </c>
      <c r="R35" s="182">
        <f t="shared" si="6"/>
        <v>4108187719.126649</v>
      </c>
      <c r="S35" s="182">
        <f t="shared" si="6"/>
        <v>4354678982.274248</v>
      </c>
      <c r="T35" s="182">
        <f>+T36+T38+T51+T55</f>
        <v>4615959721.210703</v>
      </c>
      <c r="U35" s="182">
        <f>+U36+U38+U51+U55</f>
        <v>4892917304.483346</v>
      </c>
    </row>
    <row r="36" spans="1:21" ht="12.75">
      <c r="A36" s="3" t="s">
        <v>48</v>
      </c>
      <c r="B36" s="240">
        <f>+B37</f>
        <v>944873761.8</v>
      </c>
      <c r="C36" s="182">
        <f>+C37</f>
        <v>861588244</v>
      </c>
      <c r="D36" s="224"/>
      <c r="E36" s="182">
        <f>+E37</f>
        <v>0</v>
      </c>
      <c r="F36" s="240">
        <f>+F37</f>
        <v>0</v>
      </c>
      <c r="G36" s="182">
        <f>+G37</f>
        <v>944873761.8</v>
      </c>
      <c r="H36" s="241">
        <f>+H37</f>
        <v>861588244</v>
      </c>
      <c r="I36" s="231"/>
      <c r="J36" s="182">
        <f aca="true" t="shared" si="7" ref="J36:U36">+J37</f>
        <v>930515303.5200001</v>
      </c>
      <c r="K36" s="182">
        <f t="shared" si="7"/>
        <v>381217662</v>
      </c>
      <c r="L36" s="182">
        <f t="shared" si="7"/>
        <v>432722664</v>
      </c>
      <c r="M36" s="182">
        <f t="shared" si="7"/>
        <v>463013250.48</v>
      </c>
      <c r="N36" s="182">
        <f t="shared" si="7"/>
        <v>493109111.7612</v>
      </c>
      <c r="O36" s="210">
        <f t="shared" si="7"/>
        <v>522695658.46687204</v>
      </c>
      <c r="P36" s="182">
        <f t="shared" si="7"/>
        <v>554057397.9748844</v>
      </c>
      <c r="Q36" s="210">
        <f t="shared" si="7"/>
        <v>587300841.8533775</v>
      </c>
      <c r="R36" s="182">
        <f t="shared" si="7"/>
        <v>622538892.3645802</v>
      </c>
      <c r="S36" s="182">
        <f t="shared" si="7"/>
        <v>659891225.906455</v>
      </c>
      <c r="T36" s="182">
        <f t="shared" si="7"/>
        <v>699484699.4608424</v>
      </c>
      <c r="U36" s="182">
        <f t="shared" si="7"/>
        <v>741453781.4284929</v>
      </c>
    </row>
    <row r="37" spans="1:21" ht="12.75">
      <c r="A37" s="3" t="s">
        <v>205</v>
      </c>
      <c r="B37" s="236">
        <f>+G37-E37</f>
        <v>944873761.8</v>
      </c>
      <c r="C37" s="156">
        <f>+H37-F37</f>
        <v>861588244</v>
      </c>
      <c r="D37" s="222"/>
      <c r="E37" s="156">
        <f>+$D37*G37</f>
        <v>0</v>
      </c>
      <c r="F37" s="236">
        <f>+$D37*H37</f>
        <v>0</v>
      </c>
      <c r="G37" s="156">
        <f>Ingresos!E37</f>
        <v>944873761.8</v>
      </c>
      <c r="H37" s="237">
        <f>+Ingresos!G37</f>
        <v>861588244</v>
      </c>
      <c r="J37" s="238">
        <f>+'Proyección Ingreso'!C37-('Proyección Ingreso'!C37*'Aplica Ley 617'!$D37)</f>
        <v>930515303.5200001</v>
      </c>
      <c r="K37" s="238">
        <f>+'Proyección Ingreso'!D37-('Proyección Ingreso'!D37*'Aplica Ley 617'!$D37)</f>
        <v>381217662</v>
      </c>
      <c r="L37" s="238">
        <f>+'Proyección Ingreso'!E37-('Proyección Ingreso'!E37*'Aplica Ley 617'!$D37)</f>
        <v>432722664</v>
      </c>
      <c r="M37" s="238">
        <f>+'Proyección Ingreso'!F37-('Proyección Ingreso'!F37*'Aplica Ley 617'!$D37)</f>
        <v>463013250.48</v>
      </c>
      <c r="N37" s="238">
        <f>+'Proyección Ingreso'!G37-('Proyección Ingreso'!G37*'Aplica Ley 617'!$D37)</f>
        <v>493109111.7612</v>
      </c>
      <c r="O37" s="238">
        <f>+'Proyección Ingreso'!H37-('Proyección Ingreso'!H37*'Aplica Ley 617'!$D37)</f>
        <v>522695658.46687204</v>
      </c>
      <c r="P37" s="238">
        <f>+'Proyección Ingreso'!I37-('Proyección Ingreso'!I37*'Aplica Ley 617'!$D37)</f>
        <v>554057397.9748844</v>
      </c>
      <c r="Q37" s="238">
        <f>+'Proyección Ingreso'!J37-('Proyección Ingreso'!J37*'Aplica Ley 617'!$D37)</f>
        <v>587300841.8533775</v>
      </c>
      <c r="R37" s="238">
        <f>+'Proyección Ingreso'!K37-('Proyección Ingreso'!K37*'Aplica Ley 617'!$D37)</f>
        <v>622538892.3645802</v>
      </c>
      <c r="S37" s="238">
        <f>+'Proyección Ingreso'!L37-('Proyección Ingreso'!L37*'Aplica Ley 617'!$D37)</f>
        <v>659891225.906455</v>
      </c>
      <c r="T37" s="238">
        <f>+'Proyección Ingreso'!M37-('Proyección Ingreso'!M37*'Aplica Ley 617'!$D37)</f>
        <v>699484699.4608424</v>
      </c>
      <c r="U37" s="238">
        <f>+'Proyección Ingreso'!N37-('Proyección Ingreso'!N37*'Aplica Ley 617'!$D37)</f>
        <v>741453781.4284929</v>
      </c>
    </row>
    <row r="38" spans="1:21" ht="12.75">
      <c r="A38" s="3" t="s">
        <v>49</v>
      </c>
      <c r="B38" s="240">
        <f>+B39+B42+B48+B49+B50</f>
        <v>892256661.1899999</v>
      </c>
      <c r="C38" s="182">
        <f>+C39+C42+C48+C49+C50</f>
        <v>892256661.1899999</v>
      </c>
      <c r="D38" s="224"/>
      <c r="E38" s="182">
        <f>+E39+E42+E48+E49+E50</f>
        <v>0</v>
      </c>
      <c r="F38" s="240">
        <f>+F39+F42+F48+F49+F50</f>
        <v>0</v>
      </c>
      <c r="G38" s="182">
        <f>+G39+G42+G48+G49+G50</f>
        <v>892256661.1899999</v>
      </c>
      <c r="H38" s="241">
        <f>+H39+H42+H48+H49+H50</f>
        <v>892256661.1899999</v>
      </c>
      <c r="J38" s="182">
        <f>+J39+J42+J48+J49+J50</f>
        <v>963637194.0852</v>
      </c>
      <c r="K38" s="182">
        <f aca="true" t="shared" si="8" ref="K38:S38">+K39+K42+K48+K49+K50</f>
        <v>1892618075.2</v>
      </c>
      <c r="L38" s="182">
        <f t="shared" si="8"/>
        <v>1864665258</v>
      </c>
      <c r="M38" s="182">
        <f t="shared" si="8"/>
        <v>1995191826.06</v>
      </c>
      <c r="N38" s="182">
        <f t="shared" si="8"/>
        <v>2124879294.7539</v>
      </c>
      <c r="O38" s="182">
        <f t="shared" si="8"/>
        <v>2252372052.439134</v>
      </c>
      <c r="P38" s="182">
        <f t="shared" si="8"/>
        <v>2387514375.5854826</v>
      </c>
      <c r="Q38" s="182">
        <f t="shared" si="8"/>
        <v>2530765238.1206117</v>
      </c>
      <c r="R38" s="182">
        <f t="shared" si="8"/>
        <v>2682611152.407849</v>
      </c>
      <c r="S38" s="182">
        <f t="shared" si="8"/>
        <v>2843567821.55232</v>
      </c>
      <c r="T38" s="182">
        <f>+T39+T42+T48+T49+T50</f>
        <v>3014181890.845459</v>
      </c>
      <c r="U38" s="182">
        <f>+U39+U42+U48+U49+U50</f>
        <v>3195032804.296187</v>
      </c>
    </row>
    <row r="39" spans="1:21" ht="12.75">
      <c r="A39" s="3" t="s">
        <v>50</v>
      </c>
      <c r="B39" s="240">
        <f>SUM(B40:B41)</f>
        <v>90808752</v>
      </c>
      <c r="C39" s="182">
        <f>SUM(C40:C41)</f>
        <v>90808752</v>
      </c>
      <c r="D39" s="224"/>
      <c r="E39" s="182">
        <f>SUM(E40:E41)</f>
        <v>0</v>
      </c>
      <c r="F39" s="240">
        <f>SUM(F40:F41)</f>
        <v>0</v>
      </c>
      <c r="G39" s="182">
        <f>SUM(G40:G41)</f>
        <v>90808752</v>
      </c>
      <c r="H39" s="241">
        <f>SUM(H40:H41)</f>
        <v>90808752</v>
      </c>
      <c r="J39" s="241">
        <f aca="true" t="shared" si="9" ref="J39:S39">SUM(J40:J41)</f>
        <v>98073452.16000001</v>
      </c>
      <c r="K39" s="241">
        <f t="shared" si="9"/>
        <v>94942099</v>
      </c>
      <c r="L39" s="241">
        <f t="shared" si="9"/>
        <v>114009634</v>
      </c>
      <c r="M39" s="241">
        <f t="shared" si="9"/>
        <v>121990308.38000001</v>
      </c>
      <c r="N39" s="241">
        <f t="shared" si="9"/>
        <v>129919678.4247</v>
      </c>
      <c r="O39" s="241">
        <f t="shared" si="9"/>
        <v>137714859.13018203</v>
      </c>
      <c r="P39" s="241">
        <f t="shared" si="9"/>
        <v>145977750.67799297</v>
      </c>
      <c r="Q39" s="241">
        <f t="shared" si="9"/>
        <v>154736415.71867254</v>
      </c>
      <c r="R39" s="241">
        <f t="shared" si="9"/>
        <v>164020600.6617929</v>
      </c>
      <c r="S39" s="241">
        <f t="shared" si="9"/>
        <v>173861836.70150048</v>
      </c>
      <c r="T39" s="241">
        <f>SUM(T40:T41)</f>
        <v>184293546.9035905</v>
      </c>
      <c r="U39" s="241">
        <f>SUM(U40:U41)</f>
        <v>195351159.71780595</v>
      </c>
    </row>
    <row r="40" spans="1:21" ht="12.75">
      <c r="A40" s="2" t="s">
        <v>206</v>
      </c>
      <c r="B40" s="236">
        <f>+G40-E40</f>
        <v>0</v>
      </c>
      <c r="C40" s="156">
        <f>+H40-F40</f>
        <v>0</v>
      </c>
      <c r="D40" s="222"/>
      <c r="E40" s="156">
        <f>+$D40*G40</f>
        <v>0</v>
      </c>
      <c r="F40" s="236">
        <f>+$D40*H40</f>
        <v>0</v>
      </c>
      <c r="G40" s="156">
        <f>Ingresos!E40</f>
        <v>0</v>
      </c>
      <c r="H40" s="237">
        <f>+Ingresos!G40</f>
        <v>0</v>
      </c>
      <c r="J40" s="238">
        <f>+'Proyección Ingreso'!C40-('Proyección Ingreso'!C40*'Aplica Ley 617'!$D40)</f>
        <v>0</v>
      </c>
      <c r="K40" s="238">
        <f>+'Proyección Ingreso'!D40-('Proyección Ingreso'!D40*'Aplica Ley 617'!$D40)</f>
        <v>0</v>
      </c>
      <c r="L40" s="238">
        <f>+'Proyección Ingreso'!E40-('Proyección Ingreso'!E40*'Aplica Ley 617'!$D40)</f>
        <v>0</v>
      </c>
      <c r="M40" s="238">
        <f>+'Proyección Ingreso'!F40-('Proyección Ingreso'!F40*'Aplica Ley 617'!$D40)</f>
        <v>0</v>
      </c>
      <c r="N40" s="238">
        <f>+'Proyección Ingreso'!G40-('Proyección Ingreso'!G40*'Aplica Ley 617'!$D40)</f>
        <v>0</v>
      </c>
      <c r="O40" s="238">
        <f>+'Proyección Ingreso'!H40-('Proyección Ingreso'!H40*'Aplica Ley 617'!$D40)</f>
        <v>0</v>
      </c>
      <c r="P40" s="238">
        <f>+'Proyección Ingreso'!I40-('Proyección Ingreso'!I40*'Aplica Ley 617'!$D40)</f>
        <v>0</v>
      </c>
      <c r="Q40" s="238">
        <f>+'Proyección Ingreso'!J40-('Proyección Ingreso'!J40*'Aplica Ley 617'!$D40)</f>
        <v>0</v>
      </c>
      <c r="R40" s="238">
        <f>+'Proyección Ingreso'!K40-('Proyección Ingreso'!K40*'Aplica Ley 617'!$D40)</f>
        <v>0</v>
      </c>
      <c r="S40" s="238">
        <f>+'Proyección Ingreso'!L40-('Proyección Ingreso'!L40*'Aplica Ley 617'!$D40)</f>
        <v>0</v>
      </c>
      <c r="T40" s="238">
        <f>+'Proyección Ingreso'!M40-('Proyección Ingreso'!M40*'Aplica Ley 617'!$D40)</f>
        <v>0</v>
      </c>
      <c r="U40" s="238">
        <f>+'Proyección Ingreso'!N40-('Proyección Ingreso'!N40*'Aplica Ley 617'!$D40)</f>
        <v>0</v>
      </c>
    </row>
    <row r="41" spans="1:21" ht="12.75">
      <c r="A41" s="2" t="s">
        <v>207</v>
      </c>
      <c r="B41" s="236">
        <f>+G41-E41</f>
        <v>90808752</v>
      </c>
      <c r="C41" s="156">
        <f>+H41-F41</f>
        <v>90808752</v>
      </c>
      <c r="D41" s="222"/>
      <c r="E41" s="156">
        <f>+$D41*G41</f>
        <v>0</v>
      </c>
      <c r="F41" s="236">
        <f>+$D41*H41</f>
        <v>0</v>
      </c>
      <c r="G41" s="156">
        <f>Ingresos!E41</f>
        <v>90808752</v>
      </c>
      <c r="H41" s="237">
        <f>+Ingresos!G41</f>
        <v>90808752</v>
      </c>
      <c r="J41" s="238">
        <f>+'Proyección Ingreso'!C41-('Proyección Ingreso'!C41*'Aplica Ley 617'!$D41)</f>
        <v>98073452.16000001</v>
      </c>
      <c r="K41" s="238">
        <f>+'Proyección Ingreso'!D41-('Proyección Ingreso'!D41*'Aplica Ley 617'!$D41)</f>
        <v>94942099</v>
      </c>
      <c r="L41" s="238">
        <f>+'Proyección Ingreso'!E41-('Proyección Ingreso'!E41*'Aplica Ley 617'!$D41)</f>
        <v>114009634</v>
      </c>
      <c r="M41" s="238">
        <f>+'Proyección Ingreso'!F41-('Proyección Ingreso'!F41*'Aplica Ley 617'!$D41)</f>
        <v>121990308.38000001</v>
      </c>
      <c r="N41" s="238">
        <f>+'Proyección Ingreso'!G41-('Proyección Ingreso'!G41*'Aplica Ley 617'!$D41)</f>
        <v>129919678.4247</v>
      </c>
      <c r="O41" s="238">
        <f>+'Proyección Ingreso'!H41-('Proyección Ingreso'!H41*'Aplica Ley 617'!$D41)</f>
        <v>137714859.13018203</v>
      </c>
      <c r="P41" s="238">
        <f>+'Proyección Ingreso'!I41-('Proyección Ingreso'!I41*'Aplica Ley 617'!$D41)</f>
        <v>145977750.67799297</v>
      </c>
      <c r="Q41" s="238">
        <f>+'Proyección Ingreso'!J41-('Proyección Ingreso'!J41*'Aplica Ley 617'!$D41)</f>
        <v>154736415.71867254</v>
      </c>
      <c r="R41" s="238">
        <f>+'Proyección Ingreso'!K41-('Proyección Ingreso'!K41*'Aplica Ley 617'!$D41)</f>
        <v>164020600.6617929</v>
      </c>
      <c r="S41" s="238">
        <f>+'Proyección Ingreso'!L41-('Proyección Ingreso'!L41*'Aplica Ley 617'!$D41)</f>
        <v>173861836.70150048</v>
      </c>
      <c r="T41" s="238">
        <f>+'Proyección Ingreso'!M41-('Proyección Ingreso'!M41*'Aplica Ley 617'!$D41)</f>
        <v>184293546.9035905</v>
      </c>
      <c r="U41" s="238">
        <f>+'Proyección Ingreso'!N41-('Proyección Ingreso'!N41*'Aplica Ley 617'!$D41)</f>
        <v>195351159.71780595</v>
      </c>
    </row>
    <row r="42" spans="1:21" ht="12.75">
      <c r="A42" s="3" t="s">
        <v>51</v>
      </c>
      <c r="B42" s="240">
        <f>SUM(B43:B47)</f>
        <v>770337337.1899999</v>
      </c>
      <c r="C42" s="182">
        <f>SUM(C43:C47)</f>
        <v>770337337.1899999</v>
      </c>
      <c r="D42" s="224"/>
      <c r="E42" s="182">
        <f>SUM(E43:E47)</f>
        <v>0</v>
      </c>
      <c r="F42" s="240">
        <f>SUM(F43:F47)</f>
        <v>0</v>
      </c>
      <c r="G42" s="182">
        <f aca="true" t="shared" si="10" ref="G42:S42">SUM(G43:G47)</f>
        <v>770337337.1899999</v>
      </c>
      <c r="H42" s="241">
        <f t="shared" si="10"/>
        <v>770337337.1899999</v>
      </c>
      <c r="I42" s="231"/>
      <c r="J42" s="182">
        <f t="shared" si="10"/>
        <v>831964324.1652</v>
      </c>
      <c r="K42" s="182">
        <f t="shared" si="10"/>
        <v>873699418.2</v>
      </c>
      <c r="L42" s="182">
        <f t="shared" si="10"/>
        <v>785370115</v>
      </c>
      <c r="M42" s="182">
        <f t="shared" si="10"/>
        <v>840346023.05</v>
      </c>
      <c r="N42" s="182">
        <f t="shared" si="10"/>
        <v>894968514.54825</v>
      </c>
      <c r="O42" s="210">
        <f t="shared" si="10"/>
        <v>948666625.4211451</v>
      </c>
      <c r="P42" s="182">
        <f t="shared" si="10"/>
        <v>1005586622.9464138</v>
      </c>
      <c r="Q42" s="210">
        <f t="shared" si="10"/>
        <v>1065921820.3231987</v>
      </c>
      <c r="R42" s="182">
        <f t="shared" si="10"/>
        <v>1129877129.5425906</v>
      </c>
      <c r="S42" s="182">
        <f t="shared" si="10"/>
        <v>1197669757.315146</v>
      </c>
      <c r="T42" s="182">
        <f>SUM(T43:T47)</f>
        <v>1269529942.7540548</v>
      </c>
      <c r="U42" s="182">
        <f>SUM(U43:U47)</f>
        <v>1345701739.3192983</v>
      </c>
    </row>
    <row r="43" spans="1:21" ht="12.75">
      <c r="A43" s="2" t="s">
        <v>208</v>
      </c>
      <c r="B43" s="236">
        <f aca="true" t="shared" si="11" ref="B43:C63">+G43-E43</f>
        <v>708452685.39</v>
      </c>
      <c r="C43" s="156">
        <f t="shared" si="11"/>
        <v>708452685.39</v>
      </c>
      <c r="D43" s="222"/>
      <c r="E43" s="156">
        <f aca="true" t="shared" si="12" ref="E43:F50">+$D43*G43</f>
        <v>0</v>
      </c>
      <c r="F43" s="236">
        <f t="shared" si="12"/>
        <v>0</v>
      </c>
      <c r="G43" s="156">
        <f>Ingresos!E43</f>
        <v>708452685.39</v>
      </c>
      <c r="H43" s="237">
        <f>+Ingresos!G43</f>
        <v>708452685.39</v>
      </c>
      <c r="J43" s="238">
        <f>+'Proyección Ingreso'!C43-('Proyección Ingreso'!C43*'Aplica Ley 617'!$D43)</f>
        <v>765128900.2212</v>
      </c>
      <c r="K43" s="238">
        <f>+'Proyección Ingreso'!D43-('Proyección Ingreso'!D43*'Aplica Ley 617'!$D43)</f>
        <v>783099500.2</v>
      </c>
      <c r="L43" s="238">
        <f>+'Proyección Ingreso'!E43-('Proyección Ingreso'!E43*'Aplica Ley 617'!$D43)</f>
        <v>737716116</v>
      </c>
      <c r="M43" s="238">
        <f>+'Proyección Ingreso'!F43-('Proyección Ingreso'!F43*'Aplica Ley 617'!$D43)</f>
        <v>789356244.12</v>
      </c>
      <c r="N43" s="238">
        <f>+'Proyección Ingreso'!G43-('Proyección Ingreso'!G43*'Aplica Ley 617'!$D43)</f>
        <v>840664399.9878</v>
      </c>
      <c r="O43" s="238">
        <f>+'Proyección Ingreso'!H43-('Proyección Ingreso'!H43*'Aplica Ley 617'!$D43)</f>
        <v>891104263.987068</v>
      </c>
      <c r="P43" s="238">
        <f>+'Proyección Ingreso'!I43-('Proyección Ingreso'!I43*'Aplica Ley 617'!$D43)</f>
        <v>944570519.8262922</v>
      </c>
      <c r="Q43" s="238">
        <f>+'Proyección Ingreso'!J43-('Proyección Ingreso'!J43*'Aplica Ley 617'!$D43)</f>
        <v>1001244751.0158697</v>
      </c>
      <c r="R43" s="238">
        <f>+'Proyección Ingreso'!K43-('Proyección Ingreso'!K43*'Aplica Ley 617'!$D43)</f>
        <v>1061319436.0768219</v>
      </c>
      <c r="S43" s="238">
        <f>+'Proyección Ingreso'!L43-('Proyección Ingreso'!L43*'Aplica Ley 617'!$D43)</f>
        <v>1124998602.2414312</v>
      </c>
      <c r="T43" s="238">
        <f>+'Proyección Ingreso'!M43-('Proyección Ingreso'!M43*'Aplica Ley 617'!$D43)</f>
        <v>1192498518.3759172</v>
      </c>
      <c r="U43" s="238">
        <f>+'Proyección Ingreso'!N43-('Proyección Ingreso'!N43*'Aplica Ley 617'!$D43)</f>
        <v>1264048429.4784722</v>
      </c>
    </row>
    <row r="44" spans="1:21" ht="12.75">
      <c r="A44" s="2" t="s">
        <v>209</v>
      </c>
      <c r="B44" s="236">
        <f t="shared" si="11"/>
        <v>0</v>
      </c>
      <c r="C44" s="156">
        <f t="shared" si="11"/>
        <v>0</v>
      </c>
      <c r="D44" s="222"/>
      <c r="E44" s="156">
        <f t="shared" si="12"/>
        <v>0</v>
      </c>
      <c r="F44" s="236">
        <f t="shared" si="12"/>
        <v>0</v>
      </c>
      <c r="G44" s="156">
        <f>Ingresos!E44</f>
        <v>0</v>
      </c>
      <c r="H44" s="237">
        <f>+Ingresos!G44</f>
        <v>0</v>
      </c>
      <c r="J44" s="238">
        <f>+'Proyección Ingreso'!C44-('Proyección Ingreso'!C44*'Aplica Ley 617'!$D44)</f>
        <v>0</v>
      </c>
      <c r="K44" s="238">
        <f>+'Proyección Ingreso'!D44-('Proyección Ingreso'!D44*'Aplica Ley 617'!$D44)</f>
        <v>0</v>
      </c>
      <c r="L44" s="238">
        <f>+'Proyección Ingreso'!E44-('Proyección Ingreso'!E44*'Aplica Ley 617'!$D44)</f>
        <v>0</v>
      </c>
      <c r="M44" s="238">
        <f>+'Proyección Ingreso'!F44-('Proyección Ingreso'!F44*'Aplica Ley 617'!$D44)</f>
        <v>0</v>
      </c>
      <c r="N44" s="238">
        <f>+'Proyección Ingreso'!G44-('Proyección Ingreso'!G44*'Aplica Ley 617'!$D44)</f>
        <v>0</v>
      </c>
      <c r="O44" s="238">
        <f>+'Proyección Ingreso'!H44-('Proyección Ingreso'!H44*'Aplica Ley 617'!$D44)</f>
        <v>0</v>
      </c>
      <c r="P44" s="238">
        <f>+'Proyección Ingreso'!I44-('Proyección Ingreso'!I44*'Aplica Ley 617'!$D44)</f>
        <v>0</v>
      </c>
      <c r="Q44" s="238">
        <f>+'Proyección Ingreso'!J44-('Proyección Ingreso'!J44*'Aplica Ley 617'!$D44)</f>
        <v>0</v>
      </c>
      <c r="R44" s="238">
        <f>+'Proyección Ingreso'!K44-('Proyección Ingreso'!K44*'Aplica Ley 617'!$D44)</f>
        <v>0</v>
      </c>
      <c r="S44" s="238">
        <f>+'Proyección Ingreso'!L44-('Proyección Ingreso'!L44*'Aplica Ley 617'!$D44)</f>
        <v>0</v>
      </c>
      <c r="T44" s="238">
        <f>+'Proyección Ingreso'!M44-('Proyección Ingreso'!M44*'Aplica Ley 617'!$D44)</f>
        <v>0</v>
      </c>
      <c r="U44" s="238">
        <f>+'Proyección Ingreso'!N44-('Proyección Ingreso'!N44*'Aplica Ley 617'!$D44)</f>
        <v>0</v>
      </c>
    </row>
    <row r="45" spans="1:21" ht="12.75">
      <c r="A45" s="2" t="s">
        <v>210</v>
      </c>
      <c r="B45" s="236">
        <f t="shared" si="11"/>
        <v>61884651.8</v>
      </c>
      <c r="C45" s="156">
        <f t="shared" si="11"/>
        <v>61884651.8</v>
      </c>
      <c r="D45" s="222"/>
      <c r="E45" s="156">
        <f t="shared" si="12"/>
        <v>0</v>
      </c>
      <c r="F45" s="236">
        <f t="shared" si="12"/>
        <v>0</v>
      </c>
      <c r="G45" s="156">
        <f>Ingresos!E45</f>
        <v>61884651.8</v>
      </c>
      <c r="H45" s="237">
        <f>+Ingresos!G45</f>
        <v>61884651.8</v>
      </c>
      <c r="J45" s="238">
        <f>+'Proyección Ingreso'!C45-('Proyección Ingreso'!C45*'Aplica Ley 617'!$D45)</f>
        <v>66835423.944</v>
      </c>
      <c r="K45" s="238">
        <f>+'Proyección Ingreso'!D45-('Proyección Ingreso'!D45*'Aplica Ley 617'!$D45)</f>
        <v>90599918</v>
      </c>
      <c r="L45" s="238">
        <f>+'Proyección Ingreso'!E45-('Proyección Ingreso'!E45*'Aplica Ley 617'!$D45)</f>
        <v>47653999</v>
      </c>
      <c r="M45" s="238">
        <f>+'Proyección Ingreso'!F45-('Proyección Ingreso'!F45*'Aplica Ley 617'!$D45)</f>
        <v>50989778.93</v>
      </c>
      <c r="N45" s="238">
        <f>+'Proyección Ingreso'!G45-('Proyección Ingreso'!G45*'Aplica Ley 617'!$D45)</f>
        <v>54304114.560449995</v>
      </c>
      <c r="O45" s="238">
        <f>+'Proyección Ingreso'!H45-('Proyección Ingreso'!H45*'Aplica Ley 617'!$D45)</f>
        <v>57562361.434076995</v>
      </c>
      <c r="P45" s="238">
        <f>+'Proyección Ingreso'!I45-('Proyección Ingreso'!I45*'Aplica Ley 617'!$D45)</f>
        <v>61016103.12012162</v>
      </c>
      <c r="Q45" s="238">
        <f>+'Proyección Ingreso'!J45-('Proyección Ingreso'!J45*'Aplica Ley 617'!$D45)</f>
        <v>64677069.307328925</v>
      </c>
      <c r="R45" s="238">
        <f>+'Proyección Ingreso'!K45-('Proyección Ingreso'!K45*'Aplica Ley 617'!$D45)</f>
        <v>68557693.46576867</v>
      </c>
      <c r="S45" s="238">
        <f>+'Proyección Ingreso'!L45-('Proyección Ingreso'!L45*'Aplica Ley 617'!$D45)</f>
        <v>72671155.0737148</v>
      </c>
      <c r="T45" s="238">
        <f>+'Proyección Ingreso'!M45-('Proyección Ingreso'!M45*'Aplica Ley 617'!$D45)</f>
        <v>77031424.37813768</v>
      </c>
      <c r="U45" s="238">
        <f>+'Proyección Ingreso'!N45-('Proyección Ingreso'!N45*'Aplica Ley 617'!$D45)</f>
        <v>81653309.84082595</v>
      </c>
    </row>
    <row r="46" spans="1:21" ht="12.75">
      <c r="A46" s="2" t="s">
        <v>211</v>
      </c>
      <c r="B46" s="236">
        <f t="shared" si="11"/>
        <v>0</v>
      </c>
      <c r="C46" s="156">
        <f t="shared" si="11"/>
        <v>0</v>
      </c>
      <c r="D46" s="222"/>
      <c r="E46" s="156">
        <f t="shared" si="12"/>
        <v>0</v>
      </c>
      <c r="F46" s="236">
        <f t="shared" si="12"/>
        <v>0</v>
      </c>
      <c r="G46" s="156">
        <f>Ingresos!E46</f>
        <v>0</v>
      </c>
      <c r="H46" s="237">
        <f>+Ingresos!G46</f>
        <v>0</v>
      </c>
      <c r="J46" s="238">
        <f>+'Proyección Ingreso'!C46-('Proyección Ingreso'!C46*'Aplica Ley 617'!$D46)</f>
        <v>0</v>
      </c>
      <c r="K46" s="238">
        <f>+'Proyección Ingreso'!D46-('Proyección Ingreso'!D46*'Aplica Ley 617'!$D46)</f>
        <v>0</v>
      </c>
      <c r="L46" s="238">
        <f>+'Proyección Ingreso'!E46-('Proyección Ingreso'!E46*'Aplica Ley 617'!$D46)</f>
        <v>0</v>
      </c>
      <c r="M46" s="238">
        <f>+'Proyección Ingreso'!F46-('Proyección Ingreso'!F46*'Aplica Ley 617'!$D46)</f>
        <v>0</v>
      </c>
      <c r="N46" s="238">
        <f>+'Proyección Ingreso'!G46-('Proyección Ingreso'!G46*'Aplica Ley 617'!$D46)</f>
        <v>0</v>
      </c>
      <c r="O46" s="238">
        <f>+'Proyección Ingreso'!H46-('Proyección Ingreso'!H46*'Aplica Ley 617'!$D46)</f>
        <v>0</v>
      </c>
      <c r="P46" s="238">
        <f>+'Proyección Ingreso'!I46-('Proyección Ingreso'!I46*'Aplica Ley 617'!$D46)</f>
        <v>0</v>
      </c>
      <c r="Q46" s="238">
        <f>+'Proyección Ingreso'!J46-('Proyección Ingreso'!J46*'Aplica Ley 617'!$D46)</f>
        <v>0</v>
      </c>
      <c r="R46" s="238">
        <f>+'Proyección Ingreso'!K46-('Proyección Ingreso'!K46*'Aplica Ley 617'!$D46)</f>
        <v>0</v>
      </c>
      <c r="S46" s="238">
        <f>+'Proyección Ingreso'!L46-('Proyección Ingreso'!L46*'Aplica Ley 617'!$D46)</f>
        <v>0</v>
      </c>
      <c r="T46" s="238">
        <f>+'Proyección Ingreso'!M46-('Proyección Ingreso'!M46*'Aplica Ley 617'!$D46)</f>
        <v>0</v>
      </c>
      <c r="U46" s="238">
        <f>+'Proyección Ingreso'!N46-('Proyección Ingreso'!N46*'Aplica Ley 617'!$D46)</f>
        <v>0</v>
      </c>
    </row>
    <row r="47" spans="1:21" ht="12.75">
      <c r="A47" s="2" t="s">
        <v>212</v>
      </c>
      <c r="B47" s="236">
        <f t="shared" si="11"/>
        <v>0</v>
      </c>
      <c r="C47" s="156">
        <f t="shared" si="11"/>
        <v>0</v>
      </c>
      <c r="D47" s="222"/>
      <c r="E47" s="156">
        <f t="shared" si="12"/>
        <v>0</v>
      </c>
      <c r="F47" s="236">
        <f t="shared" si="12"/>
        <v>0</v>
      </c>
      <c r="G47" s="156">
        <f>Ingresos!E47</f>
        <v>0</v>
      </c>
      <c r="H47" s="237">
        <f>+Ingresos!G47</f>
        <v>0</v>
      </c>
      <c r="J47" s="238">
        <f>+'Proyección Ingreso'!C47-('Proyección Ingreso'!C47*'Aplica Ley 617'!$D47)</f>
        <v>0</v>
      </c>
      <c r="K47" s="238">
        <f>+'Proyección Ingreso'!D47-('Proyección Ingreso'!D47*'Aplica Ley 617'!$D47)</f>
        <v>0</v>
      </c>
      <c r="L47" s="238">
        <f>+'Proyección Ingreso'!E47-('Proyección Ingreso'!E47*'Aplica Ley 617'!$D47)</f>
        <v>0</v>
      </c>
      <c r="M47" s="238">
        <f>+'Proyección Ingreso'!F47-('Proyección Ingreso'!F47*'Aplica Ley 617'!$D47)</f>
        <v>0</v>
      </c>
      <c r="N47" s="238">
        <f>+'Proyección Ingreso'!G47-('Proyección Ingreso'!G47*'Aplica Ley 617'!$D47)</f>
        <v>0</v>
      </c>
      <c r="O47" s="238">
        <f>+'Proyección Ingreso'!H47-('Proyección Ingreso'!H47*'Aplica Ley 617'!$D47)</f>
        <v>0</v>
      </c>
      <c r="P47" s="238">
        <f>+'Proyección Ingreso'!I47-('Proyección Ingreso'!I47*'Aplica Ley 617'!$D47)</f>
        <v>0</v>
      </c>
      <c r="Q47" s="238">
        <f>+'Proyección Ingreso'!J47-('Proyección Ingreso'!J47*'Aplica Ley 617'!$D47)</f>
        <v>0</v>
      </c>
      <c r="R47" s="238">
        <f>+'Proyección Ingreso'!K47-('Proyección Ingreso'!K47*'Aplica Ley 617'!$D47)</f>
        <v>0</v>
      </c>
      <c r="S47" s="238">
        <f>+'Proyección Ingreso'!L47-('Proyección Ingreso'!L47*'Aplica Ley 617'!$D47)</f>
        <v>0</v>
      </c>
      <c r="T47" s="238">
        <f>+'Proyección Ingreso'!M47-('Proyección Ingreso'!M47*'Aplica Ley 617'!$D47)</f>
        <v>0</v>
      </c>
      <c r="U47" s="238">
        <f>+'Proyección Ingreso'!N47-('Proyección Ingreso'!N47*'Aplica Ley 617'!$D47)</f>
        <v>0</v>
      </c>
    </row>
    <row r="48" spans="1:21" ht="12.75">
      <c r="A48" s="3" t="s">
        <v>213</v>
      </c>
      <c r="B48" s="236">
        <f t="shared" si="11"/>
        <v>0</v>
      </c>
      <c r="C48" s="156">
        <f t="shared" si="11"/>
        <v>0</v>
      </c>
      <c r="D48" s="222"/>
      <c r="E48" s="156">
        <f t="shared" si="12"/>
        <v>0</v>
      </c>
      <c r="F48" s="236">
        <f t="shared" si="12"/>
        <v>0</v>
      </c>
      <c r="G48" s="156">
        <f>Ingresos!E48</f>
        <v>0</v>
      </c>
      <c r="H48" s="237">
        <f>+Ingresos!G48</f>
        <v>0</v>
      </c>
      <c r="J48" s="238">
        <f>+'Proyección Ingreso'!C48-('Proyección Ingreso'!C48*'Aplica Ley 617'!$D48)</f>
        <v>0</v>
      </c>
      <c r="K48" s="238">
        <f>+'Proyección Ingreso'!D48-('Proyección Ingreso'!D48*'Aplica Ley 617'!$D48)</f>
        <v>882246588</v>
      </c>
      <c r="L48" s="238">
        <f>+'Proyección Ingreso'!E48-('Proyección Ingreso'!E48*'Aplica Ley 617'!$D48)</f>
        <v>944305190</v>
      </c>
      <c r="M48" s="238">
        <f>+'Proyección Ingreso'!F48-('Proyección Ingreso'!F48*'Aplica Ley 617'!$D48)</f>
        <v>1010406553.3000001</v>
      </c>
      <c r="N48" s="238">
        <f>+'Proyección Ingreso'!G48-('Proyección Ingreso'!G48*'Aplica Ley 617'!$D48)</f>
        <v>1076082979.2645001</v>
      </c>
      <c r="O48" s="238">
        <f>+'Proyección Ingreso'!H48-('Proyección Ingreso'!H48*'Aplica Ley 617'!$D48)</f>
        <v>1140647958.0203702</v>
      </c>
      <c r="P48" s="238">
        <f>+'Proyección Ingreso'!I48-('Proyección Ingreso'!I48*'Aplica Ley 617'!$D48)</f>
        <v>1209086835.5015926</v>
      </c>
      <c r="Q48" s="238">
        <f>+'Proyección Ingreso'!J48-('Proyección Ingreso'!J48*'Aplica Ley 617'!$D48)</f>
        <v>1281632045.6316884</v>
      </c>
      <c r="R48" s="238">
        <f>+'Proyección Ingreso'!K48-('Proyección Ingreso'!K48*'Aplica Ley 617'!$D48)</f>
        <v>1358529968.3695898</v>
      </c>
      <c r="S48" s="238">
        <f>+'Proyección Ingreso'!L48-('Proyección Ingreso'!L48*'Aplica Ley 617'!$D48)</f>
        <v>1440041766.4717653</v>
      </c>
      <c r="T48" s="238">
        <f>+'Proyección Ingreso'!M48-('Proyección Ingreso'!M48*'Aplica Ley 617'!$D48)</f>
        <v>1526444272.4600713</v>
      </c>
      <c r="U48" s="238">
        <f>+'Proyección Ingreso'!N48-('Proyección Ingreso'!N48*'Aplica Ley 617'!$D48)</f>
        <v>1618030928.8076756</v>
      </c>
    </row>
    <row r="49" spans="1:21" ht="12.75">
      <c r="A49" s="3" t="s">
        <v>230</v>
      </c>
      <c r="B49" s="236">
        <f t="shared" si="11"/>
        <v>31110572</v>
      </c>
      <c r="C49" s="156">
        <f t="shared" si="11"/>
        <v>31110572</v>
      </c>
      <c r="D49" s="222"/>
      <c r="E49" s="156">
        <f t="shared" si="12"/>
        <v>0</v>
      </c>
      <c r="F49" s="236">
        <f t="shared" si="12"/>
        <v>0</v>
      </c>
      <c r="G49" s="156">
        <f>Ingresos!E49</f>
        <v>31110572</v>
      </c>
      <c r="H49" s="237">
        <f>+Ingresos!G49</f>
        <v>31110572</v>
      </c>
      <c r="J49" s="238">
        <f>+'Proyección Ingreso'!C49-('Proyección Ingreso'!C49*'Aplica Ley 617'!$D49)</f>
        <v>33599417.760000005</v>
      </c>
      <c r="K49" s="238">
        <f>+'Proyección Ingreso'!D49-('Proyección Ingreso'!D49*'Aplica Ley 617'!$D49)</f>
        <v>41729970</v>
      </c>
      <c r="L49" s="238">
        <f>+'Proyección Ingreso'!E49-('Proyección Ingreso'!E49*'Aplica Ley 617'!$D49)</f>
        <v>20980319</v>
      </c>
      <c r="M49" s="238">
        <f>+'Proyección Ingreso'!F49-('Proyección Ingreso'!F49*'Aplica Ley 617'!$D49)</f>
        <v>22448941.330000002</v>
      </c>
      <c r="N49" s="238">
        <f>+'Proyección Ingreso'!G49-('Proyección Ingreso'!G49*'Aplica Ley 617'!$D49)</f>
        <v>23908122.51645</v>
      </c>
      <c r="O49" s="238">
        <f>+'Proyección Ingreso'!H49-('Proyección Ingreso'!H49*'Aplica Ley 617'!$D49)</f>
        <v>25342609.867437</v>
      </c>
      <c r="P49" s="238">
        <f>+'Proyección Ingreso'!I49-('Proyección Ingreso'!I49*'Aplica Ley 617'!$D49)</f>
        <v>26863166.45948322</v>
      </c>
      <c r="Q49" s="238">
        <f>+'Proyección Ingreso'!J49-('Proyección Ingreso'!J49*'Aplica Ley 617'!$D49)</f>
        <v>28474956.447052214</v>
      </c>
      <c r="R49" s="238">
        <f>+'Proyección Ingreso'!K49-('Proyección Ingreso'!K49*'Aplica Ley 617'!$D49)</f>
        <v>30183453.833875347</v>
      </c>
      <c r="S49" s="238">
        <f>+'Proyección Ingreso'!L49-('Proyección Ingreso'!L49*'Aplica Ley 617'!$D49)</f>
        <v>31994461.06390787</v>
      </c>
      <c r="T49" s="238">
        <f>+'Proyección Ingreso'!M49-('Proyección Ingreso'!M49*'Aplica Ley 617'!$D49)</f>
        <v>33914128.727742344</v>
      </c>
      <c r="U49" s="238">
        <f>+'Proyección Ingreso'!N49-('Proyección Ingreso'!N49*'Aplica Ley 617'!$D49)</f>
        <v>35948976.45140689</v>
      </c>
    </row>
    <row r="50" spans="1:21" ht="12.75">
      <c r="A50" s="3" t="s">
        <v>231</v>
      </c>
      <c r="B50" s="236">
        <f t="shared" si="11"/>
        <v>0</v>
      </c>
      <c r="C50" s="156">
        <f t="shared" si="11"/>
        <v>0</v>
      </c>
      <c r="D50" s="222"/>
      <c r="E50" s="156">
        <f t="shared" si="12"/>
        <v>0</v>
      </c>
      <c r="F50" s="236">
        <f t="shared" si="12"/>
        <v>0</v>
      </c>
      <c r="G50" s="156">
        <f>Ingresos!E50</f>
        <v>0</v>
      </c>
      <c r="H50" s="237">
        <f>+Ingresos!G50</f>
        <v>0</v>
      </c>
      <c r="J50" s="238">
        <f>+'Proyección Ingreso'!C50-('Proyección Ingreso'!C50*'Aplica Ley 617'!$D50)</f>
        <v>0</v>
      </c>
      <c r="K50" s="238">
        <f>+'Proyección Ingreso'!D50-('Proyección Ingreso'!D50*'Aplica Ley 617'!$D50)</f>
        <v>0</v>
      </c>
      <c r="L50" s="238">
        <f>+'Proyección Ingreso'!E50-('Proyección Ingreso'!E50*'Aplica Ley 617'!$D50)</f>
        <v>0</v>
      </c>
      <c r="M50" s="238">
        <f>+'Proyección Ingreso'!F50-('Proyección Ingreso'!F50*'Aplica Ley 617'!$D50)</f>
        <v>0</v>
      </c>
      <c r="N50" s="238">
        <f>+'Proyección Ingreso'!G50-('Proyección Ingreso'!G50*'Aplica Ley 617'!$D50)</f>
        <v>0</v>
      </c>
      <c r="O50" s="238">
        <f>+'Proyección Ingreso'!H50-('Proyección Ingreso'!H50*'Aplica Ley 617'!$D50)</f>
        <v>0</v>
      </c>
      <c r="P50" s="238">
        <f>+'Proyección Ingreso'!I50-('Proyección Ingreso'!I50*'Aplica Ley 617'!$D50)</f>
        <v>0</v>
      </c>
      <c r="Q50" s="238">
        <f>+'Proyección Ingreso'!J50-('Proyección Ingreso'!J50*'Aplica Ley 617'!$D50)</f>
        <v>0</v>
      </c>
      <c r="R50" s="238">
        <f>+'Proyección Ingreso'!K50-('Proyección Ingreso'!K50*'Aplica Ley 617'!$D50)</f>
        <v>0</v>
      </c>
      <c r="S50" s="238">
        <f>+'Proyección Ingreso'!L50-('Proyección Ingreso'!L50*'Aplica Ley 617'!$D50)</f>
        <v>0</v>
      </c>
      <c r="T50" s="238">
        <f>+'Proyección Ingreso'!M50-('Proyección Ingreso'!M50*'Aplica Ley 617'!$D50)</f>
        <v>0</v>
      </c>
      <c r="U50" s="238">
        <f>+'Proyección Ingreso'!N50-('Proyección Ingreso'!N50*'Aplica Ley 617'!$D50)</f>
        <v>0</v>
      </c>
    </row>
    <row r="51" spans="1:21" ht="12.75">
      <c r="A51" s="3" t="s">
        <v>214</v>
      </c>
      <c r="B51" s="240">
        <f>SUM(B52:B54)</f>
        <v>450657265.52</v>
      </c>
      <c r="C51" s="182">
        <f>SUM(C52:C54)</f>
        <v>341544753.89</v>
      </c>
      <c r="D51" s="225"/>
      <c r="E51" s="182">
        <f>SUM(E52:E54)</f>
        <v>0</v>
      </c>
      <c r="F51" s="240">
        <f>SUM(F52:F54)</f>
        <v>0</v>
      </c>
      <c r="G51" s="182">
        <f aca="true" t="shared" si="13" ref="G51:S51">SUM(G52:G54)</f>
        <v>450657265.52</v>
      </c>
      <c r="H51" s="241">
        <f t="shared" si="13"/>
        <v>341544753.89</v>
      </c>
      <c r="I51" s="231"/>
      <c r="J51" s="182">
        <f t="shared" si="13"/>
        <v>360329715.35395</v>
      </c>
      <c r="K51" s="182">
        <f t="shared" si="13"/>
        <v>521669320.36</v>
      </c>
      <c r="L51" s="182">
        <f t="shared" si="13"/>
        <v>558186172.7852</v>
      </c>
      <c r="M51" s="182">
        <f t="shared" si="13"/>
        <v>597259204.8801641</v>
      </c>
      <c r="N51" s="182">
        <f t="shared" si="13"/>
        <v>636081053.1973747</v>
      </c>
      <c r="O51" s="210">
        <f t="shared" si="13"/>
        <v>674245916.3892173</v>
      </c>
      <c r="P51" s="182">
        <f t="shared" si="13"/>
        <v>714700671.3725704</v>
      </c>
      <c r="Q51" s="210">
        <f t="shared" si="13"/>
        <v>757582711.6549246</v>
      </c>
      <c r="R51" s="182">
        <f t="shared" si="13"/>
        <v>803037674.3542202</v>
      </c>
      <c r="S51" s="182">
        <f t="shared" si="13"/>
        <v>851219934.8154734</v>
      </c>
      <c r="T51" s="182">
        <f>SUM(T52:T54)</f>
        <v>902293130.9044018</v>
      </c>
      <c r="U51" s="182">
        <f>SUM(U52:U54)</f>
        <v>956430718.758666</v>
      </c>
    </row>
    <row r="52" spans="1:21" ht="12.75">
      <c r="A52" s="2" t="s">
        <v>52</v>
      </c>
      <c r="B52" s="236">
        <f t="shared" si="11"/>
        <v>37623028</v>
      </c>
      <c r="C52" s="156">
        <f>+H52-F52</f>
        <v>40481165.39</v>
      </c>
      <c r="D52" s="222"/>
      <c r="E52" s="156">
        <f aca="true" t="shared" si="14" ref="E52:F54">+$D52*G52</f>
        <v>0</v>
      </c>
      <c r="F52" s="236">
        <f t="shared" si="14"/>
        <v>0</v>
      </c>
      <c r="G52" s="156">
        <f>Ingresos!E52</f>
        <v>37623028</v>
      </c>
      <c r="H52" s="237">
        <f>+Ingresos!G52</f>
        <v>40481165.39</v>
      </c>
      <c r="J52" s="238">
        <f>+'Proyección Ingreso'!C52-('Proyección Ingreso'!C52*'Aplica Ley 617'!$D52)</f>
        <v>42707629.48645</v>
      </c>
      <c r="K52" s="238">
        <f>+'Proyección Ingreso'!D52-('Proyección Ingreso'!D52*'Aplica Ley 617'!$D52)</f>
        <v>16503454.26</v>
      </c>
      <c r="L52" s="238">
        <f>+'Proyección Ingreso'!E52-('Proyección Ingreso'!E52*'Aplica Ley 617'!$D52)</f>
        <v>17658696.0582</v>
      </c>
      <c r="M52" s="238">
        <f>+'Proyección Ingreso'!F52-('Proyección Ingreso'!F52*'Aplica Ley 617'!$D52)</f>
        <v>18894804.782274004</v>
      </c>
      <c r="N52" s="238">
        <f>+'Proyección Ingreso'!G52-('Proyección Ingreso'!G52*'Aplica Ley 617'!$D52)</f>
        <v>20122967.09312181</v>
      </c>
      <c r="O52" s="238">
        <f>+'Proyección Ingreso'!H52-('Proyección Ingreso'!H52*'Aplica Ley 617'!$D52)</f>
        <v>21330345.11870912</v>
      </c>
      <c r="P52" s="238">
        <f>+'Proyección Ingreso'!I52-('Proyección Ingreso'!I52*'Aplica Ley 617'!$D52)</f>
        <v>22610165.82583167</v>
      </c>
      <c r="Q52" s="238">
        <f>+'Proyección Ingreso'!J52-('Proyección Ingreso'!J52*'Aplica Ley 617'!$D52)</f>
        <v>23966775.775381573</v>
      </c>
      <c r="R52" s="238">
        <f>+'Proyección Ingreso'!K52-('Proyección Ingreso'!K52*'Aplica Ley 617'!$D52)</f>
        <v>25404782.32190447</v>
      </c>
      <c r="S52" s="238">
        <f>+'Proyección Ingreso'!L52-('Proyección Ingreso'!L52*'Aplica Ley 617'!$D52)</f>
        <v>26929069.261218738</v>
      </c>
      <c r="T52" s="238">
        <f>+'Proyección Ingreso'!M52-('Proyección Ingreso'!M52*'Aplica Ley 617'!$D52)</f>
        <v>28544813.41689186</v>
      </c>
      <c r="U52" s="238">
        <f>+'Proyección Ingreso'!N52-('Proyección Ingreso'!N52*'Aplica Ley 617'!$D52)</f>
        <v>30257502.221905377</v>
      </c>
    </row>
    <row r="53" spans="1:21" ht="12.75">
      <c r="A53" s="2" t="s">
        <v>53</v>
      </c>
      <c r="B53" s="236">
        <f t="shared" si="11"/>
        <v>399932235.2</v>
      </c>
      <c r="C53" s="156">
        <f>+H53-F53</f>
        <v>301063588.5</v>
      </c>
      <c r="D53" s="222"/>
      <c r="E53" s="156">
        <f t="shared" si="14"/>
        <v>0</v>
      </c>
      <c r="F53" s="236">
        <f t="shared" si="14"/>
        <v>0</v>
      </c>
      <c r="G53" s="156">
        <f>Ingresos!E53</f>
        <v>399932235.2</v>
      </c>
      <c r="H53" s="237">
        <f>+Ingresos!G53</f>
        <v>301063588.5</v>
      </c>
      <c r="J53" s="238">
        <f>+'Proyección Ingreso'!C53-('Proyección Ingreso'!C53*'Aplica Ley 617'!$D53)</f>
        <v>317622085.8675</v>
      </c>
      <c r="K53" s="238">
        <f>+'Proyección Ingreso'!D53-('Proyección Ingreso'!D53*'Aplica Ley 617'!$D53)</f>
        <v>494483145</v>
      </c>
      <c r="L53" s="238">
        <f>+'Proyección Ingreso'!E53-('Proyección Ingreso'!E53*'Aplica Ley 617'!$D53)</f>
        <v>529096965.15000004</v>
      </c>
      <c r="M53" s="238">
        <f>+'Proyección Ingreso'!F53-('Proyección Ingreso'!F53*'Aplica Ley 617'!$D53)</f>
        <v>566133752.7105001</v>
      </c>
      <c r="N53" s="238">
        <f>+'Proyección Ingreso'!G53-('Proyección Ingreso'!G53*'Aplica Ley 617'!$D53)</f>
        <v>602932446.6366826</v>
      </c>
      <c r="O53" s="238">
        <f>+'Proyección Ingreso'!H53-('Proyección Ingreso'!H53*'Aplica Ley 617'!$D53)</f>
        <v>639108393.4348836</v>
      </c>
      <c r="P53" s="238">
        <f>+'Proyección Ingreso'!I53-('Proyección Ingreso'!I53*'Aplica Ley 617'!$D53)</f>
        <v>677454897.0409766</v>
      </c>
      <c r="Q53" s="238">
        <f>+'Proyección Ingreso'!J53-('Proyección Ingreso'!J53*'Aplica Ley 617'!$D53)</f>
        <v>718102190.8634353</v>
      </c>
      <c r="R53" s="238">
        <f>+'Proyección Ingreso'!K53-('Proyección Ingreso'!K53*'Aplica Ley 617'!$D53)</f>
        <v>761188322.3152415</v>
      </c>
      <c r="S53" s="238">
        <f>+'Proyección Ingreso'!L53-('Proyección Ingreso'!L53*'Aplica Ley 617'!$D53)</f>
        <v>806859621.654156</v>
      </c>
      <c r="T53" s="238">
        <f>+'Proyección Ingreso'!M53-('Proyección Ingreso'!M53*'Aplica Ley 617'!$D53)</f>
        <v>855271198.9534054</v>
      </c>
      <c r="U53" s="238">
        <f>+'Proyección Ingreso'!N53-('Proyección Ingreso'!N53*'Aplica Ley 617'!$D53)</f>
        <v>906587470.8906097</v>
      </c>
    </row>
    <row r="54" spans="1:21" ht="12.75">
      <c r="A54" s="2" t="s">
        <v>54</v>
      </c>
      <c r="B54" s="236">
        <f t="shared" si="11"/>
        <v>13102002.32</v>
      </c>
      <c r="C54" s="156">
        <f>+H54-F54</f>
        <v>0</v>
      </c>
      <c r="D54" s="222"/>
      <c r="E54" s="156">
        <f t="shared" si="14"/>
        <v>0</v>
      </c>
      <c r="F54" s="236">
        <f t="shared" si="14"/>
        <v>0</v>
      </c>
      <c r="G54" s="156">
        <f>Ingresos!E54</f>
        <v>13102002.32</v>
      </c>
      <c r="H54" s="237">
        <f>+Ingresos!G54</f>
        <v>0</v>
      </c>
      <c r="J54" s="238">
        <f>+'Proyección Ingreso'!C54-('Proyección Ingreso'!C54*'Aplica Ley 617'!$D54)</f>
        <v>0</v>
      </c>
      <c r="K54" s="238">
        <f>+'Proyección Ingreso'!D54-('Proyección Ingreso'!D54*'Aplica Ley 617'!$D54)</f>
        <v>10682721.1</v>
      </c>
      <c r="L54" s="238">
        <f>+'Proyección Ingreso'!E54-('Proyección Ingreso'!E54*'Aplica Ley 617'!$D54)</f>
        <v>11430511.577</v>
      </c>
      <c r="M54" s="238">
        <f>+'Proyección Ingreso'!F54-('Proyección Ingreso'!F54*'Aplica Ley 617'!$D54)</f>
        <v>12230647.38739</v>
      </c>
      <c r="N54" s="238">
        <f>+'Proyección Ingreso'!G54-('Proyección Ingreso'!G54*'Aplica Ley 617'!$D54)</f>
        <v>13025639.46757035</v>
      </c>
      <c r="O54" s="238">
        <f>+'Proyección Ingreso'!H54-('Proyección Ingreso'!H54*'Aplica Ley 617'!$D54)</f>
        <v>13807177.835624572</v>
      </c>
      <c r="P54" s="238">
        <f>+'Proyección Ingreso'!I54-('Proyección Ingreso'!I54*'Aplica Ley 617'!$D54)</f>
        <v>14635608.505762046</v>
      </c>
      <c r="Q54" s="238">
        <f>+'Proyección Ingreso'!J54-('Proyección Ingreso'!J54*'Aplica Ley 617'!$D54)</f>
        <v>15513745.01610777</v>
      </c>
      <c r="R54" s="238">
        <f>+'Proyección Ingreso'!K54-('Proyección Ingreso'!K54*'Aplica Ley 617'!$D54)</f>
        <v>16444569.717074236</v>
      </c>
      <c r="S54" s="238">
        <f>+'Proyección Ingreso'!L54-('Proyección Ingreso'!L54*'Aplica Ley 617'!$D54)</f>
        <v>17431243.900098693</v>
      </c>
      <c r="T54" s="238">
        <f>+'Proyección Ingreso'!M54-('Proyección Ingreso'!M54*'Aplica Ley 617'!$D54)</f>
        <v>18477118.534104615</v>
      </c>
      <c r="U54" s="238">
        <f>+'Proyección Ingreso'!N54-('Proyección Ingreso'!N54*'Aplica Ley 617'!$D54)</f>
        <v>19585745.646150894</v>
      </c>
    </row>
    <row r="55" spans="1:21" ht="12.75">
      <c r="A55" s="3" t="s">
        <v>55</v>
      </c>
      <c r="B55" s="240">
        <f>SUM(B56:B58)</f>
        <v>0</v>
      </c>
      <c r="C55" s="182">
        <f>SUM(C56:C58)</f>
        <v>0</v>
      </c>
      <c r="D55" s="224"/>
      <c r="E55" s="182">
        <f>SUM(E56:E58)</f>
        <v>0</v>
      </c>
      <c r="F55" s="240">
        <f>SUM(F56:F58)</f>
        <v>0</v>
      </c>
      <c r="G55" s="182">
        <f>SUM(G56:G58)</f>
        <v>0</v>
      </c>
      <c r="H55" s="241">
        <f>SUM(H56:H58)</f>
        <v>0</v>
      </c>
      <c r="I55" s="231"/>
      <c r="J55" s="182">
        <f aca="true" t="shared" si="15" ref="J55:S55">SUM(J56:J58)</f>
        <v>0</v>
      </c>
      <c r="K55" s="182">
        <f t="shared" si="15"/>
        <v>0</v>
      </c>
      <c r="L55" s="182">
        <f t="shared" si="15"/>
        <v>0</v>
      </c>
      <c r="M55" s="182">
        <f t="shared" si="15"/>
        <v>0</v>
      </c>
      <c r="N55" s="182">
        <f t="shared" si="15"/>
        <v>0</v>
      </c>
      <c r="O55" s="210">
        <f t="shared" si="15"/>
        <v>0</v>
      </c>
      <c r="P55" s="182">
        <f t="shared" si="15"/>
        <v>0</v>
      </c>
      <c r="Q55" s="210">
        <f t="shared" si="15"/>
        <v>0</v>
      </c>
      <c r="R55" s="182">
        <f t="shared" si="15"/>
        <v>0</v>
      </c>
      <c r="S55" s="182">
        <f t="shared" si="15"/>
        <v>0</v>
      </c>
      <c r="T55" s="182">
        <f>SUM(T56:T58)</f>
        <v>0</v>
      </c>
      <c r="U55" s="182">
        <f>SUM(U56:U58)</f>
        <v>0</v>
      </c>
    </row>
    <row r="56" spans="1:21" ht="12.75">
      <c r="A56" s="2" t="s">
        <v>1</v>
      </c>
      <c r="B56" s="236">
        <f t="shared" si="11"/>
        <v>0</v>
      </c>
      <c r="C56" s="156">
        <f>+H56-F56</f>
        <v>0</v>
      </c>
      <c r="D56" s="222"/>
      <c r="E56" s="156">
        <f aca="true" t="shared" si="16" ref="E56:F58">+$D56*G56</f>
        <v>0</v>
      </c>
      <c r="F56" s="236">
        <f t="shared" si="16"/>
        <v>0</v>
      </c>
      <c r="G56" s="156">
        <f>Ingresos!E56</f>
        <v>0</v>
      </c>
      <c r="H56" s="237">
        <f>+Ingresos!G56</f>
        <v>0</v>
      </c>
      <c r="J56" s="238">
        <f>+'Proyección Ingreso'!C56-('Proyección Ingreso'!C56*'Aplica Ley 617'!$D56)</f>
        <v>0</v>
      </c>
      <c r="K56" s="238">
        <f>+'Proyección Ingreso'!D56-('Proyección Ingreso'!D56*'Aplica Ley 617'!$D56)</f>
        <v>0</v>
      </c>
      <c r="L56" s="238">
        <f>+'Proyección Ingreso'!E56-('Proyección Ingreso'!E56*'Aplica Ley 617'!$D56)</f>
        <v>0</v>
      </c>
      <c r="M56" s="238">
        <f>+'Proyección Ingreso'!F56-('Proyección Ingreso'!F56*'Aplica Ley 617'!$D56)</f>
        <v>0</v>
      </c>
      <c r="N56" s="238">
        <f>+'Proyección Ingreso'!G56-('Proyección Ingreso'!G56*'Aplica Ley 617'!$D56)</f>
        <v>0</v>
      </c>
      <c r="O56" s="238">
        <f>+'Proyección Ingreso'!H56-('Proyección Ingreso'!H56*'Aplica Ley 617'!$D56)</f>
        <v>0</v>
      </c>
      <c r="P56" s="238">
        <f>+'Proyección Ingreso'!I56-('Proyección Ingreso'!I56*'Aplica Ley 617'!$D56)</f>
        <v>0</v>
      </c>
      <c r="Q56" s="238">
        <f>+'Proyección Ingreso'!J56-('Proyección Ingreso'!J56*'Aplica Ley 617'!$D56)</f>
        <v>0</v>
      </c>
      <c r="R56" s="238">
        <f>+'Proyección Ingreso'!K56-('Proyección Ingreso'!K56*'Aplica Ley 617'!$D56)</f>
        <v>0</v>
      </c>
      <c r="S56" s="238">
        <f>+'Proyección Ingreso'!L56-('Proyección Ingreso'!L56*'Aplica Ley 617'!$D56)</f>
        <v>0</v>
      </c>
      <c r="T56" s="238">
        <f>+'Proyección Ingreso'!M56-('Proyección Ingreso'!M56*'Aplica Ley 617'!$D56)</f>
        <v>0</v>
      </c>
      <c r="U56" s="238">
        <f>+'Proyección Ingreso'!N56-('Proyección Ingreso'!N56*'Aplica Ley 617'!$D56)</f>
        <v>0</v>
      </c>
    </row>
    <row r="57" spans="1:21" ht="12.75">
      <c r="A57" s="2" t="s">
        <v>306</v>
      </c>
      <c r="B57" s="236">
        <f t="shared" si="11"/>
        <v>0</v>
      </c>
      <c r="C57" s="156">
        <f>+H57-F57</f>
        <v>0</v>
      </c>
      <c r="D57" s="222"/>
      <c r="E57" s="156">
        <f t="shared" si="16"/>
        <v>0</v>
      </c>
      <c r="F57" s="236">
        <f t="shared" si="16"/>
        <v>0</v>
      </c>
      <c r="G57" s="156">
        <f>Ingresos!E57</f>
        <v>0</v>
      </c>
      <c r="H57" s="237">
        <f>+Ingresos!G57</f>
        <v>0</v>
      </c>
      <c r="J57" s="238">
        <f>+'Proyección Ingreso'!C57-('Proyección Ingreso'!C57*'Aplica Ley 617'!$D57)</f>
        <v>0</v>
      </c>
      <c r="K57" s="238">
        <f>+'Proyección Ingreso'!D57-('Proyección Ingreso'!D57*'Aplica Ley 617'!$D57)</f>
        <v>0</v>
      </c>
      <c r="L57" s="238">
        <f>+'Proyección Ingreso'!E57-('Proyección Ingreso'!E57*'Aplica Ley 617'!$D57)</f>
        <v>0</v>
      </c>
      <c r="M57" s="238">
        <f>+'Proyección Ingreso'!F57-('Proyección Ingreso'!F57*'Aplica Ley 617'!$D57)</f>
        <v>0</v>
      </c>
      <c r="N57" s="238">
        <f>+'Proyección Ingreso'!G57-('Proyección Ingreso'!G57*'Aplica Ley 617'!$D57)</f>
        <v>0</v>
      </c>
      <c r="O57" s="238">
        <f>+'Proyección Ingreso'!H57-('Proyección Ingreso'!H57*'Aplica Ley 617'!$D57)</f>
        <v>0</v>
      </c>
      <c r="P57" s="238">
        <f>+'Proyección Ingreso'!I57-('Proyección Ingreso'!I57*'Aplica Ley 617'!$D57)</f>
        <v>0</v>
      </c>
      <c r="Q57" s="238">
        <f>+'Proyección Ingreso'!J57-('Proyección Ingreso'!J57*'Aplica Ley 617'!$D57)</f>
        <v>0</v>
      </c>
      <c r="R57" s="238">
        <f>+'Proyección Ingreso'!K57-('Proyección Ingreso'!K57*'Aplica Ley 617'!$D57)</f>
        <v>0</v>
      </c>
      <c r="S57" s="238">
        <f>+'Proyección Ingreso'!L57-('Proyección Ingreso'!L57*'Aplica Ley 617'!$D57)</f>
        <v>0</v>
      </c>
      <c r="T57" s="238">
        <f>+'Proyección Ingreso'!M57-('Proyección Ingreso'!M57*'Aplica Ley 617'!$D57)</f>
        <v>0</v>
      </c>
      <c r="U57" s="238">
        <f>+'Proyección Ingreso'!N57-('Proyección Ingreso'!N57*'Aplica Ley 617'!$D57)</f>
        <v>0</v>
      </c>
    </row>
    <row r="58" spans="1:21" ht="12.75">
      <c r="A58" s="2" t="s">
        <v>56</v>
      </c>
      <c r="B58" s="236">
        <f t="shared" si="11"/>
        <v>0</v>
      </c>
      <c r="C58" s="156">
        <f>+H58-F58</f>
        <v>0</v>
      </c>
      <c r="D58" s="222"/>
      <c r="E58" s="156">
        <f t="shared" si="16"/>
        <v>0</v>
      </c>
      <c r="F58" s="236">
        <f t="shared" si="16"/>
        <v>0</v>
      </c>
      <c r="G58" s="156">
        <f>Ingresos!E58</f>
        <v>0</v>
      </c>
      <c r="H58" s="237">
        <f>+Ingresos!G58</f>
        <v>0</v>
      </c>
      <c r="J58" s="238">
        <f>+'Proyección Ingreso'!C58-('Proyección Ingreso'!C58*'Aplica Ley 617'!$D58)</f>
        <v>0</v>
      </c>
      <c r="K58" s="238">
        <f>+'Proyección Ingreso'!D58-('Proyección Ingreso'!D58*'Aplica Ley 617'!$D58)</f>
        <v>0</v>
      </c>
      <c r="L58" s="238">
        <f>+'Proyección Ingreso'!E58-('Proyección Ingreso'!E58*'Aplica Ley 617'!$D58)</f>
        <v>0</v>
      </c>
      <c r="M58" s="238">
        <f>+'Proyección Ingreso'!F58-('Proyección Ingreso'!F58*'Aplica Ley 617'!$D58)</f>
        <v>0</v>
      </c>
      <c r="N58" s="238">
        <f>+'Proyección Ingreso'!G58-('Proyección Ingreso'!G58*'Aplica Ley 617'!$D58)</f>
        <v>0</v>
      </c>
      <c r="O58" s="238">
        <f>+'Proyección Ingreso'!H58-('Proyección Ingreso'!H58*'Aplica Ley 617'!$D58)</f>
        <v>0</v>
      </c>
      <c r="P58" s="238">
        <f>+'Proyección Ingreso'!I58-('Proyección Ingreso'!I58*'Aplica Ley 617'!$D58)</f>
        <v>0</v>
      </c>
      <c r="Q58" s="238">
        <f>+'Proyección Ingreso'!J58-('Proyección Ingreso'!J58*'Aplica Ley 617'!$D58)</f>
        <v>0</v>
      </c>
      <c r="R58" s="238">
        <f>+'Proyección Ingreso'!K58-('Proyección Ingreso'!K58*'Aplica Ley 617'!$D58)</f>
        <v>0</v>
      </c>
      <c r="S58" s="238">
        <f>+'Proyección Ingreso'!L58-('Proyección Ingreso'!L58*'Aplica Ley 617'!$D58)</f>
        <v>0</v>
      </c>
      <c r="T58" s="238">
        <f>+'Proyección Ingreso'!M58-('Proyección Ingreso'!M58*'Aplica Ley 617'!$D58)</f>
        <v>0</v>
      </c>
      <c r="U58" s="238">
        <f>+'Proyección Ingreso'!N58-('Proyección Ingreso'!N58*'Aplica Ley 617'!$D58)</f>
        <v>0</v>
      </c>
    </row>
    <row r="59" spans="1:21" ht="12.75">
      <c r="A59" s="28" t="s">
        <v>215</v>
      </c>
      <c r="B59" s="240">
        <f>SUM(B60:B62)</f>
        <v>130675033</v>
      </c>
      <c r="C59" s="182">
        <f>SUM(C60:C62)</f>
        <v>131497028.07</v>
      </c>
      <c r="D59" s="224"/>
      <c r="E59" s="182">
        <f>SUM(E60:E62)</f>
        <v>0</v>
      </c>
      <c r="F59" s="240">
        <f>SUM(F60:F62)</f>
        <v>0</v>
      </c>
      <c r="G59" s="182">
        <f>SUM(G60:G62)</f>
        <v>130675033</v>
      </c>
      <c r="H59" s="241">
        <f>SUM(H60:H62)</f>
        <v>131497028.07</v>
      </c>
      <c r="I59" s="231"/>
      <c r="J59" s="182">
        <f aca="true" t="shared" si="17" ref="J59:S59">SUM(J60:J62)</f>
        <v>138729364.61384997</v>
      </c>
      <c r="K59" s="182">
        <f t="shared" si="17"/>
        <v>55950701.62</v>
      </c>
      <c r="L59" s="182">
        <f t="shared" si="17"/>
        <v>59867250.7334</v>
      </c>
      <c r="M59" s="182">
        <f t="shared" si="17"/>
        <v>64057958.284738004</v>
      </c>
      <c r="N59" s="182">
        <f t="shared" si="17"/>
        <v>68221725.57324597</v>
      </c>
      <c r="O59" s="210">
        <f t="shared" si="17"/>
        <v>72315029.10764073</v>
      </c>
      <c r="P59" s="182">
        <f t="shared" si="17"/>
        <v>76653930.85409918</v>
      </c>
      <c r="Q59" s="210">
        <f t="shared" si="17"/>
        <v>81253166.70534514</v>
      </c>
      <c r="R59" s="182">
        <f t="shared" si="17"/>
        <v>86128356.70766585</v>
      </c>
      <c r="S59" s="182">
        <f t="shared" si="17"/>
        <v>91296058.11012581</v>
      </c>
      <c r="T59" s="182">
        <f>SUM(T60:T62)</f>
        <v>96773821.59673336</v>
      </c>
      <c r="U59" s="182">
        <f>SUM(U60:U62)</f>
        <v>102580250.89253737</v>
      </c>
    </row>
    <row r="60" spans="1:21" ht="12.75">
      <c r="A60" s="2" t="s">
        <v>216</v>
      </c>
      <c r="B60" s="236">
        <f t="shared" si="11"/>
        <v>0</v>
      </c>
      <c r="C60" s="156">
        <f>+H60-F60</f>
        <v>0</v>
      </c>
      <c r="D60" s="222"/>
      <c r="E60" s="156">
        <f aca="true" t="shared" si="18" ref="E60:F64">+$D60*G60</f>
        <v>0</v>
      </c>
      <c r="F60" s="236">
        <f t="shared" si="18"/>
        <v>0</v>
      </c>
      <c r="G60" s="156">
        <f>Ingresos!E60</f>
        <v>0</v>
      </c>
      <c r="H60" s="237">
        <f>+Ingresos!G60</f>
        <v>0</v>
      </c>
      <c r="J60" s="238">
        <f>+'Proyección Ingreso'!C60-('Proyección Ingreso'!C60*'Aplica Ley 617'!$D60)</f>
        <v>0</v>
      </c>
      <c r="K60" s="238">
        <f>+'Proyección Ingreso'!D60-('Proyección Ingreso'!D60*'Aplica Ley 617'!$D60)</f>
        <v>0</v>
      </c>
      <c r="L60" s="238">
        <f>+'Proyección Ingreso'!E60-('Proyección Ingreso'!E60*'Aplica Ley 617'!$D60)</f>
        <v>0</v>
      </c>
      <c r="M60" s="238">
        <f>+'Proyección Ingreso'!F60-('Proyección Ingreso'!F60*'Aplica Ley 617'!$D60)</f>
        <v>0</v>
      </c>
      <c r="N60" s="238">
        <f>+'Proyección Ingreso'!G60-('Proyección Ingreso'!G60*'Aplica Ley 617'!$D60)</f>
        <v>0</v>
      </c>
      <c r="O60" s="238">
        <f>+'Proyección Ingreso'!H60-('Proyección Ingreso'!H60*'Aplica Ley 617'!$D60)</f>
        <v>0</v>
      </c>
      <c r="P60" s="238">
        <f>+'Proyección Ingreso'!I60-('Proyección Ingreso'!I60*'Aplica Ley 617'!$D60)</f>
        <v>0</v>
      </c>
      <c r="Q60" s="238">
        <f>+'Proyección Ingreso'!J60-('Proyección Ingreso'!J60*'Aplica Ley 617'!$D60)</f>
        <v>0</v>
      </c>
      <c r="R60" s="238">
        <f>+'Proyección Ingreso'!K60-('Proyección Ingreso'!K60*'Aplica Ley 617'!$D60)</f>
        <v>0</v>
      </c>
      <c r="S60" s="238">
        <f>+'Proyección Ingreso'!L60-('Proyección Ingreso'!L60*'Aplica Ley 617'!$D60)</f>
        <v>0</v>
      </c>
      <c r="T60" s="238">
        <f>+'Proyección Ingreso'!M60-('Proyección Ingreso'!M60*'Aplica Ley 617'!$D60)</f>
        <v>0</v>
      </c>
      <c r="U60" s="238">
        <f>+'Proyección Ingreso'!N60-('Proyección Ingreso'!N60*'Aplica Ley 617'!$D60)</f>
        <v>0</v>
      </c>
    </row>
    <row r="61" spans="1:21" ht="12.75">
      <c r="A61" s="2" t="s">
        <v>217</v>
      </c>
      <c r="B61" s="236">
        <f t="shared" si="11"/>
        <v>2789166</v>
      </c>
      <c r="C61" s="156">
        <f>+H61-F61</f>
        <v>3297166</v>
      </c>
      <c r="D61" s="222"/>
      <c r="E61" s="156">
        <f t="shared" si="18"/>
        <v>0</v>
      </c>
      <c r="F61" s="236">
        <f t="shared" si="18"/>
        <v>0</v>
      </c>
      <c r="G61" s="156">
        <f>Ingresos!E61</f>
        <v>2789166</v>
      </c>
      <c r="H61" s="237">
        <f>+Ingresos!G61</f>
        <v>3297166</v>
      </c>
      <c r="J61" s="238">
        <f>+'Proyección Ingreso'!C61-('Proyección Ingreso'!C61*'Aplica Ley 617'!$D61)</f>
        <v>3478510.13</v>
      </c>
      <c r="K61" s="238">
        <f>+'Proyección Ingreso'!D61-('Proyección Ingreso'!D61*'Aplica Ley 617'!$D61)</f>
        <v>12754000</v>
      </c>
      <c r="L61" s="238">
        <f>+'Proyección Ingreso'!E61-('Proyección Ingreso'!E61*'Aplica Ley 617'!$D61)</f>
        <v>13646780</v>
      </c>
      <c r="M61" s="238">
        <f>+'Proyección Ingreso'!F61-('Proyección Ingreso'!F61*'Aplica Ley 617'!$D61)</f>
        <v>14602054.600000001</v>
      </c>
      <c r="N61" s="238">
        <f>+'Proyección Ingreso'!G61-('Proyección Ingreso'!G61*'Aplica Ley 617'!$D61)</f>
        <v>15551188.149</v>
      </c>
      <c r="O61" s="238">
        <f>+'Proyección Ingreso'!H61-('Proyección Ingreso'!H61*'Aplica Ley 617'!$D61)</f>
        <v>16484259.437940001</v>
      </c>
      <c r="P61" s="238">
        <f>+'Proyección Ingreso'!I61-('Proyección Ingreso'!I61*'Aplica Ley 617'!$D61)</f>
        <v>17473315.004216403</v>
      </c>
      <c r="Q61" s="238">
        <f>+'Proyección Ingreso'!J61-('Proyección Ingreso'!J61*'Aplica Ley 617'!$D61)</f>
        <v>18521713.90446939</v>
      </c>
      <c r="R61" s="238">
        <f>+'Proyección Ingreso'!K61-('Proyección Ingreso'!K61*'Aplica Ley 617'!$D61)</f>
        <v>19633016.738737553</v>
      </c>
      <c r="S61" s="238">
        <f>+'Proyección Ingreso'!L61-('Proyección Ingreso'!L61*'Aplica Ley 617'!$D61)</f>
        <v>20810997.743061807</v>
      </c>
      <c r="T61" s="238">
        <f>+'Proyección Ingreso'!M61-('Proyección Ingreso'!M61*'Aplica Ley 617'!$D61)</f>
        <v>22059657.607645515</v>
      </c>
      <c r="U61" s="238">
        <f>+'Proyección Ingreso'!N61-('Proyección Ingreso'!N61*'Aplica Ley 617'!$D61)</f>
        <v>23383237.064104248</v>
      </c>
    </row>
    <row r="62" spans="1:21" ht="12.75">
      <c r="A62" s="2" t="s">
        <v>218</v>
      </c>
      <c r="B62" s="236">
        <f t="shared" si="11"/>
        <v>127885867</v>
      </c>
      <c r="C62" s="156">
        <f>+H62-F62</f>
        <v>128199862.07</v>
      </c>
      <c r="D62" s="222"/>
      <c r="E62" s="156">
        <f t="shared" si="18"/>
        <v>0</v>
      </c>
      <c r="F62" s="236">
        <f t="shared" si="18"/>
        <v>0</v>
      </c>
      <c r="G62" s="156">
        <f>Ingresos!E62</f>
        <v>127885867</v>
      </c>
      <c r="H62" s="237">
        <f>+Ingresos!G62</f>
        <v>128199862.07</v>
      </c>
      <c r="J62" s="238">
        <f>+'Proyección Ingreso'!C62-('Proyección Ingreso'!C62*'Aplica Ley 617'!$D62)</f>
        <v>135250854.48384997</v>
      </c>
      <c r="K62" s="238">
        <f>+'Proyección Ingreso'!D62-('Proyección Ingreso'!D62*'Aplica Ley 617'!$D62)</f>
        <v>43196701.62</v>
      </c>
      <c r="L62" s="238">
        <f>+'Proyección Ingreso'!E62-('Proyección Ingreso'!E62*'Aplica Ley 617'!$D62)</f>
        <v>46220470.7334</v>
      </c>
      <c r="M62" s="238">
        <f>+'Proyección Ingreso'!F62-('Proyección Ingreso'!F62*'Aplica Ley 617'!$D62)</f>
        <v>49455903.684738</v>
      </c>
      <c r="N62" s="238">
        <f>+'Proyección Ingreso'!G62-('Proyección Ingreso'!G62*'Aplica Ley 617'!$D62)</f>
        <v>52670537.42424597</v>
      </c>
      <c r="O62" s="238">
        <f>+'Proyección Ingreso'!H62-('Proyección Ingreso'!H62*'Aplica Ley 617'!$D62)</f>
        <v>55830769.66970073</v>
      </c>
      <c r="P62" s="238">
        <f>+'Proyección Ingreso'!I62-('Proyección Ingreso'!I62*'Aplica Ley 617'!$D62)</f>
        <v>59180615.849882774</v>
      </c>
      <c r="Q62" s="238">
        <f>+'Proyección Ingreso'!J62-('Proyección Ingreso'!J62*'Aplica Ley 617'!$D62)</f>
        <v>62731452.800875746</v>
      </c>
      <c r="R62" s="238">
        <f>+'Proyección Ingreso'!K62-('Proyección Ingreso'!K62*'Aplica Ley 617'!$D62)</f>
        <v>66495339.96892829</v>
      </c>
      <c r="S62" s="238">
        <f>+'Proyección Ingreso'!L62-('Proyección Ingreso'!L62*'Aplica Ley 617'!$D62)</f>
        <v>70485060.367064</v>
      </c>
      <c r="T62" s="238">
        <f>+'Proyección Ingreso'!M62-('Proyección Ingreso'!M62*'Aplica Ley 617'!$D62)</f>
        <v>74714163.98908785</v>
      </c>
      <c r="U62" s="238">
        <f>+'Proyección Ingreso'!N62-('Proyección Ingreso'!N62*'Aplica Ley 617'!$D62)</f>
        <v>79197013.82843313</v>
      </c>
    </row>
    <row r="63" spans="1:21" ht="13.5" thickBot="1">
      <c r="A63" s="3" t="s">
        <v>57</v>
      </c>
      <c r="B63" s="236">
        <f t="shared" si="11"/>
        <v>23900000</v>
      </c>
      <c r="C63" s="156">
        <f>+H63-F63</f>
        <v>20228293</v>
      </c>
      <c r="D63" s="222"/>
      <c r="E63" s="156">
        <f t="shared" si="18"/>
        <v>0</v>
      </c>
      <c r="F63" s="236">
        <f t="shared" si="18"/>
        <v>0</v>
      </c>
      <c r="G63" s="156">
        <f>Ingresos!E63</f>
        <v>23900000</v>
      </c>
      <c r="H63" s="237">
        <f>+Ingresos!G63</f>
        <v>20228293</v>
      </c>
      <c r="J63" s="238">
        <f>+'Proyección Ingreso'!C63-('Proyección Ingreso'!C63*'Aplica Ley 617'!$D63)</f>
        <v>21340849.115</v>
      </c>
      <c r="K63" s="238">
        <f>+'Proyección Ingreso'!D63-('Proyección Ingreso'!D63*'Aplica Ley 617'!$D63)</f>
        <v>38218805.65</v>
      </c>
      <c r="L63" s="238">
        <f>+'Proyección Ingreso'!E63-('Proyección Ingreso'!E63*'Aplica Ley 617'!$D63)</f>
        <v>40894122.0455</v>
      </c>
      <c r="M63" s="238">
        <f>+'Proyección Ingreso'!F63-('Proyección Ingreso'!F63*'Aplica Ley 617'!$D63)</f>
        <v>43756710.588685006</v>
      </c>
      <c r="N63" s="238">
        <f>+'Proyección Ingreso'!G63-('Proyección Ingreso'!G63*'Aplica Ley 617'!$D63)</f>
        <v>46600896.77694953</v>
      </c>
      <c r="O63" s="238">
        <f>+'Proyección Ingreso'!H63-('Proyección Ingreso'!H63*'Aplica Ley 617'!$D63)</f>
        <v>49396950.58356651</v>
      </c>
      <c r="P63" s="238">
        <f>+'Proyección Ingreso'!I63-('Proyección Ingreso'!I63*'Aplica Ley 617'!$D63)</f>
        <v>52360767.618580505</v>
      </c>
      <c r="Q63" s="238">
        <f>+'Proyección Ingreso'!J63-('Proyección Ingreso'!J63*'Aplica Ley 617'!$D63)</f>
        <v>55502413.67569534</v>
      </c>
      <c r="R63" s="238">
        <f>+'Proyección Ingreso'!K63-('Proyección Ingreso'!K63*'Aplica Ley 617'!$D63)</f>
        <v>58832558.49623706</v>
      </c>
      <c r="S63" s="238">
        <f>+'Proyección Ingreso'!L63-('Proyección Ingreso'!L63*'Aplica Ley 617'!$D63)</f>
        <v>62362512.00601129</v>
      </c>
      <c r="T63" s="238">
        <f>+'Proyección Ingreso'!M63-('Proyección Ingreso'!M63*'Aplica Ley 617'!$D63)</f>
        <v>66104262.726371974</v>
      </c>
      <c r="U63" s="238">
        <f>+'Proyección Ingreso'!N63-('Proyección Ingreso'!N63*'Aplica Ley 617'!$D63)</f>
        <v>70070518.4899543</v>
      </c>
    </row>
    <row r="64" spans="1:21" ht="13.5" thickBot="1">
      <c r="A64" s="190" t="s">
        <v>315</v>
      </c>
      <c r="B64" s="242">
        <f>+G64-E64</f>
        <v>2774587721.5099998</v>
      </c>
      <c r="C64" s="242">
        <f>+H64-F64</f>
        <v>2611848631.15</v>
      </c>
      <c r="D64" s="226"/>
      <c r="E64" s="242">
        <f t="shared" si="18"/>
        <v>0</v>
      </c>
      <c r="F64" s="243">
        <f t="shared" si="18"/>
        <v>0</v>
      </c>
      <c r="G64" s="243">
        <f>+B13</f>
        <v>2774587721.5099998</v>
      </c>
      <c r="H64" s="243">
        <f>+C13</f>
        <v>2611848631.15</v>
      </c>
      <c r="I64" s="231"/>
      <c r="J64" s="242">
        <f aca="true" t="shared" si="19" ref="J64:S64">+J13</f>
        <v>2799346428.493</v>
      </c>
      <c r="K64" s="242">
        <f t="shared" si="19"/>
        <v>3265370057.47</v>
      </c>
      <c r="L64" s="242">
        <f t="shared" si="19"/>
        <v>3348937257.3729</v>
      </c>
      <c r="M64" s="244">
        <f t="shared" si="19"/>
        <v>3571584811.694739</v>
      </c>
      <c r="N64" s="242">
        <f t="shared" si="19"/>
        <v>3791488648.6128626</v>
      </c>
      <c r="O64" s="244">
        <f t="shared" si="19"/>
        <v>4006300070.5331287</v>
      </c>
      <c r="P64" s="242">
        <f t="shared" si="19"/>
        <v>4233619840.858716</v>
      </c>
      <c r="Q64" s="244">
        <f t="shared" si="19"/>
        <v>4474187050.386646</v>
      </c>
      <c r="R64" s="242">
        <f t="shared" si="19"/>
        <v>4728784793.058544</v>
      </c>
      <c r="S64" s="243">
        <f t="shared" si="19"/>
        <v>4998242795.880218</v>
      </c>
      <c r="T64" s="243">
        <f>+T13</f>
        <v>5283440206.328336</v>
      </c>
      <c r="U64" s="243">
        <f>+U13</f>
        <v>5585308546.6842</v>
      </c>
    </row>
    <row r="65" ht="13.5" thickBot="1"/>
    <row r="66" ht="15.75" thickBot="1">
      <c r="A66" s="245" t="s">
        <v>316</v>
      </c>
    </row>
    <row r="67" spans="1:21" ht="16.5" thickBot="1">
      <c r="A67" s="246" t="s">
        <v>327</v>
      </c>
      <c r="B67" s="398" t="s">
        <v>322</v>
      </c>
      <c r="C67" s="399"/>
      <c r="D67" s="400" t="s">
        <v>323</v>
      </c>
      <c r="E67" s="398"/>
      <c r="F67" s="399"/>
      <c r="G67" s="400" t="s">
        <v>324</v>
      </c>
      <c r="H67" s="399"/>
      <c r="J67" s="401" t="s">
        <v>328</v>
      </c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</row>
    <row r="68" spans="1:21" ht="48.75" thickBot="1">
      <c r="A68" s="24" t="s">
        <v>5</v>
      </c>
      <c r="B68" s="247" t="s">
        <v>310</v>
      </c>
      <c r="C68" s="48" t="s">
        <v>355</v>
      </c>
      <c r="D68" s="227"/>
      <c r="E68" s="50" t="s">
        <v>310</v>
      </c>
      <c r="F68" s="48" t="s">
        <v>355</v>
      </c>
      <c r="G68" s="50" t="s">
        <v>310</v>
      </c>
      <c r="H68" s="48" t="s">
        <v>355</v>
      </c>
      <c r="J68" s="16" t="s">
        <v>238</v>
      </c>
      <c r="K68" s="16" t="s">
        <v>11</v>
      </c>
      <c r="L68" s="16" t="s">
        <v>12</v>
      </c>
      <c r="M68" s="16" t="s">
        <v>13</v>
      </c>
      <c r="N68" s="16" t="s">
        <v>14</v>
      </c>
      <c r="O68" s="16" t="s">
        <v>15</v>
      </c>
      <c r="P68" s="16" t="s">
        <v>16</v>
      </c>
      <c r="Q68" s="16" t="s">
        <v>17</v>
      </c>
      <c r="R68" s="16" t="s">
        <v>202</v>
      </c>
      <c r="S68" s="16" t="s">
        <v>19</v>
      </c>
      <c r="T68" s="16" t="s">
        <v>466</v>
      </c>
      <c r="U68" s="16" t="s">
        <v>467</v>
      </c>
    </row>
    <row r="69" spans="1:21" ht="15">
      <c r="A69" s="248" t="s">
        <v>274</v>
      </c>
      <c r="B69" s="249">
        <f>+B70+B71+B72+B76+B75</f>
        <v>1447037285.53</v>
      </c>
      <c r="C69" s="250">
        <f>+C70+C71+C72+C76+C75</f>
        <v>1309425132.37</v>
      </c>
      <c r="D69" s="228"/>
      <c r="E69" s="230">
        <f>SUM(E70:E72)+E75+E76</f>
        <v>284472086</v>
      </c>
      <c r="F69" s="230">
        <f>SUM(F70:F72)+F75+F76</f>
        <v>34176427</v>
      </c>
      <c r="G69" s="230">
        <f>SUM(G70:G72)+G75+G76</f>
        <v>1731509371.53</v>
      </c>
      <c r="H69" s="230">
        <f>SUM(H70:H72)+H75+H76</f>
        <v>1343601559.37</v>
      </c>
      <c r="J69" s="250">
        <f>+J70+J71+J72+J75+J76</f>
        <v>1408610181.0451498</v>
      </c>
      <c r="K69" s="249">
        <f aca="true" t="shared" si="20" ref="K69:S69">+K70+K71+K72+K75+K76</f>
        <v>1815076440.3799999</v>
      </c>
      <c r="L69" s="250">
        <f t="shared" si="20"/>
        <v>1922513852.212</v>
      </c>
      <c r="M69" s="249">
        <f t="shared" si="20"/>
        <v>2032604338.7443721</v>
      </c>
      <c r="N69" s="250">
        <f t="shared" si="20"/>
        <v>2139275935.5715947</v>
      </c>
      <c r="O69" s="249">
        <f t="shared" si="20"/>
        <v>2241836370.4211426</v>
      </c>
      <c r="P69" s="250">
        <f t="shared" si="20"/>
        <v>2349776547.7231197</v>
      </c>
      <c r="Q69" s="249">
        <f t="shared" si="20"/>
        <v>2463396035.515517</v>
      </c>
      <c r="R69" s="250">
        <f t="shared" si="20"/>
        <v>2583011679.4233294</v>
      </c>
      <c r="S69" s="250">
        <f t="shared" si="20"/>
        <v>2708958618.4189167</v>
      </c>
      <c r="T69" s="250">
        <f>+T70+T71+T72+T75+T76</f>
        <v>2841591360.901144</v>
      </c>
      <c r="U69" s="250">
        <f>+U70+U71+U72+U75+U76</f>
        <v>2981284924.693619</v>
      </c>
    </row>
    <row r="70" spans="1:21" ht="12.75">
      <c r="A70" s="251" t="s">
        <v>275</v>
      </c>
      <c r="B70" s="236">
        <f aca="true" t="shared" si="21" ref="B70:C72">+G70-E70</f>
        <v>321023242.88</v>
      </c>
      <c r="C70" s="156">
        <f t="shared" si="21"/>
        <v>310743204.71000004</v>
      </c>
      <c r="D70" s="228"/>
      <c r="E70" s="62"/>
      <c r="F70" s="62"/>
      <c r="G70" s="156">
        <f>+Gastos!E14</f>
        <v>321023242.88</v>
      </c>
      <c r="H70" s="156">
        <f>+Gastos!G14</f>
        <v>310743204.71000004</v>
      </c>
      <c r="J70" s="156">
        <f>+'Proyección Gasto'!C14</f>
        <v>327834080.96905</v>
      </c>
      <c r="K70" s="156">
        <f>+'Proyección Gasto'!D14</f>
        <v>404878607.8</v>
      </c>
      <c r="L70" s="156">
        <f>+'Proyección Gasto'!E14</f>
        <v>423098145.151</v>
      </c>
      <c r="M70" s="156">
        <f>+'Proyección Gasto'!F14</f>
        <v>440022070.9570401</v>
      </c>
      <c r="N70" s="156">
        <f>+'Proyección Gasto'!G14</f>
        <v>455422843.4405364</v>
      </c>
      <c r="O70" s="156">
        <f>+'Proyección Gasto'!H14</f>
        <v>469085528.7437525</v>
      </c>
      <c r="P70" s="156">
        <f>+'Proyección Gasto'!I14</f>
        <v>483158094.60606503</v>
      </c>
      <c r="Q70" s="156">
        <f>+'Proyección Gasto'!J14</f>
        <v>497652837.44424707</v>
      </c>
      <c r="R70" s="156">
        <f>+'Proyección Gasto'!K14</f>
        <v>512582422.56757444</v>
      </c>
      <c r="S70" s="156">
        <f>+'Proyección Gasto'!L14</f>
        <v>527959895.2446017</v>
      </c>
      <c r="T70" s="156">
        <f>+'Proyección Gasto'!M14</f>
        <v>543798692.1019398</v>
      </c>
      <c r="U70" s="156">
        <f>+'Proyección Gasto'!N14</f>
        <v>560112652.864998</v>
      </c>
    </row>
    <row r="71" spans="1:21" ht="12.75">
      <c r="A71" s="251" t="s">
        <v>276</v>
      </c>
      <c r="B71" s="236">
        <f t="shared" si="21"/>
        <v>69148443</v>
      </c>
      <c r="C71" s="156">
        <f t="shared" si="21"/>
        <v>66087581</v>
      </c>
      <c r="D71" s="228"/>
      <c r="E71" s="62"/>
      <c r="F71" s="62"/>
      <c r="G71" s="156">
        <f>+Gastos!E29</f>
        <v>69148443</v>
      </c>
      <c r="H71" s="156">
        <f>+Gastos!G29</f>
        <v>66087581</v>
      </c>
      <c r="J71" s="156">
        <f>+'Proyección Gasto'!C29</f>
        <v>70052835.86</v>
      </c>
      <c r="K71" s="156">
        <f>+'Proyección Gasto'!D29</f>
        <v>226472334.39999998</v>
      </c>
      <c r="L71" s="156">
        <f>+'Proyección Gasto'!E29</f>
        <v>236663589.44799995</v>
      </c>
      <c r="M71" s="156">
        <f>+'Proyección Gasto'!F29</f>
        <v>246130133.02591997</v>
      </c>
      <c r="N71" s="156">
        <f>+'Proyección Gasto'!G29</f>
        <v>254744687.68182713</v>
      </c>
      <c r="O71" s="156">
        <f>+'Proyección Gasto'!H29</f>
        <v>262387028.31228194</v>
      </c>
      <c r="P71" s="156">
        <f>+'Proyección Gasto'!I29</f>
        <v>270258639.1616504</v>
      </c>
      <c r="Q71" s="156">
        <f>+'Proyección Gasto'!J29</f>
        <v>278366398.3364999</v>
      </c>
      <c r="R71" s="156">
        <f>+'Proyección Gasto'!K29</f>
        <v>286717390.28659487</v>
      </c>
      <c r="S71" s="156">
        <f>+'Proyección Gasto'!L29</f>
        <v>295318911.99519277</v>
      </c>
      <c r="T71" s="156">
        <f>+'Proyección Gasto'!M29</f>
        <v>304178479.35504854</v>
      </c>
      <c r="U71" s="156">
        <f>+'Proyección Gasto'!N29</f>
        <v>313303833.7357</v>
      </c>
    </row>
    <row r="72" spans="1:21" ht="12.75">
      <c r="A72" s="251" t="s">
        <v>270</v>
      </c>
      <c r="B72" s="236">
        <f t="shared" si="21"/>
        <v>43256090.09000003</v>
      </c>
      <c r="C72" s="156">
        <f t="shared" si="21"/>
        <v>38053397</v>
      </c>
      <c r="D72" s="228"/>
      <c r="E72" s="92">
        <f>+E73+E74</f>
        <v>284472086</v>
      </c>
      <c r="F72" s="92">
        <f>+F73+F74</f>
        <v>34176427</v>
      </c>
      <c r="G72" s="156">
        <f>+Gastos!E33</f>
        <v>327728176.09000003</v>
      </c>
      <c r="H72" s="156">
        <f>+Gastos!G33</f>
        <v>72229824</v>
      </c>
      <c r="J72" s="156">
        <f>+'Proyección Gasto'!C33-'Proyección Gasto'!C50-'Proyección Gasto'!C52</f>
        <v>40146333.83499999</v>
      </c>
      <c r="K72" s="156">
        <f>+'Proyección Gasto'!D33-'Proyección Gasto'!D50-'Proyección Gasto'!D52</f>
        <v>39846247</v>
      </c>
      <c r="L72" s="156">
        <f>+'Proyección Gasto'!E33-'Proyección Gasto'!E50-'Proyección Gasto'!E52</f>
        <v>41639328.114999995</v>
      </c>
      <c r="M72" s="156">
        <f>+'Proyección Gasto'!F33-'Proyección Gasto'!F50-'Proyección Gasto'!F52</f>
        <v>43304901.2396</v>
      </c>
      <c r="N72" s="156">
        <f>+'Proyección Gasto'!G33-'Proyección Gasto'!G50-'Proyección Gasto'!G52</f>
        <v>44820572.78298599</v>
      </c>
      <c r="O72" s="156">
        <f>+'Proyección Gasto'!H33-'Proyección Gasto'!H50-'Proyección Gasto'!H52</f>
        <v>46165189.96647558</v>
      </c>
      <c r="P72" s="156">
        <f>+'Proyección Gasto'!I33-'Proyección Gasto'!I50-'Proyección Gasto'!I52</f>
        <v>47550145.66546985</v>
      </c>
      <c r="Q72" s="156">
        <f>+'Proyección Gasto'!J33-'Proyección Gasto'!J50-'Proyección Gasto'!J52</f>
        <v>48976650.03543395</v>
      </c>
      <c r="R72" s="156">
        <f>+'Proyección Gasto'!K33-'Proyección Gasto'!K50-'Proyección Gasto'!K52</f>
        <v>50445949.53649696</v>
      </c>
      <c r="S72" s="156">
        <f>+'Proyección Gasto'!L33-'Proyección Gasto'!L50-'Proyección Gasto'!L52</f>
        <v>51959328.02259187</v>
      </c>
      <c r="T72" s="156">
        <f>+'Proyección Gasto'!M33-'Proyección Gasto'!M50-'Proyección Gasto'!M52</f>
        <v>53518107.86326963</v>
      </c>
      <c r="U72" s="156">
        <f>+'Proyección Gasto'!N33-'Proyección Gasto'!N50-'Proyección Gasto'!N52</f>
        <v>55123651.09916771</v>
      </c>
    </row>
    <row r="73" spans="1:21" ht="12.75">
      <c r="A73" s="27" t="s">
        <v>317</v>
      </c>
      <c r="B73" s="236"/>
      <c r="C73" s="156"/>
      <c r="D73" s="228"/>
      <c r="E73" s="156">
        <f>+Gastos!E50</f>
        <v>0</v>
      </c>
      <c r="F73" s="156">
        <f>+Gastos!G50</f>
        <v>0</v>
      </c>
      <c r="G73" s="156"/>
      <c r="H73" s="156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</row>
    <row r="74" spans="1:21" ht="12.75">
      <c r="A74" s="27" t="s">
        <v>320</v>
      </c>
      <c r="B74" s="236"/>
      <c r="C74" s="156"/>
      <c r="D74" s="228"/>
      <c r="E74" s="156">
        <f>+Gastos!E52</f>
        <v>284472086</v>
      </c>
      <c r="F74" s="156">
        <f>+Gastos!G52</f>
        <v>34176427</v>
      </c>
      <c r="G74" s="156"/>
      <c r="H74" s="156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</row>
    <row r="75" spans="1:21" ht="12.75">
      <c r="A75" s="252" t="s">
        <v>319</v>
      </c>
      <c r="B75" s="156">
        <f>+G75-E75</f>
        <v>0</v>
      </c>
      <c r="C75" s="156">
        <f>+H75-F75</f>
        <v>0</v>
      </c>
      <c r="D75" s="228"/>
      <c r="E75" s="156">
        <f>+Gastos!E55</f>
        <v>0</v>
      </c>
      <c r="F75" s="156">
        <f>+Gastos!G55</f>
        <v>0</v>
      </c>
      <c r="G75" s="156">
        <f>+Gastos!E53</f>
        <v>0</v>
      </c>
      <c r="H75" s="156">
        <f>+Gastos!G53</f>
        <v>0</v>
      </c>
      <c r="J75" s="156">
        <f>+'Proyección Gasto'!C54</f>
        <v>0</v>
      </c>
      <c r="K75" s="156">
        <f>+'Proyección Gasto'!D54</f>
        <v>0</v>
      </c>
      <c r="L75" s="156">
        <f>+'Proyección Gasto'!E54</f>
        <v>0</v>
      </c>
      <c r="M75" s="156">
        <f>+'Proyección Gasto'!F54</f>
        <v>0</v>
      </c>
      <c r="N75" s="156">
        <f>+'Proyección Gasto'!G54</f>
        <v>0</v>
      </c>
      <c r="O75" s="156">
        <f>+'Proyección Gasto'!H54</f>
        <v>0</v>
      </c>
      <c r="P75" s="156">
        <f>+'Proyección Gasto'!I54</f>
        <v>0</v>
      </c>
      <c r="Q75" s="156">
        <f>+'Proyección Gasto'!J54</f>
        <v>0</v>
      </c>
      <c r="R75" s="156">
        <f>+'Proyección Gasto'!K54</f>
        <v>0</v>
      </c>
      <c r="S75" s="156">
        <f>+'Proyección Gasto'!L54</f>
        <v>0</v>
      </c>
      <c r="T75" s="156">
        <f>+'Proyección Gasto'!M54</f>
        <v>0</v>
      </c>
      <c r="U75" s="156">
        <f>+'Proyección Gasto'!N54</f>
        <v>0</v>
      </c>
    </row>
    <row r="76" spans="1:21" ht="13.5" thickBot="1">
      <c r="A76" s="27" t="s">
        <v>318</v>
      </c>
      <c r="B76" s="253">
        <f>+G76-E76</f>
        <v>1013609509.56</v>
      </c>
      <c r="C76" s="211">
        <f>+H76-F76</f>
        <v>894540949.66</v>
      </c>
      <c r="D76" s="229"/>
      <c r="E76" s="217"/>
      <c r="F76" s="217"/>
      <c r="G76" s="211">
        <f>+Gastos!E74-Gastos!E78-Gastos!E80-Gastos!E83-Gastos!E86+Gastos!E111-Gastos!E115-Gastos!E117+Gastos!E148</f>
        <v>1013609509.56</v>
      </c>
      <c r="H76" s="211">
        <f>+Gastos!G74-Gastos!G78-Gastos!G80-Gastos!G83-Gastos!G86+Gastos!G111-Gastos!G115-Gastos!G117+Gastos!G148</f>
        <v>894540949.66</v>
      </c>
      <c r="J76" s="211">
        <f>+'Proyección Gasto'!C74-'Proyección Gasto'!C78-'Proyección Gasto'!C80-'Proyección Gasto'!C83-'Proyección Gasto'!C86+'Proyección Gasto'!C111-'Proyección Gasto'!C115-'Proyección Gasto'!C117+'Proyección Gasto'!C148</f>
        <v>970576930.3810998</v>
      </c>
      <c r="K76" s="211">
        <f>+'Proyección Gasto'!D74-'Proyección Gasto'!D78-'Proyección Gasto'!D80-'Proyección Gasto'!D83-'Proyección Gasto'!D86+'Proyección Gasto'!D111-'Proyección Gasto'!D115-'Proyección Gasto'!D117+'Proyección Gasto'!D148</f>
        <v>1143879251.1799998</v>
      </c>
      <c r="L76" s="211">
        <f>+'Proyección Gasto'!E74-'Proyección Gasto'!E78-'Proyección Gasto'!E80-'Proyección Gasto'!E83-'Proyección Gasto'!E86+'Proyección Gasto'!E111-'Proyección Gasto'!E115-'Proyección Gasto'!E117+'Proyección Gasto'!E148</f>
        <v>1221112789.498</v>
      </c>
      <c r="M76" s="211">
        <f>+'Proyección Gasto'!F74-'Proyección Gasto'!F78-'Proyección Gasto'!F80-'Proyección Gasto'!F83-'Proyección Gasto'!F86+'Proyección Gasto'!F111-'Proyección Gasto'!F115-'Proyección Gasto'!F117+'Proyección Gasto'!F148</f>
        <v>1303147233.5218122</v>
      </c>
      <c r="N76" s="211">
        <f>+'Proyección Gasto'!G74-'Proyección Gasto'!G78-'Proyección Gasto'!G80-'Proyección Gasto'!G83-'Proyección Gasto'!G86+'Proyección Gasto'!G111-'Proyección Gasto'!G115-'Proyección Gasto'!G117+'Proyección Gasto'!G148</f>
        <v>1384287831.666245</v>
      </c>
      <c r="O76" s="211">
        <f>+'Proyección Gasto'!H74-'Proyección Gasto'!H78-'Proyección Gasto'!H80-'Proyección Gasto'!H83-'Proyección Gasto'!H86+'Proyección Gasto'!H111-'Proyección Gasto'!H115-'Proyección Gasto'!H117+'Proyección Gasto'!H148</f>
        <v>1464198623.3986323</v>
      </c>
      <c r="P76" s="211">
        <f>+'Proyección Gasto'!I74-'Proyección Gasto'!I78-'Proyección Gasto'!I80-'Proyección Gasto'!I83-'Proyección Gasto'!I86+'Proyección Gasto'!I111-'Proyección Gasto'!I115-'Proyección Gasto'!I117+'Proyección Gasto'!I148</f>
        <v>1548809668.2899344</v>
      </c>
      <c r="Q76" s="211">
        <f>+'Proyección Gasto'!J74-'Proyección Gasto'!J78-'Proyección Gasto'!J80-'Proyección Gasto'!J83-'Proyección Gasto'!J86+'Proyección Gasto'!J111-'Proyección Gasto'!J115-'Proyección Gasto'!J117+'Proyección Gasto'!J148</f>
        <v>1638400149.6993365</v>
      </c>
      <c r="R76" s="211">
        <f>+'Proyección Gasto'!K74-'Proyección Gasto'!K78-'Proyección Gasto'!K80-'Proyección Gasto'!K83-'Proyección Gasto'!K86+'Proyección Gasto'!K111-'Proyección Gasto'!K115-'Proyección Gasto'!K117+'Proyección Gasto'!K148</f>
        <v>1733265917.032663</v>
      </c>
      <c r="S76" s="211">
        <f>+'Proyección Gasto'!L74-'Proyección Gasto'!L78-'Proyección Gasto'!L80-'Proyección Gasto'!L83-'Proyección Gasto'!L86+'Proyección Gasto'!L111-'Proyección Gasto'!L115-'Proyección Gasto'!L117+'Proyección Gasto'!L148</f>
        <v>1833720483.1565301</v>
      </c>
      <c r="T76" s="211">
        <f>+'Proyección Gasto'!M74-'Proyección Gasto'!M78-'Proyección Gasto'!M80-'Proyección Gasto'!M83-'Proyección Gasto'!M86+'Proyección Gasto'!M111-'Proyección Gasto'!M115-'Proyección Gasto'!M117+'Proyección Gasto'!M148</f>
        <v>1940096081.5808864</v>
      </c>
      <c r="U76" s="211">
        <f>+'Proyección Gasto'!N74-'Proyección Gasto'!N78-'Proyección Gasto'!N80-'Proyección Gasto'!N83-'Proyección Gasto'!N86+'Proyección Gasto'!N111-'Proyección Gasto'!N115-'Proyección Gasto'!N117+'Proyección Gasto'!N148</f>
        <v>2052744786.993753</v>
      </c>
    </row>
    <row r="77" spans="1:21" ht="13.5" thickBot="1">
      <c r="A77" s="121" t="s">
        <v>321</v>
      </c>
      <c r="B77" s="254">
        <f>+(B69/B64)*100</f>
        <v>52.153236111867685</v>
      </c>
      <c r="C77" s="254">
        <f>+(C69/C64)*100</f>
        <v>50.134035975639925</v>
      </c>
      <c r="D77" s="69"/>
      <c r="E77" s="69"/>
      <c r="F77" s="69"/>
      <c r="G77" s="69"/>
      <c r="H77" s="69"/>
      <c r="J77" s="255">
        <f>+(J69/J64)*100</f>
        <v>50.319251904933424</v>
      </c>
      <c r="K77" s="255">
        <f aca="true" t="shared" si="22" ref="K77:S77">+(K69/K64)*100</f>
        <v>55.585627614479826</v>
      </c>
      <c r="L77" s="255">
        <f t="shared" si="22"/>
        <v>57.406684702123414</v>
      </c>
      <c r="M77" s="255">
        <f t="shared" si="22"/>
        <v>56.91043180855865</v>
      </c>
      <c r="N77" s="255">
        <f t="shared" si="22"/>
        <v>56.42311328966423</v>
      </c>
      <c r="O77" s="255">
        <f t="shared" si="22"/>
        <v>55.95777477853314</v>
      </c>
      <c r="P77" s="255">
        <f t="shared" si="22"/>
        <v>55.50277625415012</v>
      </c>
      <c r="Q77" s="255">
        <f t="shared" si="22"/>
        <v>55.05795818935727</v>
      </c>
      <c r="R77" s="255">
        <f t="shared" si="22"/>
        <v>54.62315991235152</v>
      </c>
      <c r="S77" s="255">
        <f t="shared" si="22"/>
        <v>54.198219835414264</v>
      </c>
      <c r="T77" s="255">
        <f>+(T69/T64)*100</f>
        <v>53.78297567364493</v>
      </c>
      <c r="U77" s="255">
        <f>+(U69/U64)*100</f>
        <v>53.377264653776415</v>
      </c>
    </row>
  </sheetData>
  <sheetProtection/>
  <mergeCells count="12">
    <mergeCell ref="D11:F11"/>
    <mergeCell ref="G11:H11"/>
    <mergeCell ref="B67:C67"/>
    <mergeCell ref="D67:F67"/>
    <mergeCell ref="G67:H67"/>
    <mergeCell ref="J67:U67"/>
    <mergeCell ref="A1:H1"/>
    <mergeCell ref="A3:H3"/>
    <mergeCell ref="A5:H5"/>
    <mergeCell ref="A7:H7"/>
    <mergeCell ref="A8:H8"/>
    <mergeCell ref="B11:C11"/>
  </mergeCells>
  <printOptions/>
  <pageMargins left="0.75" right="0.75" top="1" bottom="1" header="0" footer="0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Fajardo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Fajardo</dc:creator>
  <cp:keywords/>
  <dc:description/>
  <cp:lastModifiedBy>Mayra</cp:lastModifiedBy>
  <cp:lastPrinted>2008-10-30T17:25:14Z</cp:lastPrinted>
  <dcterms:created xsi:type="dcterms:W3CDTF">2005-06-14T14:07:21Z</dcterms:created>
  <dcterms:modified xsi:type="dcterms:W3CDTF">2014-06-29T18:33:45Z</dcterms:modified>
  <cp:category/>
  <cp:version/>
  <cp:contentType/>
  <cp:contentStatus/>
</cp:coreProperties>
</file>