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firstSheet="1" activeTab="1"/>
  </bookViews>
  <sheets>
    <sheet name="Hoja1" sheetId="1" state="hidden" r:id="rId1"/>
    <sheet name="Plan Financiero" sheetId="2" r:id="rId2"/>
    <sheet name="DEUDA" sheetId="3" state="hidden" r:id="rId3"/>
    <sheet name="EJECUCIONES PTALES ACTIVA" sheetId="4" state="hidden" r:id="rId4"/>
    <sheet name="EJECUCIONES PTLES PASIVA" sheetId="5" state="hidden" r:id="rId5"/>
    <sheet name="Hoja2" sheetId="6" state="hidden" r:id="rId6"/>
    <sheet name="Hoja3" sheetId="7" state="hidden" r:id="rId7"/>
    <sheet name="Hoja4" sheetId="8" state="hidden" r:id="rId8"/>
  </sheets>
  <externalReferences>
    <externalReference r:id="rId11"/>
    <externalReference r:id="rId12"/>
  </externalReferences>
  <definedNames>
    <definedName name="_xlnm.Print_Area" localSheetId="3">'EJECUCIONES PTALES ACTIVA'!$B$1:$L$166</definedName>
    <definedName name="_xlnm.Print_Area" localSheetId="4">'EJECUCIONES PTLES PASIVA'!$B$1:$G$619</definedName>
    <definedName name="_xlnm.Print_Area" localSheetId="1">'Plan Financiero'!$C$178:$P$200</definedName>
    <definedName name="_xlnm.Print_Titles" localSheetId="3">'EJECUCIONES PTALES ACTIVA'!$2:$3</definedName>
  </definedNames>
  <calcPr fullCalcOnLoad="1"/>
</workbook>
</file>

<file path=xl/sharedStrings.xml><?xml version="1.0" encoding="utf-8"?>
<sst xmlns="http://schemas.openxmlformats.org/spreadsheetml/2006/main" count="2056" uniqueCount="1449">
  <si>
    <t>Señalización  a los sitios historicos y turísticos del municipio.</t>
  </si>
  <si>
    <t>Rescate de petroglifos y pictogramas.</t>
  </si>
  <si>
    <t>Recuperación y mantenimiento de los caminos reales</t>
  </si>
  <si>
    <t>Estudio e inventario de caminos reales.</t>
  </si>
  <si>
    <t>Capacitación, Divulgación y  promoción turística.</t>
  </si>
  <si>
    <t>Creación de paseos eco turísticos.</t>
  </si>
  <si>
    <t>Creacion, recuperacion, fortalecimiento y puesta en marcha de los puestos de salud en las veredas</t>
  </si>
  <si>
    <t>Extensión  y reposición de redes de acueducto</t>
  </si>
  <si>
    <t>Diseño y Construccion Acueducto Vereda Roblehueco</t>
  </si>
  <si>
    <t xml:space="preserve">Estudio, Diseño y Construccion Acueducto Sector Mirador Vereda Bobace </t>
  </si>
  <si>
    <t>Estudio, Diseño y Construccion Acueducto Vereda Cortes</t>
  </si>
  <si>
    <t>Plan Maestro de Acueducto y Catastro de Redes</t>
  </si>
  <si>
    <t>Modernizacion de la estacion de bombeo de las veredas Cubia y Barroblanco</t>
  </si>
  <si>
    <t>Estudio de Costos y Tarifas de los Servicios Publicos de Acueducto Alcantarillado y Aseo</t>
  </si>
  <si>
    <t>Plan Maestro de Alcantarillado  y Catastro de redes</t>
  </si>
  <si>
    <t>Adquisición de implementos  para el manejo de residuos sólidos</t>
  </si>
  <si>
    <t xml:space="preserve">Labranza Mínima </t>
  </si>
  <si>
    <t>Inseminación Artificial</t>
  </si>
  <si>
    <t>Seguridad Alimentaria</t>
  </si>
  <si>
    <t xml:space="preserve">Cultura Ciudadana </t>
  </si>
  <si>
    <t>C.I. de Asociacion No. 225 para Establecimiento y Mantenimiento de Plantacion Forestal Protectora</t>
  </si>
  <si>
    <t>C.I. de Asociacion No. 415 obras de adecuacion del cauce del rio Bojacá afluente del rio Bogotá</t>
  </si>
  <si>
    <t>Seminarios, charlas, talleres para la lucha contra la drogadicción, tabaquismo y alcoholismo con la ciudadania</t>
  </si>
  <si>
    <t>Talleres, charlas y conferencias en prevencion del embarazo precoz.</t>
  </si>
  <si>
    <t>Celebración del día de Acción Comunal.</t>
  </si>
  <si>
    <t>C.I. 536 Implementar Proyecto Polo de Desarrollo Deportivo Lucha Olimpica en Bojacá</t>
  </si>
  <si>
    <t>C.I. 622 Apoyo Escuela de Formación Deportiva (Pago Entrenadores de Futbol)</t>
  </si>
  <si>
    <t>C.I. 343 Juegos Deportivos Comunales 2007 (Premiacion)</t>
  </si>
  <si>
    <t>CI No. 124 Aunar Esfuerzos para la Confinanciación y Ejecución de obras para el Proyecto de Diagnostico, Estudios, Diseños, Construcción y Pavimentación de Areas Pobladas del Departamento de Cundinamarca</t>
  </si>
  <si>
    <t>Señalización vial</t>
  </si>
  <si>
    <t>C.I. No. 2533 Mejoramiento red terciaria nacional del Dpto de Cund-El Chilcal-Anatoli  Municipio de Bojacá</t>
  </si>
  <si>
    <t>Construcción, Terminación, Mantenimiento y ampliación  de las ciclo- rutas y caminos peatonales existentes</t>
  </si>
  <si>
    <t>C.I. No. SOP-C-161 Remodelacion, construccion y mantenimiento parque principal</t>
  </si>
  <si>
    <t>Adquisición de un sistema administrativo y contable</t>
  </si>
  <si>
    <t>C.I. de Asociacion No. 0291 Actualizacion del Diagnostico y Diseño del Plan Maestro de Acueducto y Alcantarillado</t>
  </si>
  <si>
    <t>C.I. 258 Apoyo Actividades Artistica y Culturales (V Encuentro Departamental de Danzas)</t>
  </si>
  <si>
    <t>EJECUCION 2008</t>
  </si>
  <si>
    <t>EJECUCION 2009</t>
  </si>
  <si>
    <t>EJECUCION 2010</t>
  </si>
  <si>
    <t>EJECUCION 2007</t>
  </si>
  <si>
    <t>Sobretasa Gasolina</t>
  </si>
  <si>
    <t>SGP</t>
  </si>
  <si>
    <t>Otros</t>
  </si>
  <si>
    <t>1 – INGRESOS</t>
  </si>
  <si>
    <t>2- INGRESOS CORRIENTE</t>
  </si>
  <si>
    <t>3- GASTOS E INVERSION</t>
  </si>
  <si>
    <t>4- INVERSION</t>
  </si>
  <si>
    <t>5- GASTOS</t>
  </si>
  <si>
    <t>Presupuesto ejecutado</t>
  </si>
  <si>
    <t>Presupuesto defitivo</t>
  </si>
  <si>
    <t>CONCEPTO DEL INGRESO</t>
  </si>
  <si>
    <t>VALOR PRESUPUESTADO</t>
  </si>
  <si>
    <t>VALOR RECAUDADO</t>
  </si>
  <si>
    <t>PORCENTAJE DE RECAUDO</t>
  </si>
  <si>
    <t>Aportes de la Nación</t>
  </si>
  <si>
    <t>Recursos Propios</t>
  </si>
  <si>
    <t>TOTALES</t>
  </si>
  <si>
    <t>Inversión</t>
  </si>
  <si>
    <t>Otros Conceptos</t>
  </si>
  <si>
    <t>VALOR     EJECUTADO</t>
  </si>
  <si>
    <t>CONCEPTO DEL GASTO</t>
  </si>
  <si>
    <t>2011</t>
  </si>
  <si>
    <t>EjECUCION 2011</t>
  </si>
  <si>
    <t>EJECUCION 2011</t>
  </si>
  <si>
    <t>11020709</t>
  </si>
  <si>
    <t>Transferencia Impuesto a los Cigarrillos</t>
  </si>
  <si>
    <t xml:space="preserve"> 2011</t>
  </si>
  <si>
    <t>CONCEPTO</t>
  </si>
  <si>
    <t>Presupuesto Inicial Aprobado</t>
  </si>
  <si>
    <t>Total Presupuesto de la Vigencia</t>
  </si>
  <si>
    <t>Valores Adicionados</t>
  </si>
  <si>
    <t>Porcentaje de Incremento</t>
  </si>
  <si>
    <t>Vigencia</t>
  </si>
  <si>
    <t xml:space="preserve">Acumulado </t>
  </si>
  <si>
    <t>junio 2011</t>
  </si>
  <si>
    <t>INCREMENTO PRESUPUESTAL - INGRESOS VIGENCIA 2006 - 2011</t>
  </si>
  <si>
    <t>MUNICIPIO DE BOJACA - CUNDINAMARCA</t>
  </si>
  <si>
    <t>CODIGO</t>
  </si>
  <si>
    <t>INGRESOS CORRIENTES</t>
  </si>
  <si>
    <t>INGRESOS TRIBUTARIOS</t>
  </si>
  <si>
    <t>IMPUESTOS DIRECTOS</t>
  </si>
  <si>
    <t>Impuesto Predial Unificado</t>
  </si>
  <si>
    <t>Plusvalia</t>
  </si>
  <si>
    <t>IMPUESTOS INDIRECTOS</t>
  </si>
  <si>
    <t>INDUSTRIA Y COMERCIO AVISOS Y TABLEROS</t>
  </si>
  <si>
    <t>Vendedores Ambulantes</t>
  </si>
  <si>
    <t>Servicios de Planeación</t>
  </si>
  <si>
    <t>NO TRIBUTARIOS</t>
  </si>
  <si>
    <t>Publicaciones</t>
  </si>
  <si>
    <t>Venta de Formularios y Pliegos</t>
  </si>
  <si>
    <t>Sanciones y Multas Administrativas</t>
  </si>
  <si>
    <t>INTERESES MORATORIOS</t>
  </si>
  <si>
    <t>PARTICIPACION REGALIAS</t>
  </si>
  <si>
    <t>SANCIONES TRIBUTARIAS</t>
  </si>
  <si>
    <t>Industria y Comercio</t>
  </si>
  <si>
    <t>Alquiler de Maquinaria Agricola</t>
  </si>
  <si>
    <t>TRANSFERENCIAS PARA FUNCIONAMIENTO</t>
  </si>
  <si>
    <t>Deporte</t>
  </si>
  <si>
    <t>Cultura</t>
  </si>
  <si>
    <t>VENTA DE ACTIVOS</t>
  </si>
  <si>
    <t>RENDIMIENTOS POR OPERACIONES FINANCIERAS</t>
  </si>
  <si>
    <t>RECURSOS DEL BALANCE</t>
  </si>
  <si>
    <t>SUPERAVIT FISCAL</t>
  </si>
  <si>
    <t>FONDOS ESPECIALES</t>
  </si>
  <si>
    <t>FONDO DE SEGURIDAD</t>
  </si>
  <si>
    <t>CULTURA</t>
  </si>
  <si>
    <t>Consumo Acueducto</t>
  </si>
  <si>
    <t>Venta de Agua en Bloque</t>
  </si>
  <si>
    <t>Conexión Alcantarillado</t>
  </si>
  <si>
    <t>Deuda Anterior</t>
  </si>
  <si>
    <t>INGRESOS CORRIENTES DE LIBRE DESTINACIÓN</t>
  </si>
  <si>
    <t>AÑO 2010</t>
  </si>
  <si>
    <t>AÑO 2011</t>
  </si>
  <si>
    <t>AÑO 2012</t>
  </si>
  <si>
    <t>AÑO 2013</t>
  </si>
  <si>
    <t>Menos:</t>
  </si>
  <si>
    <t>AÑO 2014</t>
  </si>
  <si>
    <t>AÑO 2015</t>
  </si>
  <si>
    <t>AÑO 2016</t>
  </si>
  <si>
    <t>Sobretasa a la gasolina (RECURSOS DEUDA PÚBLICA)</t>
  </si>
  <si>
    <t>AÑO 2017</t>
  </si>
  <si>
    <t>TOTAL INGRESOS TRIBUTARIOS</t>
  </si>
  <si>
    <t>INGRESOS NO TRIBUTARIOS</t>
  </si>
  <si>
    <t>Participación Regalias</t>
  </si>
  <si>
    <t>TOTAL INGRESOS  NO TRIBUTARIOS</t>
  </si>
  <si>
    <t>TOTAL I.C.L.D.</t>
  </si>
  <si>
    <t>CONCEPTOS</t>
  </si>
  <si>
    <t>AÑO 2018</t>
  </si>
  <si>
    <t>AÑO 2019</t>
  </si>
  <si>
    <t>AÑO 2020</t>
  </si>
  <si>
    <t>AÑO 2021</t>
  </si>
  <si>
    <t xml:space="preserve">GASTOS DE FUNCIONAMIENTO </t>
  </si>
  <si>
    <t>CONCEJO MUNICIPAL</t>
  </si>
  <si>
    <t>PERSONERIA MUNICIPAL</t>
  </si>
  <si>
    <t>GASTOS DE INVERSIÓN POR EJES ESTRATÉGICOS Y SECTORES</t>
  </si>
  <si>
    <t>INVERSIÓN INTEGRAL EN EL SER HUMANO</t>
  </si>
  <si>
    <t>EDUCACIÓN PARA EL DESARROLLO</t>
  </si>
  <si>
    <t>SALUD CON CALIDAD PARA TODOS</t>
  </si>
  <si>
    <t>FOMENTO DE ALTERNATIVAS ECONÓMICAS</t>
  </si>
  <si>
    <t>RECREACIÓN Y DEPORTE</t>
  </si>
  <si>
    <t>ATENCIÓN A LA POBLACIÓN VULNERABLE</t>
  </si>
  <si>
    <t xml:space="preserve">TOTAL  EJE </t>
  </si>
  <si>
    <t>INFRAESTRUCTURA, DESARROLLO URBANISTICO Y MEDIO AMBIENTE</t>
  </si>
  <si>
    <t>VIVIENDA PARA LOS MÁS NECESITADOS</t>
  </si>
  <si>
    <t>TURISMO Y MEDIO AMBIENTE</t>
  </si>
  <si>
    <t>SERVICIOS PÚBLICOS</t>
  </si>
  <si>
    <t>VIAS Y TRANSPORTE</t>
  </si>
  <si>
    <t>TOTAL EJE</t>
  </si>
  <si>
    <t>DESARROLLO INSTITUCIONAL, SEGURIDAD Y CONVIVENCIA CIUDADANA</t>
  </si>
  <si>
    <t>SEGURIDAD Y CONVIVIENCIA CIUDADANA CON TODOS Y PARA TODOS</t>
  </si>
  <si>
    <t>EQUIPAMENTO MUNICIPAL</t>
  </si>
  <si>
    <t>FORTALECIMIENTO Y TRANSPARENCIA INSTITUCIONAL</t>
  </si>
  <si>
    <t>TOTAL  EJE</t>
  </si>
  <si>
    <t>TOTAL GASTOS DE INVERSIÓN</t>
  </si>
  <si>
    <t>TOTAL PRESUPUESTO DE GASTOS</t>
  </si>
  <si>
    <t>PROYECCION  METAS  DE SUPERAVIT PRIMARIO</t>
  </si>
  <si>
    <t>1.  TOTAL INGRESOS( 1.1+1.2-1.3-1.4)</t>
  </si>
  <si>
    <t>1,1. INGRESOS CORRIENTES</t>
  </si>
  <si>
    <t>1.2. RECURSOS DE CAPITAL</t>
  </si>
  <si>
    <t>2.   TOTAL GASTO (2.1+2.2)</t>
  </si>
  <si>
    <t>2.1. GASTOS DE FUNCIONAMIENTO</t>
  </si>
  <si>
    <t>2.2. GASTOS DE INVERSIÓN</t>
  </si>
  <si>
    <t>3. SUPERAVIT PRIMARIO(1-2)</t>
  </si>
  <si>
    <t>4. SERVICIO A LA DEUDA</t>
  </si>
  <si>
    <t>5. EXCEDENTES DE SUPERAVIT (3-4)</t>
  </si>
  <si>
    <t>META DE SUPERAVIT PRIMARIO</t>
  </si>
  <si>
    <t>PLAN FINANCIERO - COMPONENTE DE INGRESOS - VIGENCIAS  2012  A   2021</t>
  </si>
  <si>
    <t>PRESUPUESTO DE RENTAS</t>
  </si>
  <si>
    <t>11010202</t>
  </si>
  <si>
    <t>Publicidad Exterior Visual</t>
  </si>
  <si>
    <t>Industria y Comercio Actual</t>
  </si>
  <si>
    <t>Industria y Comercio Anteriores</t>
  </si>
  <si>
    <t>Avisos y Tableros Actual</t>
  </si>
  <si>
    <t>Impuesto Predial de Vigencias Anteriores</t>
  </si>
  <si>
    <t>11010203</t>
  </si>
  <si>
    <t>Delineación Urbana, Licencias, Estudios y Aprobación de Planos</t>
  </si>
  <si>
    <t>11010204</t>
  </si>
  <si>
    <t>Espectáculos Públicos</t>
  </si>
  <si>
    <t>11010205</t>
  </si>
  <si>
    <t>Sobretasa a la Gasolina</t>
  </si>
  <si>
    <t>11010206</t>
  </si>
  <si>
    <t>Estampilla Pro Cultura</t>
  </si>
  <si>
    <t>11010207</t>
  </si>
  <si>
    <t>Estampilla Hogar Día</t>
  </si>
  <si>
    <t>TASAS Y DERECHOS</t>
  </si>
  <si>
    <t>1102</t>
  </si>
  <si>
    <t>110201</t>
  </si>
  <si>
    <t>11020101</t>
  </si>
  <si>
    <t>11020102</t>
  </si>
  <si>
    <t>Impuesto de Rifas, Apuestas y Juegos Permitidos</t>
  </si>
  <si>
    <t>11020103</t>
  </si>
  <si>
    <t>OTRAS TASAS Y DERECHOS (DESAGREGAR O ESPECIFICAR)</t>
  </si>
  <si>
    <t>1102010301</t>
  </si>
  <si>
    <t>Guías Movilización de Ganado</t>
  </si>
  <si>
    <t>1102010302</t>
  </si>
  <si>
    <t>1102010303</t>
  </si>
  <si>
    <t>Paz y Salvo y Certificados Municipales</t>
  </si>
  <si>
    <t>1102010304</t>
  </si>
  <si>
    <t>1102010305</t>
  </si>
  <si>
    <t>Aprovechamientos, Recargos y Reintegros</t>
  </si>
  <si>
    <t>1102010306</t>
  </si>
  <si>
    <t>Baños Públicos</t>
  </si>
  <si>
    <t>1102010307</t>
  </si>
  <si>
    <t>Ocupación de Vías y Sitios Públicos</t>
  </si>
  <si>
    <t>1102010308</t>
  </si>
  <si>
    <t>1102010309</t>
  </si>
  <si>
    <t>Centro de Informática Juvenil (Servicio de Internet)</t>
  </si>
  <si>
    <t>110202</t>
  </si>
  <si>
    <t>MULTAS DE GOBIERNO</t>
  </si>
  <si>
    <t>11020201</t>
  </si>
  <si>
    <t>11020202</t>
  </si>
  <si>
    <t>Depósitos y Semovientes (coso)</t>
  </si>
  <si>
    <t>110203</t>
  </si>
  <si>
    <t>11020301</t>
  </si>
  <si>
    <t>Predial</t>
  </si>
  <si>
    <t>11020302</t>
  </si>
  <si>
    <t>11020303</t>
  </si>
  <si>
    <t>Otros Intereses</t>
  </si>
  <si>
    <t>110204</t>
  </si>
  <si>
    <t>11020401</t>
  </si>
  <si>
    <t>11020402</t>
  </si>
  <si>
    <t>11020403</t>
  </si>
  <si>
    <t>Otros Sanciones Tributarias</t>
  </si>
  <si>
    <t>110205</t>
  </si>
  <si>
    <t>11020501</t>
  </si>
  <si>
    <t>11020502</t>
  </si>
  <si>
    <t>Regalías Materiales de Construcción</t>
  </si>
  <si>
    <t>Impuesto de Transporte por Oleoductos y Gasoductos</t>
  </si>
  <si>
    <t>110206</t>
  </si>
  <si>
    <t>RENTAS CONTRACTUALES</t>
  </si>
  <si>
    <t>11020601</t>
  </si>
  <si>
    <t>Arrendamientos</t>
  </si>
  <si>
    <t>11020602</t>
  </si>
  <si>
    <t>Alquiler de Maquinaria y Equipos</t>
  </si>
  <si>
    <t>11020603</t>
  </si>
  <si>
    <t>11020604</t>
  </si>
  <si>
    <t>Otras Rentas Contractuales</t>
  </si>
  <si>
    <t>110207</t>
  </si>
  <si>
    <t>TRANSFERENCIAS</t>
  </si>
  <si>
    <t>11020701</t>
  </si>
  <si>
    <t>SGP: Libre Destinación de Participación de Propósito General Municipios categorías 4, 5 y 6</t>
  </si>
  <si>
    <t>11020702</t>
  </si>
  <si>
    <t>De Vehículos Automotores</t>
  </si>
  <si>
    <t>11020703</t>
  </si>
  <si>
    <t>S. G. P. EDUCACION</t>
  </si>
  <si>
    <t>1102070301</t>
  </si>
  <si>
    <t>Recursos de Calidad</t>
  </si>
  <si>
    <t>1102070302</t>
  </si>
  <si>
    <t>Recursos de Gratuidad</t>
  </si>
  <si>
    <t>11020704</t>
  </si>
  <si>
    <t>Sistema General de Participaciones Alimentación Escolar</t>
  </si>
  <si>
    <t>11020705</t>
  </si>
  <si>
    <t>Sistema General Forzosa Inversión de Participación Propósito General para Agua Potable y Saneamiento Básico</t>
  </si>
  <si>
    <t>11020706</t>
  </si>
  <si>
    <t>S.G.P. POR CRECIMIENTO DE LA ECONOMIA-PRIMERO INFANCIA</t>
  </si>
  <si>
    <t>1102070601</t>
  </si>
  <si>
    <t>Paipi</t>
  </si>
  <si>
    <t>1102070602</t>
  </si>
  <si>
    <t>Adecuación y Mejoramiento de Infraestructura</t>
  </si>
  <si>
    <t>11020707</t>
  </si>
  <si>
    <t>SISTEMA GENERAL FORZOSA INVERSION DE PARTICIPACION PROPOSITO GENERAL</t>
  </si>
  <si>
    <t>1102070701</t>
  </si>
  <si>
    <t>1102070702</t>
  </si>
  <si>
    <t>1102070703</t>
  </si>
  <si>
    <t>Resto de Libre Inversión</t>
  </si>
  <si>
    <t>11020708</t>
  </si>
  <si>
    <t>Transferencia Sector Eléctrico para Inversión</t>
  </si>
  <si>
    <t>11020710</t>
  </si>
  <si>
    <t>CONVENIOS DE COFINANCIACION</t>
  </si>
  <si>
    <t>110208</t>
  </si>
  <si>
    <t>TRANSFERENCIAS 0.23%</t>
  </si>
  <si>
    <t>11020801</t>
  </si>
  <si>
    <t>Recursos Disposiciín Final de Residuos Solidos</t>
  </si>
  <si>
    <t>12</t>
  </si>
  <si>
    <t>INGRESOS DE CAPITAL</t>
  </si>
  <si>
    <t>1201</t>
  </si>
  <si>
    <t>RECURSOS DEL CRÉDITO</t>
  </si>
  <si>
    <t>120101</t>
  </si>
  <si>
    <t>INTERNO</t>
  </si>
  <si>
    <t>12010101</t>
  </si>
  <si>
    <t>Findeter</t>
  </si>
  <si>
    <t>12010102</t>
  </si>
  <si>
    <t>Banca Comercial Pública</t>
  </si>
  <si>
    <t>12010103</t>
  </si>
  <si>
    <t>Banca Comercial Privada</t>
  </si>
  <si>
    <t>120102</t>
  </si>
  <si>
    <t>EXTERNO</t>
  </si>
  <si>
    <t>12010201</t>
  </si>
  <si>
    <t>12010202</t>
  </si>
  <si>
    <t>1202</t>
  </si>
  <si>
    <t>120201</t>
  </si>
  <si>
    <t>CANCELACION DE RESERVAS</t>
  </si>
  <si>
    <t>12020101</t>
  </si>
  <si>
    <t>De Regalías</t>
  </si>
  <si>
    <t>12020102</t>
  </si>
  <si>
    <t>De SGP</t>
  </si>
  <si>
    <t>12020103</t>
  </si>
  <si>
    <t>De Otros</t>
  </si>
  <si>
    <t>120202</t>
  </si>
  <si>
    <t>12020201</t>
  </si>
  <si>
    <t>Recursos de Libre Destinación</t>
  </si>
  <si>
    <t>12020202</t>
  </si>
  <si>
    <t>Recursos de Forzosa Inversión - Educación</t>
  </si>
  <si>
    <t>12020203</t>
  </si>
  <si>
    <t>RECURSOS DE FORZOSA INVERSION - SALUD</t>
  </si>
  <si>
    <t>1202020301</t>
  </si>
  <si>
    <t>Recursos de Forzosa Inversión - Salud: Régimen Subsidiado</t>
  </si>
  <si>
    <t>1202020302</t>
  </si>
  <si>
    <t>Recursos de Forzosa Inversión - Salud:  Pública</t>
  </si>
  <si>
    <t>12020204</t>
  </si>
  <si>
    <t>Recursos de Forzosa Inversión - Alimentación Escolar</t>
  </si>
  <si>
    <t>12020205</t>
  </si>
  <si>
    <t>Recursos de Forzosa Inversión Propósito general</t>
  </si>
  <si>
    <t>12020206</t>
  </si>
  <si>
    <t>Regalías y Compensaciones</t>
  </si>
  <si>
    <t>12020207</t>
  </si>
  <si>
    <t>Otros Recursos de Forzosa Inversión Diferentes al SGP (con Destinación Específica)</t>
  </si>
  <si>
    <t>1203</t>
  </si>
  <si>
    <t>120301</t>
  </si>
  <si>
    <t>Al Sector Público</t>
  </si>
  <si>
    <t>120302</t>
  </si>
  <si>
    <t>Al Sector Privado</t>
  </si>
  <si>
    <t>1204</t>
  </si>
  <si>
    <t>120401</t>
  </si>
  <si>
    <t>Provenientes de Recursos Libre destinación</t>
  </si>
  <si>
    <t>120402</t>
  </si>
  <si>
    <t>PROVENIENTES DE RECURSOS SGP CON DESTINACION ESPECIFICA</t>
  </si>
  <si>
    <t>12040201</t>
  </si>
  <si>
    <t>Provenientes de Recursos SGP con Destinación Especifica - Educación</t>
  </si>
  <si>
    <t>12040202</t>
  </si>
  <si>
    <t>Provenientes de Recursos SGP con Destinación Especifica - Alimentación Escolar</t>
  </si>
  <si>
    <t>12040203</t>
  </si>
  <si>
    <t>Provenientes de Recursos SGP con Destinación Especifica - Propósito General</t>
  </si>
  <si>
    <t>12040204</t>
  </si>
  <si>
    <t>Provenientes de Recursos SGP con Destinación Especifica - Agua Potable y Saneamiento Básico</t>
  </si>
  <si>
    <t>13</t>
  </si>
  <si>
    <t>1301</t>
  </si>
  <si>
    <t>FONDO LOCAL DE SALUD</t>
  </si>
  <si>
    <t>130101</t>
  </si>
  <si>
    <t>REGIMEN SUBSIDIADO DE SALUD</t>
  </si>
  <si>
    <t>13010101</t>
  </si>
  <si>
    <t>S G P Para Salud Régimen Subsidiado Continuidad</t>
  </si>
  <si>
    <t>13010102</t>
  </si>
  <si>
    <t>S G P Para Salud Régimen Subsidiado Ampliación</t>
  </si>
  <si>
    <t>13010103</t>
  </si>
  <si>
    <t>Recursos Fosyga</t>
  </si>
  <si>
    <t>13010104</t>
  </si>
  <si>
    <t>Transferencias Departamentales</t>
  </si>
  <si>
    <t>13010105</t>
  </si>
  <si>
    <t>Empresa Para la Salud Etesa 75%</t>
  </si>
  <si>
    <t>13010106</t>
  </si>
  <si>
    <t>Caja de compensación Familiar Cafam (Sin Situación de Fondos)</t>
  </si>
  <si>
    <t>130102</t>
  </si>
  <si>
    <t>SALUD PUBLICA COLECTIVA</t>
  </si>
  <si>
    <t>13010201</t>
  </si>
  <si>
    <t>S G P Salud Publica PIC</t>
  </si>
  <si>
    <t>130103</t>
  </si>
  <si>
    <t>RECURSOS DE CAPITAL SALUD</t>
  </si>
  <si>
    <t>13010301</t>
  </si>
  <si>
    <t>SUPERAVIT FISCAL NO EJECUTADO</t>
  </si>
  <si>
    <t>1301030101</t>
  </si>
  <si>
    <t>Recursos de Forzosa Inversión Régimen Subsidiado Continuidad</t>
  </si>
  <si>
    <t>1301030102</t>
  </si>
  <si>
    <t>Recursos de Forzosa Inversión Régimen Subsidiado Ampliación</t>
  </si>
  <si>
    <t>1301030103</t>
  </si>
  <si>
    <t>Recursos de Forzosa Inversión Salud Publica</t>
  </si>
  <si>
    <t>1301030104</t>
  </si>
  <si>
    <t>Recursos de Forzosa Inversión Fosyga</t>
  </si>
  <si>
    <t>1301030105</t>
  </si>
  <si>
    <t>Recursos Etesa</t>
  </si>
  <si>
    <t>1301030106</t>
  </si>
  <si>
    <t>Otros Recursos de Forzosa Inversión Régimen Subsidiado</t>
  </si>
  <si>
    <t>1301030107</t>
  </si>
  <si>
    <t>Otros Recursos de Forzosa Inversión Salud Publica</t>
  </si>
  <si>
    <t>13010302</t>
  </si>
  <si>
    <t>RESERVAS PRESUPUESTALES EXCEPCIONALES LEY 819 DE 2003</t>
  </si>
  <si>
    <t>1301030201</t>
  </si>
  <si>
    <t>1301030202</t>
  </si>
  <si>
    <t>1301030203</t>
  </si>
  <si>
    <t>1301030204</t>
  </si>
  <si>
    <t>1301030205</t>
  </si>
  <si>
    <t>1301030206</t>
  </si>
  <si>
    <t>Rentas Cedidas</t>
  </si>
  <si>
    <t>1301030207</t>
  </si>
  <si>
    <t>Recursos de Cajas</t>
  </si>
  <si>
    <t>1301030208</t>
  </si>
  <si>
    <t>13010303</t>
  </si>
  <si>
    <t>RENDIMIENTOS DE OPERACIONES FINANCIERAS</t>
  </si>
  <si>
    <t>1301030301</t>
  </si>
  <si>
    <t>Recursos de Forzosa Inversión Régimen Subsidiado</t>
  </si>
  <si>
    <t>1301030302</t>
  </si>
  <si>
    <t>1302</t>
  </si>
  <si>
    <t>130201</t>
  </si>
  <si>
    <t>Contibuciones Especiales Sobre Contratos Ley 418/97</t>
  </si>
  <si>
    <t>130202</t>
  </si>
  <si>
    <t>Superavit Contribuciòn Especial Sobre Contratos.</t>
  </si>
  <si>
    <t>1303</t>
  </si>
  <si>
    <t>EDUCACION SUPERIOR</t>
  </si>
  <si>
    <t>130301</t>
  </si>
  <si>
    <t>Fondo Para la Eduación Superior FOES</t>
  </si>
  <si>
    <t>1304</t>
  </si>
  <si>
    <t>VENTA DE BIENES Y SERVICIOS</t>
  </si>
  <si>
    <t>130401</t>
  </si>
  <si>
    <t>ACUEDUCTO</t>
  </si>
  <si>
    <t>13040101</t>
  </si>
  <si>
    <t>Cargo Fijo</t>
  </si>
  <si>
    <t>13040102</t>
  </si>
  <si>
    <t>13040103</t>
  </si>
  <si>
    <t>Conexión Acueducto (Medidores, Cajillas y Accesorios)</t>
  </si>
  <si>
    <t>13040104</t>
  </si>
  <si>
    <t>Re conexión Acueducto</t>
  </si>
  <si>
    <t>13040105</t>
  </si>
  <si>
    <t>13040106</t>
  </si>
  <si>
    <t>Otros Ingresos de Acueducto</t>
  </si>
  <si>
    <t>13040107</t>
  </si>
  <si>
    <t>13040108</t>
  </si>
  <si>
    <t>Interés/Recargo por Mora</t>
  </si>
  <si>
    <t>130402</t>
  </si>
  <si>
    <t>ALCANTARILLADO</t>
  </si>
  <si>
    <t>13040201</t>
  </si>
  <si>
    <t>Consumo Alcantarillado</t>
  </si>
  <si>
    <t>13040202</t>
  </si>
  <si>
    <t>130403</t>
  </si>
  <si>
    <t>TARIFA RESIDENCIAL ASEO</t>
  </si>
  <si>
    <t>13040301</t>
  </si>
  <si>
    <t>Recolección de Residuos Sólidos</t>
  </si>
  <si>
    <t>130404</t>
  </si>
  <si>
    <t>13040401</t>
  </si>
  <si>
    <t>Recaudo Subsidios Acueducto y Aseo FSRI</t>
  </si>
  <si>
    <t>Transferencias</t>
  </si>
  <si>
    <t>Total Presupuesto de Gastos</t>
  </si>
  <si>
    <t>Presupuesto Aprobado</t>
  </si>
  <si>
    <t>Funcionamiento</t>
  </si>
  <si>
    <t>Servicio Deuda</t>
  </si>
  <si>
    <t>Inversion</t>
  </si>
  <si>
    <t>Presupuesto Ejecutado</t>
  </si>
  <si>
    <t>RECAUDO DE RENTAS MAS REPRESENTATIVAS</t>
  </si>
  <si>
    <t>Impuesto Predial</t>
  </si>
  <si>
    <t>Libre Destinación</t>
  </si>
  <si>
    <t>Educación</t>
  </si>
  <si>
    <t>Salud</t>
  </si>
  <si>
    <t>Agua Potable Y saneamiento Basico</t>
  </si>
  <si>
    <t>Alimentacion Escolar</t>
  </si>
  <si>
    <t>Otros Sectores</t>
  </si>
  <si>
    <t xml:space="preserve">          Gratuidad</t>
  </si>
  <si>
    <t xml:space="preserve">          Calidad</t>
  </si>
  <si>
    <t xml:space="preserve">          Regimen Subsidiado</t>
  </si>
  <si>
    <t xml:space="preserve">         Salud Publica</t>
  </si>
  <si>
    <t>Primera Infancia</t>
  </si>
  <si>
    <t>SISTEMA GENERAL DE PARTICIOPACIONES</t>
  </si>
  <si>
    <t>TOTAL</t>
  </si>
  <si>
    <t>GASTOS DE FUNCIONAMIENTO</t>
  </si>
  <si>
    <t>GASTOS DE INVERSIÓN</t>
  </si>
  <si>
    <t>PORCENTAJES TOTAL DE GASTOS</t>
  </si>
  <si>
    <t>PRESUPUESTO INICIAL APROBADO</t>
  </si>
  <si>
    <t>FUNCIONAMIENTO</t>
  </si>
  <si>
    <t>ADICIONES</t>
  </si>
  <si>
    <t>REDUCCIONES</t>
  </si>
  <si>
    <t>INVERSIÓN</t>
  </si>
  <si>
    <t>TOTAL PRESUPUESTO  PARA LA VIGENCIA</t>
  </si>
  <si>
    <t>PAGOS TOTALES</t>
  </si>
  <si>
    <t>SALDOS POR EJECUTAR</t>
  </si>
  <si>
    <t>PORCENTAJE DE PAGOS CON RELACIÓN AL PRESUPUESTO</t>
  </si>
  <si>
    <t>TOTAL PRESUPUESTO PARA GASTOS EN LA VIGENCIA</t>
  </si>
  <si>
    <t>TOTAL PAGOS EN LA VIGENCIA</t>
  </si>
  <si>
    <t>SITUACIÓN PRESUPUESTAL  -  GASTOS VIGENCIAS 2010</t>
  </si>
  <si>
    <t>SUBTOTAL FUNCIONAMIENTO + INVERSION</t>
  </si>
  <si>
    <t>SERVICIO A LA DEUDA PUBLICA</t>
  </si>
  <si>
    <t>PORCENTAJE DE SALDOS POR EJECUTAR</t>
  </si>
  <si>
    <t>SITUACION DE TESORERIA - GASTOS VIGENCIAS 2006 - 2010</t>
  </si>
  <si>
    <t>RECAUDOS TOTALES</t>
  </si>
  <si>
    <t>SUPERAVIT</t>
  </si>
  <si>
    <t>VIGENCIA 2006</t>
  </si>
  <si>
    <t>VIGENCIA 2007</t>
  </si>
  <si>
    <t>VIGENCIA 2008</t>
  </si>
  <si>
    <t>VIGENCIA 2009</t>
  </si>
  <si>
    <t>VIGENCIA 2010</t>
  </si>
  <si>
    <t>ALCALDIA MUNICIPAL</t>
  </si>
  <si>
    <t>TOTAL GASTOS FUNCIONAMIENTO (LEY 617 DE 2000)</t>
  </si>
  <si>
    <t>SECRETARIA DE SERVICIOS PUBLICOS</t>
  </si>
  <si>
    <t>COMPRA DE PREDIO VILLA OLIMPICA</t>
  </si>
  <si>
    <t>Trimestres</t>
  </si>
  <si>
    <t>SALDO INICIAL</t>
  </si>
  <si>
    <t>CUOTA</t>
  </si>
  <si>
    <t>INTERES</t>
  </si>
  <si>
    <t>ABONO A CAPITAL</t>
  </si>
  <si>
    <t>SALDO FINAL</t>
  </si>
  <si>
    <t>CONSTRUCCION COLISEO CUBIERTO</t>
  </si>
  <si>
    <t>Primer Año</t>
  </si>
  <si>
    <t>Segundo Año</t>
  </si>
  <si>
    <t>Tercer Año</t>
  </si>
  <si>
    <t>Cuarto Año</t>
  </si>
  <si>
    <t>Quinto Año</t>
  </si>
  <si>
    <t>Sexto Año</t>
  </si>
  <si>
    <t>Septimo Año</t>
  </si>
  <si>
    <t>Octavo Año</t>
  </si>
  <si>
    <t>Noveno Año</t>
  </si>
  <si>
    <t>Decimo Año</t>
  </si>
  <si>
    <t>1.2.1 Desembolsos de crédito</t>
  </si>
  <si>
    <t>1.2.2 Recursos del Balance (Superavit + Reservas)</t>
  </si>
  <si>
    <t>1.2.3 Rendimientos de Operaciones Financieras</t>
  </si>
  <si>
    <t>PLAN FINANCIERO - COMPONENTE GASTOS DE FUNCIONAMIENTO- VIGENCIAS  2012  A  2021</t>
  </si>
  <si>
    <t>PLAN FINANCIERO - COMPONENTE SERVICIO A LA DEUDA - VIGENCIAS 2012  -  2021</t>
  </si>
  <si>
    <t>PLAN FINANCIERO - COMPONENTE GASTOS DE INVERSIÓN - VIGENCIAS 2012  -  2021</t>
  </si>
  <si>
    <t>TOTAL SERVICIO A LA DEUDA PÚBLICA</t>
  </si>
  <si>
    <t>AMORTIZACION A CAPITAL</t>
  </si>
  <si>
    <t>AMORTIZACION A INTERESES</t>
  </si>
  <si>
    <t>NOMBRE</t>
  </si>
  <si>
    <t>CUENTA</t>
  </si>
  <si>
    <t>1</t>
  </si>
  <si>
    <t>11</t>
  </si>
  <si>
    <t>1101</t>
  </si>
  <si>
    <t>110101</t>
  </si>
  <si>
    <t>INPUESTOS DIRECTOS</t>
  </si>
  <si>
    <t>11010101</t>
  </si>
  <si>
    <t>11010102</t>
  </si>
  <si>
    <t>11010103</t>
  </si>
  <si>
    <t>110102</t>
  </si>
  <si>
    <t>11010201</t>
  </si>
  <si>
    <t>1101020101</t>
  </si>
  <si>
    <t>1101020102</t>
  </si>
  <si>
    <t>1101020103</t>
  </si>
  <si>
    <t xml:space="preserve">Industria y Comercio </t>
  </si>
  <si>
    <t>PARTICIPACION DE REGALIAS</t>
  </si>
  <si>
    <t>S. G. P. Educación</t>
  </si>
  <si>
    <t>S.G.P. Por Crecimiento de la Economía-Primera Infancia</t>
  </si>
  <si>
    <t>Sistema General Forzosa Inversión de Participación Propósito General</t>
  </si>
  <si>
    <t xml:space="preserve">Resto de Libre Inversión </t>
  </si>
  <si>
    <t>Convenios de Cofinanciación</t>
  </si>
  <si>
    <t>TRANSFERENCIAS 0,23%</t>
  </si>
  <si>
    <t xml:space="preserve">Recursos Disposiciín Final de Residuos Solidos </t>
  </si>
  <si>
    <t xml:space="preserve">Recursos de Libre Destinación </t>
  </si>
  <si>
    <t xml:space="preserve">Recursos de Forzosa Inversión Régimen Subsidiado </t>
  </si>
  <si>
    <t>Plaza de Mercado y Servicios</t>
  </si>
  <si>
    <t>S G P Para Salud Régimen Subsidiado (Sin Situación de Fondos)</t>
  </si>
  <si>
    <t>Recursos Fosyga (Sin Situación de Fondos)</t>
  </si>
  <si>
    <t>Otros Recursos Regimen Subsidiado</t>
  </si>
  <si>
    <t>Otros Recursos Salud Publica</t>
  </si>
  <si>
    <t>Impuesto Degüello Ganado Menor</t>
  </si>
  <si>
    <t>EJECUCION PRESUPUESTAL DE INGRESOS</t>
  </si>
  <si>
    <t>Porcentaje de Ejecución</t>
  </si>
  <si>
    <t>SITUACION DE TESORERIA - GASTOS SECRETARIA DE SERVICIOS PUBLICOS - 2011</t>
  </si>
  <si>
    <t>SUPERAVIT O DEFICIT</t>
  </si>
  <si>
    <t>ENERO 2011</t>
  </si>
  <si>
    <t>FEBRERO 2011</t>
  </si>
  <si>
    <t>MARZO 2011</t>
  </si>
  <si>
    <t>ABRIL 2011</t>
  </si>
  <si>
    <t>MAYO 2011</t>
  </si>
  <si>
    <t>JUNIO 2011</t>
  </si>
  <si>
    <t>JULIO 2011</t>
  </si>
  <si>
    <t>AGOSTO 2011</t>
  </si>
  <si>
    <t>SEPTIEMBR 2011</t>
  </si>
  <si>
    <t>SALDO ANTERIOR</t>
  </si>
  <si>
    <t>2010 INICIAL</t>
  </si>
  <si>
    <t>PROYECCION  METAS  DE SUPERAVIT PRIMARIO 2010</t>
  </si>
  <si>
    <t>RECAUDOS Y PAGOS EFECTIVOS 2010</t>
  </si>
  <si>
    <t>ARTICULO</t>
  </si>
  <si>
    <t>2</t>
  </si>
  <si>
    <t>PRESUPUESTO DE GASTOS</t>
  </si>
  <si>
    <t>21</t>
  </si>
  <si>
    <t>2101</t>
  </si>
  <si>
    <t>210101</t>
  </si>
  <si>
    <t>GASTOS DE PERSONAL</t>
  </si>
  <si>
    <t>21010101</t>
  </si>
  <si>
    <t>SERVICIOS PERSONALES ASOCIADOS A LA NOMINA</t>
  </si>
  <si>
    <t>2101010101</t>
  </si>
  <si>
    <t>Sueldo Personal de Nómina</t>
  </si>
  <si>
    <t>2101010102</t>
  </si>
  <si>
    <t>Bonificación Especial por Recreación</t>
  </si>
  <si>
    <t>2101010103</t>
  </si>
  <si>
    <t>Prima de Navidad</t>
  </si>
  <si>
    <t>2101010104</t>
  </si>
  <si>
    <t>Prima de Servicios</t>
  </si>
  <si>
    <t>2101010105</t>
  </si>
  <si>
    <t>Prima de Vacaciones</t>
  </si>
  <si>
    <t>2101010106</t>
  </si>
  <si>
    <t>Prima o Subsidio de Alimentación</t>
  </si>
  <si>
    <t>2101010107</t>
  </si>
  <si>
    <t>Auxilio de Transporte</t>
  </si>
  <si>
    <t>2101010108</t>
  </si>
  <si>
    <t>Indemnización por Vacaciones</t>
  </si>
  <si>
    <t>21010102</t>
  </si>
  <si>
    <t>SERVICIOS PERSONALES INDIRECTOS</t>
  </si>
  <si>
    <t>2101010201</t>
  </si>
  <si>
    <t>Honorarios Concejales</t>
  </si>
  <si>
    <t>21010103</t>
  </si>
  <si>
    <t>CONTRIBUCIONES INHERENTES A LA NOMINA</t>
  </si>
  <si>
    <t>2101010301</t>
  </si>
  <si>
    <t>Caja de Compensación</t>
  </si>
  <si>
    <t>2101010302</t>
  </si>
  <si>
    <t>A.P.S. Servicios Médicos</t>
  </si>
  <si>
    <t>2101010303</t>
  </si>
  <si>
    <t>A.P.S. Pensiones</t>
  </si>
  <si>
    <t>2101010304</t>
  </si>
  <si>
    <t>Fondo de Cesantías</t>
  </si>
  <si>
    <t>2101010305</t>
  </si>
  <si>
    <t>Inst. Colomb. Btar. Fliar. (I.C.B.F.)</t>
  </si>
  <si>
    <t>2101010306</t>
  </si>
  <si>
    <t>Inst. Técnico y Escuelas Industriales</t>
  </si>
  <si>
    <t>2101010307</t>
  </si>
  <si>
    <t>Escuela Superior de Admón. Pub(ESAP)</t>
  </si>
  <si>
    <t>2101010308</t>
  </si>
  <si>
    <t>Serv. Nal. de Aprendizaje (SENA)</t>
  </si>
  <si>
    <t>2101010309</t>
  </si>
  <si>
    <t>A.R.P. Riesgos Profesionales</t>
  </si>
  <si>
    <t>210102</t>
  </si>
  <si>
    <t>GASTOS GENERALES</t>
  </si>
  <si>
    <t>21010201</t>
  </si>
  <si>
    <t>ADQUISICION DE BIENES</t>
  </si>
  <si>
    <t>2101020101</t>
  </si>
  <si>
    <t>Materiales y Suministros</t>
  </si>
  <si>
    <t>2101020102</t>
  </si>
  <si>
    <t>Compra de Equipo, Muebles y Enseres</t>
  </si>
  <si>
    <t>2101020103</t>
  </si>
  <si>
    <t>Dotación de Personal</t>
  </si>
  <si>
    <t>21010202</t>
  </si>
  <si>
    <t>ADQUISICION DE SERVICIOS</t>
  </si>
  <si>
    <t>2101020201</t>
  </si>
  <si>
    <t xml:space="preserve">Mantenimiento </t>
  </si>
  <si>
    <t>2101020202</t>
  </si>
  <si>
    <t>Pago Asistencia Medica Concejales</t>
  </si>
  <si>
    <t>2101020203</t>
  </si>
  <si>
    <t>Pago Seguro de Vida Concejales</t>
  </si>
  <si>
    <t>2101020204</t>
  </si>
  <si>
    <t>Servicios Públicos</t>
  </si>
  <si>
    <t>2101020205</t>
  </si>
  <si>
    <t>Comunicación y Transporte</t>
  </si>
  <si>
    <t>2101020206</t>
  </si>
  <si>
    <t>Capacitación</t>
  </si>
  <si>
    <t>2101020207</t>
  </si>
  <si>
    <t>Impresos y Publicaciones</t>
  </si>
  <si>
    <t>2101020208</t>
  </si>
  <si>
    <t>Fenacon</t>
  </si>
  <si>
    <t>2102</t>
  </si>
  <si>
    <t>210201</t>
  </si>
  <si>
    <t>21020101</t>
  </si>
  <si>
    <t>2102010101</t>
  </si>
  <si>
    <t>2102010102</t>
  </si>
  <si>
    <t>2102010103</t>
  </si>
  <si>
    <t>2102010104</t>
  </si>
  <si>
    <t>2102010105</t>
  </si>
  <si>
    <t>2102010106</t>
  </si>
  <si>
    <t>Subsidio de Alimentación</t>
  </si>
  <si>
    <t>2102010107</t>
  </si>
  <si>
    <t>2102010108</t>
  </si>
  <si>
    <t>21020102</t>
  </si>
  <si>
    <t>2102010201</t>
  </si>
  <si>
    <t>11020203</t>
  </si>
  <si>
    <t>Comparendo Ambiental</t>
  </si>
  <si>
    <t>MUNICIPIO DE BOJACA - CUNDINAMARCA - MARCO FISCAL DE MEDIANO PLAZO</t>
  </si>
  <si>
    <t>MUNICIPIO DE BOJACA CUNDINAMARCA</t>
  </si>
  <si>
    <t>Honorarios Profesionales</t>
  </si>
  <si>
    <t>2102010202</t>
  </si>
  <si>
    <t>Contratos de Personal Temporal</t>
  </si>
  <si>
    <t>21020103</t>
  </si>
  <si>
    <t>2102010301</t>
  </si>
  <si>
    <t>2102010302</t>
  </si>
  <si>
    <t>2102010303</t>
  </si>
  <si>
    <t>2102010304</t>
  </si>
  <si>
    <t>2102010305</t>
  </si>
  <si>
    <t>2102010306</t>
  </si>
  <si>
    <t>2102010307</t>
  </si>
  <si>
    <t>2102010308</t>
  </si>
  <si>
    <t>2102010309</t>
  </si>
  <si>
    <t>210202</t>
  </si>
  <si>
    <t>21020201</t>
  </si>
  <si>
    <t>2102020101</t>
  </si>
  <si>
    <t>2102020102</t>
  </si>
  <si>
    <t>2102020103</t>
  </si>
  <si>
    <t>21020202</t>
  </si>
  <si>
    <t>2102020201</t>
  </si>
  <si>
    <t>2102020202</t>
  </si>
  <si>
    <t>2102020203</t>
  </si>
  <si>
    <t>Viáticos y Gastos de Viaje al Interior</t>
  </si>
  <si>
    <t>2102020204</t>
  </si>
  <si>
    <t>2102020205</t>
  </si>
  <si>
    <t>Seguros</t>
  </si>
  <si>
    <t>2102020206</t>
  </si>
  <si>
    <t>2102020207</t>
  </si>
  <si>
    <t xml:space="preserve">Organización Foros, Seminarios y Otros </t>
  </si>
  <si>
    <t>2102020208</t>
  </si>
  <si>
    <t>Asociación de Personeros</t>
  </si>
  <si>
    <t>2102020209</t>
  </si>
  <si>
    <t>Impresos y publicaciones</t>
  </si>
  <si>
    <t>2103</t>
  </si>
  <si>
    <t>ADMINISTRACION CENTRAL GASTOS FUNCIONAMIENTO</t>
  </si>
  <si>
    <t>210301</t>
  </si>
  <si>
    <t>21030101</t>
  </si>
  <si>
    <t>2103010101</t>
  </si>
  <si>
    <t>Sueldo personal de Nómina</t>
  </si>
  <si>
    <t>2103010102</t>
  </si>
  <si>
    <t>2103010103</t>
  </si>
  <si>
    <t>Bonificación por Dirección</t>
  </si>
  <si>
    <t>2103010104</t>
  </si>
  <si>
    <t>2103010105</t>
  </si>
  <si>
    <t>2103010106</t>
  </si>
  <si>
    <t>2103010107</t>
  </si>
  <si>
    <t>2103010108</t>
  </si>
  <si>
    <t>2103010109</t>
  </si>
  <si>
    <t>21030102</t>
  </si>
  <si>
    <t>2103010201</t>
  </si>
  <si>
    <t>2103010202</t>
  </si>
  <si>
    <t>Remuneración Servicios Técnicos</t>
  </si>
  <si>
    <t>2103010203</t>
  </si>
  <si>
    <t>Pago por Reconocimiento Funcionarios de Manejo</t>
  </si>
  <si>
    <t>2103010204</t>
  </si>
  <si>
    <t>21030103</t>
  </si>
  <si>
    <t>2103010301</t>
  </si>
  <si>
    <t>2103010302</t>
  </si>
  <si>
    <t>Servicios Médicos Concejales</t>
  </si>
  <si>
    <t>2103010303</t>
  </si>
  <si>
    <t>2103010304</t>
  </si>
  <si>
    <t>2103010305</t>
  </si>
  <si>
    <t>2103010306</t>
  </si>
  <si>
    <t>2103010307</t>
  </si>
  <si>
    <t>2103010308</t>
  </si>
  <si>
    <t>2103010309</t>
  </si>
  <si>
    <t>2103010310</t>
  </si>
  <si>
    <t>210302</t>
  </si>
  <si>
    <t>21030201</t>
  </si>
  <si>
    <t>2103020101</t>
  </si>
  <si>
    <t>2103020102</t>
  </si>
  <si>
    <t>Combustibles, Lubricantes y Grasas</t>
  </si>
  <si>
    <t>2103020103</t>
  </si>
  <si>
    <t>2103020104</t>
  </si>
  <si>
    <t>21030202</t>
  </si>
  <si>
    <t>2103020201</t>
  </si>
  <si>
    <t>Mantenimiento</t>
  </si>
  <si>
    <t>2103020202</t>
  </si>
  <si>
    <t>2103020203</t>
  </si>
  <si>
    <t>Seguro de Vida Concejales Ley 1148 de 2007</t>
  </si>
  <si>
    <t>2103020204</t>
  </si>
  <si>
    <t>Póliza de Seguro de Salud para Concejales Ley 1148 de 2007)</t>
  </si>
  <si>
    <t>2103020205</t>
  </si>
  <si>
    <t>Pago Impuesto de Vehículos</t>
  </si>
  <si>
    <t>2103020206</t>
  </si>
  <si>
    <t>2103020207</t>
  </si>
  <si>
    <t>Viáticos y Gastos de Viaje</t>
  </si>
  <si>
    <t>2103020208</t>
  </si>
  <si>
    <t>2103020209</t>
  </si>
  <si>
    <t xml:space="preserve">Capacitación </t>
  </si>
  <si>
    <t>2103020210</t>
  </si>
  <si>
    <t>Bienestar Social</t>
  </si>
  <si>
    <t>2103020211</t>
  </si>
  <si>
    <t>2103020212</t>
  </si>
  <si>
    <t>Ración y Traslado de Presos</t>
  </si>
  <si>
    <t>2103020213</t>
  </si>
  <si>
    <t>Inhumación de Cadáveres</t>
  </si>
  <si>
    <t>2103020214</t>
  </si>
  <si>
    <t>Medicina Legal y Necropsias</t>
  </si>
  <si>
    <t>2103020215</t>
  </si>
  <si>
    <t>Avalúos Especiales</t>
  </si>
  <si>
    <t>2103020216</t>
  </si>
  <si>
    <t>Gastos Electorales</t>
  </si>
  <si>
    <t>2103020217</t>
  </si>
  <si>
    <t>Evaluación Carrera Administrativa</t>
  </si>
  <si>
    <t>2103020218</t>
  </si>
  <si>
    <t>Comisiones, Intereses y demás Gastos Bancarios y Fiduciarios</t>
  </si>
  <si>
    <t>2103020219</t>
  </si>
  <si>
    <t>Indemnizaciones, Legalizaciones, Conciliaciones y Sentencias Judiciales</t>
  </si>
  <si>
    <t>2103020220</t>
  </si>
  <si>
    <t>Apoyo Logístico al Consejo Territorial de Planeación</t>
  </si>
  <si>
    <t>2103020221</t>
  </si>
  <si>
    <t>Revisión de Vehículos</t>
  </si>
  <si>
    <t>210303</t>
  </si>
  <si>
    <t>21030301</t>
  </si>
  <si>
    <t xml:space="preserve">Mesadas Pensiónales </t>
  </si>
  <si>
    <t>21030302</t>
  </si>
  <si>
    <t>Bonos Pensiónales</t>
  </si>
  <si>
    <t>21030303</t>
  </si>
  <si>
    <t>Federación Nacional de Municipios</t>
  </si>
  <si>
    <t>21030304</t>
  </si>
  <si>
    <t>Asociación de Municipios</t>
  </si>
  <si>
    <t>21030305</t>
  </si>
  <si>
    <t>Superintendencia de Salud Tasa Ley 488 de 1998</t>
  </si>
  <si>
    <t>21030306</t>
  </si>
  <si>
    <t>Coodecun</t>
  </si>
  <si>
    <t>21030307</t>
  </si>
  <si>
    <t>Regalías Porcentaje para Departamento (20%)</t>
  </si>
  <si>
    <t>21030308</t>
  </si>
  <si>
    <t>Regalías Porcentaje para Fondo Regalías (13%)</t>
  </si>
  <si>
    <t>Consorcio Comercial Fonpet</t>
  </si>
  <si>
    <t>Regalías Directas Interventorias</t>
  </si>
  <si>
    <t>2104</t>
  </si>
  <si>
    <t>SERVICIOS PUBLICOS DE ACUEDUCTO Y ALCANTARILLADO</t>
  </si>
  <si>
    <t>210401</t>
  </si>
  <si>
    <t>GASTOS DE ADMINISTRACION</t>
  </si>
  <si>
    <t>21040101</t>
  </si>
  <si>
    <t>2104010101</t>
  </si>
  <si>
    <t>Sueldos Personal de Nómina</t>
  </si>
  <si>
    <t>2104010102</t>
  </si>
  <si>
    <t>2104010103</t>
  </si>
  <si>
    <t>2104010104</t>
  </si>
  <si>
    <t>2104010105</t>
  </si>
  <si>
    <t>2104010106</t>
  </si>
  <si>
    <t>2104010107</t>
  </si>
  <si>
    <t>2104010108</t>
  </si>
  <si>
    <t>21040102</t>
  </si>
  <si>
    <t>2104010201</t>
  </si>
  <si>
    <t>2104010202</t>
  </si>
  <si>
    <t>2104010203</t>
  </si>
  <si>
    <t>2104010204</t>
  </si>
  <si>
    <t>21040103</t>
  </si>
  <si>
    <t>2104010301</t>
  </si>
  <si>
    <t>2104010302</t>
  </si>
  <si>
    <t>2104010303</t>
  </si>
  <si>
    <t>2104010304</t>
  </si>
  <si>
    <t>2104010305</t>
  </si>
  <si>
    <t>2104010306</t>
  </si>
  <si>
    <t>2104010307</t>
  </si>
  <si>
    <t>Escuela Superior de Admon Pub(ESAP)</t>
  </si>
  <si>
    <t>2104010308</t>
  </si>
  <si>
    <t>2104010309</t>
  </si>
  <si>
    <t>210402</t>
  </si>
  <si>
    <t>21040201</t>
  </si>
  <si>
    <t>2104020101</t>
  </si>
  <si>
    <t>2104020102</t>
  </si>
  <si>
    <t>2104020103</t>
  </si>
  <si>
    <t>2104020104</t>
  </si>
  <si>
    <t>21040202</t>
  </si>
  <si>
    <t>2104020201</t>
  </si>
  <si>
    <t>2104020202</t>
  </si>
  <si>
    <t>2104020203</t>
  </si>
  <si>
    <t>2104020204</t>
  </si>
  <si>
    <t>2104020205</t>
  </si>
  <si>
    <t>Obras y Mejoramiento de Propiedad Ajena</t>
  </si>
  <si>
    <t>2104020206</t>
  </si>
  <si>
    <t>Comisión de Regulación y Superintendencia de Servicios Públicos y Tasa Retributiva CAR</t>
  </si>
  <si>
    <t>2104020207</t>
  </si>
  <si>
    <t>Año 2007</t>
  </si>
  <si>
    <t>Año 2008</t>
  </si>
  <si>
    <t>Año 2009</t>
  </si>
  <si>
    <t>Año 2010</t>
  </si>
  <si>
    <t>2301</t>
  </si>
  <si>
    <t>SECTOR EDUCACIÓN PARA EL DESARROLLO</t>
  </si>
  <si>
    <t>230101</t>
  </si>
  <si>
    <t>PROGRAMA FORMACIÓN PARA EL DESARROLLO INTEGRAL</t>
  </si>
  <si>
    <t>23010101</t>
  </si>
  <si>
    <t>SUBPROGRAMA AMPLIACIÓN DE LA COBERTURA EDUCATIVA</t>
  </si>
  <si>
    <t>2301010101</t>
  </si>
  <si>
    <t>Programa de Inclusión a la Población Desescolarizada</t>
  </si>
  <si>
    <t>23010102</t>
  </si>
  <si>
    <t>SUBPROGRAMA DIVERSIFICACIÓN DE LA OFERTA EDUCATIVA</t>
  </si>
  <si>
    <t>2301010201</t>
  </si>
  <si>
    <t xml:space="preserve">Convenios para el Apoyo a la Comunidad Educativa </t>
  </si>
  <si>
    <t>2301010202</t>
  </si>
  <si>
    <t>Fomento y Estímulo a la Educación Superior FOES</t>
  </si>
  <si>
    <t>2301010203</t>
  </si>
  <si>
    <t>Apoyo para el Funcionamiento de los Hogares Comunitarios y Jardín Infantil.</t>
  </si>
  <si>
    <t>2301010204</t>
  </si>
  <si>
    <t>Calidad - Matrícula Oficial (Niños entre 5 y 17 Años de los Niveles I y II del SISBEN)</t>
  </si>
  <si>
    <t>230102</t>
  </si>
  <si>
    <t>PROGRAMA MEJORAMIENTO DE LA CALIDAD EDUCATIVA</t>
  </si>
  <si>
    <t>23010201</t>
  </si>
  <si>
    <t>SUBPROGRAMA ADECUACIÓN Y DOTACIÓN DE INSTITUCIONES EDUCATIVOS</t>
  </si>
  <si>
    <t>2301020101</t>
  </si>
  <si>
    <t>Aquisición Predios, Construcción, Ampliación, Adecuación y Mantenimiento  de las Instituciones Educativas.</t>
  </si>
  <si>
    <t>2301020102</t>
  </si>
  <si>
    <t>Dotación de las Instituciones  Educativas.</t>
  </si>
  <si>
    <t>2301020103</t>
  </si>
  <si>
    <t>Funcionamiento de las Instituciones Educativas  Municipales</t>
  </si>
  <si>
    <t>2301020104</t>
  </si>
  <si>
    <t>Dotación de Kits Escolares</t>
  </si>
  <si>
    <t>2301020105</t>
  </si>
  <si>
    <t>Atención Integral a la Primera Infancia</t>
  </si>
  <si>
    <t>2301020106</t>
  </si>
  <si>
    <t>Prestación del Servicio de Vigilancia</t>
  </si>
  <si>
    <t>2301020107</t>
  </si>
  <si>
    <t>Prestación del Servicio de Aseo</t>
  </si>
  <si>
    <t>23010202</t>
  </si>
  <si>
    <t>SUBPROGRAMA CONECTIVIDAD PARA EL PROGRESO</t>
  </si>
  <si>
    <t>2301020201</t>
  </si>
  <si>
    <t>Gestión e Implementación para la Conectividad de Internet Banda Ancha</t>
  </si>
  <si>
    <t>23010203</t>
  </si>
  <si>
    <t>SUBPROGRAMA TRANSPORTE ESCOLAR</t>
  </si>
  <si>
    <t>2301020301</t>
  </si>
  <si>
    <t>Fortalecimiento y Funcionamiento del Transporte Escolar Municipal</t>
  </si>
  <si>
    <t>2301020302</t>
  </si>
  <si>
    <t>Estrategia Subsidio Transporte Escolar</t>
  </si>
  <si>
    <t>23010204</t>
  </si>
  <si>
    <t>SUBPROGRAMA RESTAURANTES ESCOLARES</t>
  </si>
  <si>
    <t>2301020401</t>
  </si>
  <si>
    <t>Construcción, Adecuación y Mantenimiento de los Restaurantes Escolares</t>
  </si>
  <si>
    <t>2301020402</t>
  </si>
  <si>
    <t>Dotación Restaurantes Escolares.</t>
  </si>
  <si>
    <t>230103</t>
  </si>
  <si>
    <t>PROGRAMA ALIMENTACIÓN ESCOLAR</t>
  </si>
  <si>
    <t>23010301</t>
  </si>
  <si>
    <t>SUBPROGRAMA PRESTACION DIRECTA DEL SERVICIO</t>
  </si>
  <si>
    <t>2301030101</t>
  </si>
  <si>
    <t>Compra de Alimentos</t>
  </si>
  <si>
    <t>2301030102</t>
  </si>
  <si>
    <t xml:space="preserve">Contratación de Personal para la Preparación de Alimentos </t>
  </si>
  <si>
    <t>RESERVAS PRESUPUESTALES</t>
  </si>
  <si>
    <t>RESERVAS LEY 819 DE 2003</t>
  </si>
  <si>
    <t>2302</t>
  </si>
  <si>
    <t>SECTOR SALUD CON CALIDAD PARA TODOS - FONDO LOCAL DE SALUD</t>
  </si>
  <si>
    <t>230201</t>
  </si>
  <si>
    <t>PROGRAMA ASEGURAMIENTO</t>
  </si>
  <si>
    <t>23020101</t>
  </si>
  <si>
    <t>SUBPROGRAMA CELEBRACIÓN DE LOS CONTRATOS DE ASEGURAMIENTO.</t>
  </si>
  <si>
    <t>2302010101</t>
  </si>
  <si>
    <t>Aseguramiento a la Población más Vulnerable</t>
  </si>
  <si>
    <t>2302010102</t>
  </si>
  <si>
    <t>2302010103</t>
  </si>
  <si>
    <t>Interventoria del Régimen Subsidiado</t>
  </si>
  <si>
    <t>2302010104</t>
  </si>
  <si>
    <t>0.2% Superintendencia de Salud</t>
  </si>
  <si>
    <t>230202</t>
  </si>
  <si>
    <t>PROGRAMA EMERGENCIAS Y DESASTRES</t>
  </si>
  <si>
    <t>23020201</t>
  </si>
  <si>
    <t>GESTIÓN PARA LA IDENTIFICACIÓN Y PRIORIZACIÓN DE LOS RIESGOS DE EMERGENCIAS Y DESASTRES.</t>
  </si>
  <si>
    <t>2302020101</t>
  </si>
  <si>
    <t>Atención y Prevención de Desastres</t>
  </si>
  <si>
    <t>230203</t>
  </si>
  <si>
    <t>PROGRAMA SALUD PÚBLICA</t>
  </si>
  <si>
    <t>23020301</t>
  </si>
  <si>
    <t>SUBPROGRAMA PLAN DE INTERVENCIONES COLECTIVAS EN SALUD</t>
  </si>
  <si>
    <t>2302030101</t>
  </si>
  <si>
    <t>Plan de Intervenciones Colectivas en Salud</t>
  </si>
  <si>
    <t>Coordinador PIC</t>
  </si>
  <si>
    <t>23020302</t>
  </si>
  <si>
    <t xml:space="preserve">SUBPROGRAMA JUNTA DEFENSORA DE ANIMALES </t>
  </si>
  <si>
    <t>2302030201</t>
  </si>
  <si>
    <t>Fortalecimiento de la Junta Defensora de Animales</t>
  </si>
  <si>
    <t>2303</t>
  </si>
  <si>
    <t>SECTOR FOMENTO DE ALTERNATIVAS ECONÓMICAS</t>
  </si>
  <si>
    <t>230301</t>
  </si>
  <si>
    <t>PROGRAMA DIVULGACIÓN  Y PROMOCIÓN DE LA PRODUCCIÓN MUNICIPAL</t>
  </si>
  <si>
    <t>23030101</t>
  </si>
  <si>
    <t>SUBPROGRAMA APOYO Y ORGANIZACIÓN DEL DESARROLLO EMPRESARIAL Y COMERCIAL</t>
  </si>
  <si>
    <t>2303010101</t>
  </si>
  <si>
    <t>Fomento a la Producción y Comercialización Municipal</t>
  </si>
  <si>
    <t>2303010102</t>
  </si>
  <si>
    <t>Día del Campesino</t>
  </si>
  <si>
    <t>23030102</t>
  </si>
  <si>
    <t>SUBPROGRAMA TECNIFICACIÓN PARA LA COMPETITIVIDAD</t>
  </si>
  <si>
    <t>2303010201</t>
  </si>
  <si>
    <t>Apoyo, Fomento, Capacitación y Comercialización de la Producción Municipal</t>
  </si>
  <si>
    <t>2303010202</t>
  </si>
  <si>
    <t>Pago del Personal Técnico Vinculado a la Prestación del Servicio de Asistencia Técnica Directa Rural</t>
  </si>
  <si>
    <t>Estudios, Diseños, Ejecución y Desarrollo para la Adecuación y Mantenimiento del Distrito de Riego</t>
  </si>
  <si>
    <t>230302</t>
  </si>
  <si>
    <t>PROGRAMA DESARROLLO DE PROYECTOS PRODUCTIVOS</t>
  </si>
  <si>
    <t>23030201</t>
  </si>
  <si>
    <t>SUBPROGRAMA JÓVENES RURALES</t>
  </si>
  <si>
    <t>2303020101</t>
  </si>
  <si>
    <t>Apoyo, Fomento, Capacitación de Jóvenes Rurales</t>
  </si>
  <si>
    <t>23030202</t>
  </si>
  <si>
    <t>SUBPROGRAMA GRANJAS INTEGRALES</t>
  </si>
  <si>
    <t>2303020201</t>
  </si>
  <si>
    <t>Apoyo, Fomento, Capacitación de Granjas Integrales</t>
  </si>
  <si>
    <t>23030203</t>
  </si>
  <si>
    <t>SUBPROGRAMA CADENAS  PRODUCTIVAS</t>
  </si>
  <si>
    <t>2303020301</t>
  </si>
  <si>
    <t>Apoyo, Fomento, Capacitación de Cadenas Productivas</t>
  </si>
  <si>
    <t>2303020302</t>
  </si>
  <si>
    <t>Adquisición de Implementos, Mantenimiento, Operación y Funcionamiento Maquinaria Agrícola</t>
  </si>
  <si>
    <t>2304</t>
  </si>
  <si>
    <t>SECTOR CULTURA</t>
  </si>
  <si>
    <t>230401</t>
  </si>
  <si>
    <t>PROGRAMA FORTALECIMIENTO DE LA IDENTIDAD CULTURAL</t>
  </si>
  <si>
    <t>23040101</t>
  </si>
  <si>
    <t>SUBPROGRAMA ORGANIZACIÓN DE EVENTOS CULTURALES</t>
  </si>
  <si>
    <t>2304010101</t>
  </si>
  <si>
    <t>Fortalecimiento y Funcionamiento para la Realización y Participación de Eventos Culturales</t>
  </si>
  <si>
    <t>23040102</t>
  </si>
  <si>
    <t>SUBPROGRAMA ESCUELAS DE FORMACIÓN CULTURAL</t>
  </si>
  <si>
    <t>2304010201</t>
  </si>
  <si>
    <t>Creación, Implementación, Dotación y Fortalecimiento Escuelas de Formación Artística y Cultural</t>
  </si>
  <si>
    <t>Pago Seguridad Social del Artista</t>
  </si>
  <si>
    <t>Transferencia 20% Estampilla Pro Cultura al FONPET</t>
  </si>
  <si>
    <t>230402</t>
  </si>
  <si>
    <t>PROGRAMA BOJACA, CÍVICA Y CULTURAL</t>
  </si>
  <si>
    <t>23040201</t>
  </si>
  <si>
    <t>SUBPROGRAMA CONSTRUCCIÓN, CONSERVACIÓN, ADECUACIÓN Y MEJORAMIENTO DE ESPACIOS CULTURALES</t>
  </si>
  <si>
    <t>2304020101</t>
  </si>
  <si>
    <t>Construcción, Adecuación, Mantenimiento y Dotación de Espacios Lúdicos y Culturales</t>
  </si>
  <si>
    <t>23040202</t>
  </si>
  <si>
    <t>FOMENTO Y FORTALECIMIENTO DE BIBLIOTECAS Y LUDOTECAS PÚBLICAS</t>
  </si>
  <si>
    <t>2304020201</t>
  </si>
  <si>
    <t>Fortalecimiento y Funcionamiento de la Biblioteca Publica Municipal.</t>
  </si>
  <si>
    <t>2304020202</t>
  </si>
  <si>
    <t>Fortalecimiento, Funcionamiento y Dotación de la Ludoteca Municipal.</t>
  </si>
  <si>
    <t>2305</t>
  </si>
  <si>
    <t>SECTOR RECREACIÓN Y DEPORTE</t>
  </si>
  <si>
    <t>230501</t>
  </si>
  <si>
    <t>PROGRAMA APROVECHAMIENTO DEL TIEMPO LIBRE</t>
  </si>
  <si>
    <t>23050101</t>
  </si>
  <si>
    <t>SUBPROGRAMA ORGANIZACIÓN DE EVENTOS DEPORTIVOS</t>
  </si>
  <si>
    <t>2305010101</t>
  </si>
  <si>
    <t>Fortalecimiento y Funcionamiento para la Organización, Promoción de Eventos Deportivos y Recreativos</t>
  </si>
  <si>
    <t>Fortalecimiento, Organización y Promoción del Deporte Escolar e Intercolegiados</t>
  </si>
  <si>
    <t>23050102</t>
  </si>
  <si>
    <t>SUBPROGRAMA ESCUELAS DE FORMACIÓN DEPORTIVA MASCULINA Y FEMENINA</t>
  </si>
  <si>
    <t>2305010201</t>
  </si>
  <si>
    <t>Creación, Implementación, Dotación,  Fortalecimiento y Participación de las  Escuelas de Formación Deportiva del  Municipio</t>
  </si>
  <si>
    <t>230502</t>
  </si>
  <si>
    <t>PROGRAMA CONSERVACIÓN DE ESCENARIOS DEPORTIVOS</t>
  </si>
  <si>
    <t>23050201</t>
  </si>
  <si>
    <t>SUBPROGRAMA GESTIÓN PARA LA CONSTRUCCIÓN DE LA VILLA OLÍMPICA MUNICIPAL</t>
  </si>
  <si>
    <t>2305020101</t>
  </si>
  <si>
    <t>Estudio, Adquisición de Predios, Diseño y Construcción de la Villa Olímpica</t>
  </si>
  <si>
    <t>23050202</t>
  </si>
  <si>
    <t>SUBPROGRAMA CONSTRUCCIÓN, AMPLIACIÓN, MANTENIMIENTO  Y ORGANIZACIÓN DE ESPACIOS DEDICADOS AL DEPORTE Y RECREACIÓN</t>
  </si>
  <si>
    <t>2305020201</t>
  </si>
  <si>
    <t>Construcción, Adecuación, Mantenimiento y Dotación para Escenarios Deportivos y Espacios Recreativos</t>
  </si>
  <si>
    <t>2306</t>
  </si>
  <si>
    <t>SECTOR ATENCIÓN A LA POBLACIÓN VULNERABLE</t>
  </si>
  <si>
    <t>230601</t>
  </si>
  <si>
    <t>PROGRAMA ERRADICACIÓN DE LA POBREZA EXTREMA Y EL HAMBRE</t>
  </si>
  <si>
    <t>23060101</t>
  </si>
  <si>
    <t>SUBPROGRAMA SEGURIDAD ALIMENTARIA PARA UNA BOJACA SIN HAMBRE</t>
  </si>
  <si>
    <t>2306010101</t>
  </si>
  <si>
    <t xml:space="preserve">Mejoramiento del Nivel Nutricional de la Población Vulnerable </t>
  </si>
  <si>
    <t>2306010102</t>
  </si>
  <si>
    <t>Familias en Acción</t>
  </si>
  <si>
    <t>2306010103</t>
  </si>
  <si>
    <t>Red Juntos</t>
  </si>
  <si>
    <t>230602</t>
  </si>
  <si>
    <t>PROGRAMA UNIVERSALIZACIÓN DE LOS DERECHOS DE LA NIÑEZ Y ADOLESCENCIA</t>
  </si>
  <si>
    <t>23060201</t>
  </si>
  <si>
    <t>SUBPROGRAMA EXISTENCIA</t>
  </si>
  <si>
    <t>2306020101</t>
  </si>
  <si>
    <t>Adopción de Mecanismos para la Protección de la Niñez y la Adolescencia</t>
  </si>
  <si>
    <t>23060202</t>
  </si>
  <si>
    <t>SUBPROGRAMA DESARROLLO</t>
  </si>
  <si>
    <t>2306020201</t>
  </si>
  <si>
    <t>Construcción de un Jardín Infantil</t>
  </si>
  <si>
    <t>2306020202</t>
  </si>
  <si>
    <t>Fortalecimiento de Acciones para la Protección al Menor</t>
  </si>
  <si>
    <t>23060203</t>
  </si>
  <si>
    <t>SUBPROGRAMA CIUDADANÍA</t>
  </si>
  <si>
    <t>2306020301</t>
  </si>
  <si>
    <t>Fomento y Promoción de las Acciones para la Identificación de Menores</t>
  </si>
  <si>
    <t>23060204</t>
  </si>
  <si>
    <t>SUBPROGRAMA PROTECCIÓN</t>
  </si>
  <si>
    <t>2306020401</t>
  </si>
  <si>
    <t>Creación de Mecanismos Idóneos para la Formulación de Denuncias Sobre Maltrato</t>
  </si>
  <si>
    <t>230603</t>
  </si>
  <si>
    <t>PROGRAMA PROMOCIÓN DE LA EQUIDAD SOCIAL</t>
  </si>
  <si>
    <t>23060301</t>
  </si>
  <si>
    <t>SUBPROGRAMA ATENCIÓN AL ADULTO MAYOR Y PERSONAS CON DISCAPACIDAD</t>
  </si>
  <si>
    <t>2306030101</t>
  </si>
  <si>
    <t>Fortalecimiento, Funcionamiento, Adecuación, Mantenimiento y Dotación del Hogar Día</t>
  </si>
  <si>
    <t>2306030102</t>
  </si>
  <si>
    <t>Atención Población Adulto Mayor</t>
  </si>
  <si>
    <t>2306030103</t>
  </si>
  <si>
    <t>Fortalecimiento, Funcionamiento, Adecuación, Mantenimiento y Dotación del Centro de Vida Sensorial</t>
  </si>
  <si>
    <t>23060302</t>
  </si>
  <si>
    <t>SUBPROGRAMA ATENCIÓN A LA POBLACIÓN DESPLAZADA</t>
  </si>
  <si>
    <t>2306030201</t>
  </si>
  <si>
    <t>Fomento a los Derechos Humanos y Atención a la Población Desplazada.</t>
  </si>
  <si>
    <t>23060303</t>
  </si>
  <si>
    <t>SUBPROGRAMA DESARROLLO DE PROYECTOS  MICROEMPRESARIALES</t>
  </si>
  <si>
    <t>2306030301</t>
  </si>
  <si>
    <t>Crear y Fortalecer Proyectos Productivos para la Población Vulnerable</t>
  </si>
  <si>
    <t>23060304</t>
  </si>
  <si>
    <t>SUBPROGRAMA FORTALECIMIENTO DE VALORES Y CONSTRUCCIÓN DE TEJIDO FAMILIAR Y SOCIAL</t>
  </si>
  <si>
    <t>2306030401</t>
  </si>
  <si>
    <t>Diseño e Implementación de Estrategias Preventivas Contra la Violencia Intrafamiliar</t>
  </si>
  <si>
    <t>2307</t>
  </si>
  <si>
    <t>SECTOR VIVIENDA  PARA LOS MÁS NECESITADOS</t>
  </si>
  <si>
    <t>230701</t>
  </si>
  <si>
    <t>PROGRAMA V.I.S.</t>
  </si>
  <si>
    <t>23070101</t>
  </si>
  <si>
    <t>SUBPROGRAMA CONSTRUCCIÓN DE VIVIENDA EN EL ÁREA URBANA</t>
  </si>
  <si>
    <t>2307010101</t>
  </si>
  <si>
    <t>Estudios, Diseños, Adquisición de Predios, Construcción y Ejecución de Proyectos de Vivienda de Interés Social</t>
  </si>
  <si>
    <t>23070102</t>
  </si>
  <si>
    <t>SUBPROGRAMA CONSTRUCCIÓN DE VIVIENDA EN LOTE PROPIO</t>
  </si>
  <si>
    <t>2307010201</t>
  </si>
  <si>
    <t>Gestión, Estudios, Diseños, Evaluación, Adjudicación de Subsidios y Construcción de Vivienda Urbano y Rural</t>
  </si>
  <si>
    <t>230702</t>
  </si>
  <si>
    <t>PROGRAMA MEJORAMIENTO Y LEGALIZACIÓN DE VIVIENDA</t>
  </si>
  <si>
    <t>23070201</t>
  </si>
  <si>
    <t>SUBPROGRAMA MEJORAMIENTO DE VIVIENDA URBANA Y RURAL</t>
  </si>
  <si>
    <t>2307020101</t>
  </si>
  <si>
    <t>Gestión, Estudios, Evaluación, Adjudicación de Subsidios y Mejoramiento de Vivienda Urbana y Rural</t>
  </si>
  <si>
    <t>23070202</t>
  </si>
  <si>
    <t>SUBPROGRAMA LEGALIZACIÓN  DE PREDIOS  Y DISMINUCIÓN DE ASENTAMIENTOS PRECARIOS</t>
  </si>
  <si>
    <t>2307020201</t>
  </si>
  <si>
    <t>Estudios, Reglamentación para Legalización de Asentamientos Precarios del Municipio</t>
  </si>
  <si>
    <t>2307020202</t>
  </si>
  <si>
    <t>Subsidios para la Titulación y Legalización de Inmuebles</t>
  </si>
  <si>
    <t>2307020203</t>
  </si>
  <si>
    <t>Atención, Construcción o Reubicación de Vivienda por Desastres o Emergencias</t>
  </si>
  <si>
    <t>2308</t>
  </si>
  <si>
    <t>SECTOR TURISMO Y MEDIO AMBIENTE</t>
  </si>
  <si>
    <t>230801</t>
  </si>
  <si>
    <t>PROGRAMA GARANTÍA DE  LA SOSTENIBILIDAD  AMBIENTAL</t>
  </si>
  <si>
    <t>23080101</t>
  </si>
  <si>
    <t>SUBPROGRAMA PROTECCIÓN, PRESERVACIÓN, RECUPERACIÓN Y RESTAURACIÓN AMBIENTAL</t>
  </si>
  <si>
    <t>2308010101</t>
  </si>
  <si>
    <t>Adquisición, Adecuación, Mantenimiento, Reforestación y Recuperación de Predios con Cuencas Hidrográficas y Zonas de Protección Ambiental</t>
  </si>
  <si>
    <t>2308010102</t>
  </si>
  <si>
    <t>Fomento Forestal y Plantación de Especies Nativas, Conservación, Mantenimiento de los Recursos Naturales y Cuerpos de Aguas</t>
  </si>
  <si>
    <t>2308010103</t>
  </si>
  <si>
    <t>Promoción y Desarrollo de Programas de Protección Ambiental</t>
  </si>
  <si>
    <t>23080102</t>
  </si>
  <si>
    <t>SUBPROGRAMA RECICLAJE DE RESIDUOS SÓLIDOS Y BIODEGRADABLES</t>
  </si>
  <si>
    <t>2308010201</t>
  </si>
  <si>
    <t>Promoción y Desarrollo de Proyectos para la Sensibilización y Capacitación en el Manejo de Residuos Sólidos en la Fuente</t>
  </si>
  <si>
    <t>23080103</t>
  </si>
  <si>
    <t>SUBPROGRAMA IMPLEMENTACIÓN DEL SISTEMA DE GESTIÓN AMBIENTAL MUNICIPAL - SIGAM</t>
  </si>
  <si>
    <t>2308010301</t>
  </si>
  <si>
    <t>Fomento, Divulgación, Implementación y Desarrollo del Sistema de Información en Gestión Ambiental Municipal-SIGAM</t>
  </si>
  <si>
    <t>23080104</t>
  </si>
  <si>
    <t>SUBPROGRAMA BOJACA VERDE: DESCONTAMINADA Y CON UN AMBIENTE SANO</t>
  </si>
  <si>
    <t>2308010401</t>
  </si>
  <si>
    <t>Promoción, Diseño, Mantenimiento y Ejecución de Programas de Revegetalizacion en Áreas de Alinderamiento</t>
  </si>
  <si>
    <t>230802</t>
  </si>
  <si>
    <t>PROGRAMA FOMENTO Y DIVULGACIÓN DE LAS POTENCIALIDADES TURÍSTICAS</t>
  </si>
  <si>
    <t>23080201</t>
  </si>
  <si>
    <t>SUBPROGRAMA DISEÑO, FORMULACIÓN Y GESTIÓN DEL PLAN  TURÍSTICO ARTICULADO CON EL PLAN REGIONAL</t>
  </si>
  <si>
    <t>2308020101</t>
  </si>
  <si>
    <t>Gestión, Estudios, Diseños, Implementación e Integración Regional para el Desarrollo del Plan Turístico Municipal</t>
  </si>
  <si>
    <t>2308020102</t>
  </si>
  <si>
    <t>Apoyo, Fomento, Participación, Realización y Promoción de Eventos y Atractivos Turísticos del Municipio</t>
  </si>
  <si>
    <t>23080202</t>
  </si>
  <si>
    <t>SUBPROGRAMA MEJORAMIENTO Y ADECUACIÓN DE PARQUES NATURALES Y ESCENARIOS TURÍSTICOS</t>
  </si>
  <si>
    <t>2308020201</t>
  </si>
  <si>
    <t>Estudio, Diseño, Ejecución y Desarrollo para la Adecuación y Mantenimiento de Escenarios Turísticos Municipales</t>
  </si>
  <si>
    <t>2309</t>
  </si>
  <si>
    <t>SECTOR SERVICIOS PÚBLICOS</t>
  </si>
  <si>
    <t>230901</t>
  </si>
  <si>
    <t>PROGRAMA AGUA POTABLE Y SANEAMIENTO BÁSICO</t>
  </si>
  <si>
    <t>23090101</t>
  </si>
  <si>
    <t>SUBPROGRAMA PLAN DEPARTAMENTAL DE AGUAS</t>
  </si>
  <si>
    <t>2309010101</t>
  </si>
  <si>
    <t xml:space="preserve">Estudios, Diseños, Ejecución y Desarrollo del Plan Departamental de Aguas </t>
  </si>
  <si>
    <t>2309010102</t>
  </si>
  <si>
    <t>Formulación, Implantación y Acciones de Fortalecimiento de Esquemas Organizacionales para La Administración y Operación de los Servicios de Acueducto, Alcantarillado y Aseo</t>
  </si>
  <si>
    <t>230902</t>
  </si>
  <si>
    <t>PROGRAMA PLAN MAESTRO DE ACUEDUCTO</t>
  </si>
  <si>
    <t>23090201</t>
  </si>
  <si>
    <t>SUBPROGRAMA CONSTRUCCIÓN Y MANTENIMIENTO DE REDES  Y  ACUEDUCTO  URBANO</t>
  </si>
  <si>
    <t>2309020101</t>
  </si>
  <si>
    <t>Estudios, Diseños, Adecuación, Mantenimiento y Operación de los Pozos Profundos, Plantas de Tratamiento de Agua Potable y su Infraestructura Existente</t>
  </si>
  <si>
    <t>2309020102</t>
  </si>
  <si>
    <t>Estudios, Diseños, Construcción y Mantenimiento de Redes de Acueducto</t>
  </si>
  <si>
    <t>2309020103</t>
  </si>
  <si>
    <t>Compra de Maquinaria, Equipos, Insumos y Accesorios para los Acueductos</t>
  </si>
  <si>
    <t>2309020104</t>
  </si>
  <si>
    <t>Fomento, Diseño, Ejecución e Implementación del Programa de Ahorro y Uso Eficiente del Agua</t>
  </si>
  <si>
    <t>2309020105</t>
  </si>
  <si>
    <t>Capacitación Personal Operativo</t>
  </si>
  <si>
    <t>2309020106</t>
  </si>
  <si>
    <t>Potabilización, Análisis y Reportes de Calidad de Agua</t>
  </si>
  <si>
    <t>2309020107</t>
  </si>
  <si>
    <t>Fondo de Solidaridad y Redistribución del Ingreso - Pago de Subsidios</t>
  </si>
  <si>
    <t>23090202</t>
  </si>
  <si>
    <t>SUBPROGRAMA CONSTRUCCIÓN, AMPLIACIÓN  Y MANTENIMIENTO DE ACUEDUCTOS  RURALES</t>
  </si>
  <si>
    <t>2309020201</t>
  </si>
  <si>
    <t>Estudios, Diseños, Adecuación, Mantenimiento y Operación de los Pozos Profundos, Plantas de Tratamiento de Agua Potable y su Infraestructura Existente.</t>
  </si>
  <si>
    <t>2309020202</t>
  </si>
  <si>
    <t>Estudios, Diseños, Construcción y Mantenimiento de Redes de Acueducto.</t>
  </si>
  <si>
    <t>2309020203</t>
  </si>
  <si>
    <t>Compra de Maquinaria, Equipos, Insumos y Accesorios para los Acueductos.</t>
  </si>
  <si>
    <t>2309020204</t>
  </si>
  <si>
    <t>Fomento, Diseño, Ejecución e Implementación del Programa de Ahorro y Uso Eficiente del Agua.</t>
  </si>
  <si>
    <t>2309020205</t>
  </si>
  <si>
    <t>Potabilización, Análisis y Reportes de Calidad de Agua.</t>
  </si>
  <si>
    <t>2309020206</t>
  </si>
  <si>
    <t>Fondo de Solidaridad y Redistribución del Ingreso - Pago de Subsidios..</t>
  </si>
  <si>
    <t>23090203</t>
  </si>
  <si>
    <t>SUBPROGRAMA ABASTECIMIENTO Y POTABILIZACIÓN DEL RECURSO HÍDRICO</t>
  </si>
  <si>
    <t>2309020301</t>
  </si>
  <si>
    <t>Estudios, Diseños, Construcción de Pozos Profundos</t>
  </si>
  <si>
    <t>2309020302</t>
  </si>
  <si>
    <t xml:space="preserve">Estudios, Diseños y Construcción Plantas de Tratamiento de Agua Potable y Redes de Acueductos Rurales </t>
  </si>
  <si>
    <t>2309020303</t>
  </si>
  <si>
    <t>Estudios, Diseños para la Identificación de Fuentes Hídricas y Compra de Predios</t>
  </si>
  <si>
    <t>23090204</t>
  </si>
  <si>
    <t>SUBPROGRAMA CONSTRUCCIÓN Y MANTENIMIENTO DE REDES DE ALCANTARILLADO SANITARIO Y PLUVIAL</t>
  </si>
  <si>
    <t>2309020401</t>
  </si>
  <si>
    <t>Estudios, Diseños, Construcción, Reposición y Mantenimiento de las Redes de Alcantarillado Sanitario y Pluvial</t>
  </si>
  <si>
    <t>Fondo de Solidaridad y Redistribución del Ingreso – Pago de Subsidioss</t>
  </si>
  <si>
    <t>230903</t>
  </si>
  <si>
    <t>PROGRAMA PLAN  DE SANEAMIENTO Y MANEJO DE VERTIMIENTOS</t>
  </si>
  <si>
    <t>23090301</t>
  </si>
  <si>
    <t>SUBPROGRAMA TRATAMIENTO DE AGUAS RESIDUALES</t>
  </si>
  <si>
    <t>2309030101</t>
  </si>
  <si>
    <t>Operación y Mantenimiento de la Estación de Bombeo San Agustín</t>
  </si>
  <si>
    <t>2309030102</t>
  </si>
  <si>
    <t>Ampliación de la Planta de Tratamiento de Aguas Residuales</t>
  </si>
  <si>
    <t>2309030103</t>
  </si>
  <si>
    <t>Plan de Saneamiento y Manejo de Vertimientos</t>
  </si>
  <si>
    <t>2309030104</t>
  </si>
  <si>
    <t>Descontaminación Rio Bogotá</t>
  </si>
  <si>
    <t>230904</t>
  </si>
  <si>
    <t>PROGRAMA PLAN DE GESTIÓN INTEGRAL DE RESIDUOS SOLIDOS</t>
  </si>
  <si>
    <t>23090401</t>
  </si>
  <si>
    <t>SUBPROGRAMA PREVENCIÓN Y CONTROL DE LA DEGRADACIÓN AMBIENTAL</t>
  </si>
  <si>
    <t>2309040101</t>
  </si>
  <si>
    <t>Recolección, Transporte y Disposición Final de Residuos Sólidos</t>
  </si>
  <si>
    <t>2309040102</t>
  </si>
  <si>
    <t>Evaluación de los Estudios y Diseños, Construcción, Dotación y Mantenimiento de la Planta de Aprovechamiento Residuos Sólidos.</t>
  </si>
  <si>
    <t>2309040103</t>
  </si>
  <si>
    <t>Adquisición, Adecuación y Mantenimiento Vehículo Recolector de Basuras</t>
  </si>
  <si>
    <t>2309040104</t>
  </si>
  <si>
    <t>Desarrollo e Implementación del Plan de Gestión Integral de Residuos Sólidos</t>
  </si>
  <si>
    <t>2309040105</t>
  </si>
  <si>
    <t>Capacitación Personal Operativo.</t>
  </si>
  <si>
    <t>2309040106</t>
  </si>
  <si>
    <t>Fondo de Solidaridad y Redistribución del Ingreso - Pago de Subsidioss</t>
  </si>
  <si>
    <t>230905</t>
  </si>
  <si>
    <t>PROGRAMA ELECTRIFICACIÓN MUNICIPAL</t>
  </si>
  <si>
    <t>23090501</t>
  </si>
  <si>
    <t>SUBPROGRAMA AMPLIACION Y MANTENIMIENTO REDES ELECTRICAS</t>
  </si>
  <si>
    <t>2309050101</t>
  </si>
  <si>
    <t>Ampliación y Extensión de Redes Eléctricas del Municipio</t>
  </si>
  <si>
    <t>2309050102</t>
  </si>
  <si>
    <t>Mantenimiento Redes Eléctricas del Municipio</t>
  </si>
  <si>
    <t>230906</t>
  </si>
  <si>
    <t>PROGRAMA GASIFICACION MUNICIPAL</t>
  </si>
  <si>
    <t>23090601</t>
  </si>
  <si>
    <t>SUBPROGRAMA AMPLIACION, EXTENSION REDES DE GAS DOMICILIARIO</t>
  </si>
  <si>
    <t>2309060101</t>
  </si>
  <si>
    <t>Ampliación, Extensión Redes de Gas Domiciliario del Municipio</t>
  </si>
  <si>
    <t>2103020105</t>
  </si>
  <si>
    <t>C.I.C SGO-0040-2010 Aunar Esfuerzos para la Cofinanciación y Compra de un Vehículo 4X4 Ultimo Modelo</t>
  </si>
  <si>
    <t>2103020222</t>
  </si>
  <si>
    <t>Sistema de Alarma y Seguridad para el Palacio Municipal</t>
  </si>
  <si>
    <t>2103020223</t>
  </si>
  <si>
    <t>Salud Ocupacional</t>
  </si>
  <si>
    <t>Sept 30 de 2011</t>
  </si>
  <si>
    <t>2310</t>
  </si>
  <si>
    <t>SECTOR VÍAS Y TRANSPORTE</t>
  </si>
  <si>
    <t>231001</t>
  </si>
  <si>
    <t>PROGRAMA CONSTRUCCIÓN Y MEJORAMIENTO DE LA INFRAESTRUCTURA VIAL</t>
  </si>
  <si>
    <t>23100101</t>
  </si>
  <si>
    <t>SUBPROGRAMA GESTIÓN PARA EL MEJORAMIENTO O TERMINACIÓN DEL ANILLO VIAL URBANO,  INTERMUNICIPAL Y VÍAS DE COMUNICACIÓN URBANO- RURAL</t>
  </si>
  <si>
    <t>2310010101</t>
  </si>
  <si>
    <t>Estudio Diseño, Mejoramiento y Ampliación de la Malla Vial Municipal</t>
  </si>
  <si>
    <t>2310010102</t>
  </si>
  <si>
    <t>Estudio, Diseño, Construcción, Mejoramiento y Adecuación del Espacio Publico</t>
  </si>
  <si>
    <t>23100102</t>
  </si>
  <si>
    <t>SUBPROGRAMA MANTENIMIENTO DEL SISTEMA VIAL URBANO Y RURAL</t>
  </si>
  <si>
    <t>2310010201</t>
  </si>
  <si>
    <t xml:space="preserve">Mantenimiento de la Malla Vial para la Movilidad Urbana </t>
  </si>
  <si>
    <t>2310010202</t>
  </si>
  <si>
    <t>Mantenimiento de Todas las Vías Veredales del Municipio</t>
  </si>
  <si>
    <t>231002</t>
  </si>
  <si>
    <t>PROGRAMA MOVILIDAD PARA LOS CIUDADANOS</t>
  </si>
  <si>
    <t>23100201</t>
  </si>
  <si>
    <t>SUBPROGRAMA DISEÑO Y ORGANIZACIÓN DEL SISTEMA DE TRANSPORTE LOCAL E INTERMUNICIPAL</t>
  </si>
  <si>
    <t>2310020101</t>
  </si>
  <si>
    <t>Estudio y Evaluación de la Rutas de Transporte Publico Municipal</t>
  </si>
  <si>
    <t>2311</t>
  </si>
  <si>
    <t>SECTOR SEGURIDAD Y CONVIVENCIA CIUDADANA POR TODOS Y PARA TODOS</t>
  </si>
  <si>
    <t>231101</t>
  </si>
  <si>
    <t>PROGRAMA PREVENCIÓN DE DELITOS CONTRA LA FAMILIA Y LA SOCIEDAD</t>
  </si>
  <si>
    <t>23110101</t>
  </si>
  <si>
    <t>SUBPROGRAMA CREACIÓN DE LA COMISARÍA DE FAMILIAS</t>
  </si>
  <si>
    <t>2311010101</t>
  </si>
  <si>
    <t xml:space="preserve">Sostenimiento y Operación de la Comisaría de Familia </t>
  </si>
  <si>
    <t>23110102</t>
  </si>
  <si>
    <t>SUBPROGRAMA CREACIÓN DEL CUERPO DE BOMBEROS VOLUNTARIO</t>
  </si>
  <si>
    <t>2311010201</t>
  </si>
  <si>
    <t>Capacitación, Conformación, Dotación y Sostenimiento del Cuerpo de Bomberos Voluntarios</t>
  </si>
  <si>
    <t>23110103</t>
  </si>
  <si>
    <t>SUBPROGRAMA CONSOLIDACIÓN   DE  FRENTES DE SEGURIDAD CIUDADANA Y DOTACIÓN EN TECNOLOGÍA, MEDIOS DE COMUNICACIÓN Y TRANSPORTE   PARA LA SEGURIDAD  Y LA PAZ</t>
  </si>
  <si>
    <t>2311010301</t>
  </si>
  <si>
    <t xml:space="preserve">Sostenimiento y Operación de la Inspección de Policía </t>
  </si>
  <si>
    <t>2311010302</t>
  </si>
  <si>
    <t xml:space="preserve">Creación, Fortalecimiento, Sostenimiento y Dotación de los Frentes de Seguridad Ciudadana </t>
  </si>
  <si>
    <t>2311010303</t>
  </si>
  <si>
    <t>Gastos de Orden Público</t>
  </si>
  <si>
    <t>2312</t>
  </si>
  <si>
    <t>SECTOR EQUIPAMIENTO MUNICIPAL</t>
  </si>
  <si>
    <t>231201</t>
  </si>
  <si>
    <t>PROGRAMA CONSTRUCCIÓN, AMPLIACIÓN Y MANTENIMIENTO DE LA INFRAESTRUCTURA DE USO PÚBLICO Y COMUNAL</t>
  </si>
  <si>
    <t>23120101</t>
  </si>
  <si>
    <t>SUBPROGRAMA AMPLIACIÓN, ADECUACIÓN, MANTENIMIENTO Y DOTACIÓN TECNOLÓGICA  DE  LA SEDE ADMINISTRATIVA</t>
  </si>
  <si>
    <t>2312010101</t>
  </si>
  <si>
    <t>Actualización Software y de la Infraestructura Tecnológica</t>
  </si>
  <si>
    <t>23120102</t>
  </si>
  <si>
    <t>SUBPROGRAMA CONSTRUCCIÓN, MEJORAMIENTO Y ADECUACIÓN DE  SALONES COMUNALES, PLAZA DE MERCADO, PARQUES Y ÁREAS PÚBLICAS</t>
  </si>
  <si>
    <t>2312010201</t>
  </si>
  <si>
    <t>Estudio, Diseño Construcción, Mantenimiento y Dotación de los Salones Comunales Urbanos y Rurales</t>
  </si>
  <si>
    <t>2312010202</t>
  </si>
  <si>
    <t>Estudio, Diseño, Adquisición de Predios, Construcción y Mantenimiento de los Parques Municipales</t>
  </si>
  <si>
    <t>2312010203</t>
  </si>
  <si>
    <t>Estudios, Diseños, Construcción, Ampliación, Terminación, Mantenimiento y Adecuación de la Plaza de Mercado</t>
  </si>
  <si>
    <t>2312010204</t>
  </si>
  <si>
    <t>Estudios, Diseño, Adquisición predio y Construcción del Cuarto de Necropsias</t>
  </si>
  <si>
    <t>2312010205</t>
  </si>
  <si>
    <t>Estudios, Diseños, Adquisición de Predios, Construcción, Remodelación , Mantenimiento y Dotación de Edificios Públicos</t>
  </si>
  <si>
    <t>23120103</t>
  </si>
  <si>
    <t>SUBPROGRAMA GESTIÓN PARA LA REUBICACIÓN DEL CENTRO DE SALUD</t>
  </si>
  <si>
    <t>2312010301</t>
  </si>
  <si>
    <t>Estudios, Diseños, Adquisición de Inmuebles, Construcción, Adecuación y Mantenimiento Para la Reubicación del Centro de Salud</t>
  </si>
  <si>
    <t>2313</t>
  </si>
  <si>
    <t>SECTOR FORTALECIMIENTO  Y TRANSPARENCIA INSTITUCIONAL</t>
  </si>
  <si>
    <t>231301</t>
  </si>
  <si>
    <t>PROGRAMA EFICIENCIA Y CALIDAD ADMINISTRATIVA</t>
  </si>
  <si>
    <t>23130101</t>
  </si>
  <si>
    <t>SISTEMA PARA LA GESTIÓN DE CALIDAD</t>
  </si>
  <si>
    <t>23130102</t>
  </si>
  <si>
    <t>MODELO ESTÁNDAR DE CONTROL INTERNO</t>
  </si>
  <si>
    <t>23130103</t>
  </si>
  <si>
    <t>AJUSTE Y REFORMULACIÓN DEL ESQUEMA DE ORDENAMIENTO TERRITORIAL Y ADECUACIÓN AL POMCA REGIONAL</t>
  </si>
  <si>
    <t>23130104</t>
  </si>
  <si>
    <t>ORGANIZACIÓN ADMINISTRATIVA Y FUNCIONAL</t>
  </si>
  <si>
    <t>2313010401</t>
  </si>
  <si>
    <t>Capacitación, Asesoría, Investigaciones, Interventorias, Estudios, Diseños, Consultorías, Pasantías y Asistencia Técnica Institucional</t>
  </si>
  <si>
    <t>Pago Indemnizaciones Laborales</t>
  </si>
  <si>
    <t>22</t>
  </si>
  <si>
    <t>SERVICIO DE LA DEUDA</t>
  </si>
  <si>
    <t>2201</t>
  </si>
  <si>
    <t>DEUDA INTERNA</t>
  </si>
  <si>
    <t>220101</t>
  </si>
  <si>
    <t>AMORTIZACION</t>
  </si>
  <si>
    <t>22010101</t>
  </si>
  <si>
    <t>220102</t>
  </si>
  <si>
    <t>INTERESES</t>
  </si>
  <si>
    <t>22010201</t>
  </si>
  <si>
    <t>2301020108</t>
  </si>
  <si>
    <t>C.I.C. 409-2009 Mantenimiento de las Escuelas Rurales Chircal, Barroblanco y Santa Barbara</t>
  </si>
  <si>
    <t>2301020109</t>
  </si>
  <si>
    <t>ICCU-207-2010 Construcción de 6 Aulas y una Barteria de Sanitaria en el Colegio Nuestra Señora de la Gracia Sede Santa Helenita del Municipio de Bojacá</t>
  </si>
  <si>
    <t>2301020110</t>
  </si>
  <si>
    <t>CI 462-2011 Adecuación, Ampliación de las Escuelas de Cubia, Roblehueco, Barroblanco, Santa Barbara, General Santander y Chilcal</t>
  </si>
  <si>
    <t>2303010204</t>
  </si>
  <si>
    <t>C.I. 000598-2010-CAR Implementación y capacitación en Procesos de Lbranza Minima, como Técnica de Siembre en el Municipio de Bojacá</t>
  </si>
  <si>
    <t>2303010205</t>
  </si>
  <si>
    <t>C.I.A. 000746-2010 Elaboración de los Estudios de Viabilidad y Diseño de un Distrito de Riego en la Veredas Barroblanco, Cubia y Roblehueco</t>
  </si>
  <si>
    <t>2304010102</t>
  </si>
  <si>
    <t>X Reinado Departamental de Bambuco y Festival Nacional de Danzas</t>
  </si>
  <si>
    <t>2304010103</t>
  </si>
  <si>
    <t>X Festival Nacional de Danzas, para Atender Gastos de Alimentación</t>
  </si>
  <si>
    <t>2304010203</t>
  </si>
  <si>
    <t>C.A. 1318-2010 Escuelas de Formación Artística y Cultural del Municipio de Bojacá</t>
  </si>
  <si>
    <t>2304010204</t>
  </si>
  <si>
    <t>C.I. 002-2010 Orquestando Futuro (Programa Estupefacientes)</t>
  </si>
  <si>
    <t>2304010205</t>
  </si>
  <si>
    <t>CI 163-2011 Promover las Escuelas de Formación Artistica y Cultural, en la Modalidad de Musica</t>
  </si>
  <si>
    <t>2305010202</t>
  </si>
  <si>
    <t>C.I.C  459-2010 Contratación de Dos (02) Instructores y Adquisición de Implementación Deportiva para las Escuelas de Formación de Futbol y Patinaje</t>
  </si>
  <si>
    <t>2305010203</t>
  </si>
  <si>
    <t>CI 179-2011 Organización y Realización de Eventos Deportivos (Contratación de Instructores de Futsal y Futbol; Juegos Deportivos Comunales Fase Municipal MOXACA 2011)</t>
  </si>
  <si>
    <t>2305020102</t>
  </si>
  <si>
    <t>CI.C. 157-2009 Construcción de Cancha Múltiple en la Villa Olímpica  del Municipio de Bojacá</t>
  </si>
  <si>
    <t>2305020202</t>
  </si>
  <si>
    <t>ICCU-271 Estudios, Diseños y Construcción Cubierta Polideportivo Barrio San Agustin del Municipio de Bojacá</t>
  </si>
  <si>
    <t>2305020203</t>
  </si>
  <si>
    <t>CI 365-2011 Estudios, Diseños, Cosntrucción Cubierta Cancha Multiple Colegio Nuestra Señora de Gracia Sede Santa Helena</t>
  </si>
  <si>
    <t>2307010102</t>
  </si>
  <si>
    <t>UV-38-2010 Construcción de 60 Unidades de Viviendas de Interes Prioritario “Urbanización Villas de San Luis II” Municipio de Bojacá</t>
  </si>
  <si>
    <t>2308010104</t>
  </si>
  <si>
    <t>C.I.A. 000788-CAR Establecimiento, Mantenimiento y Aislamiento de Plantaciones Forestales</t>
  </si>
  <si>
    <t>2308010202</t>
  </si>
  <si>
    <t>C.I. 000741-2010-CAR Construcción de un Espacio de Dialogo y Participacion Ciudadana Ambiental en el Municipio de Bojacá</t>
  </si>
  <si>
    <t>2309020207</t>
  </si>
  <si>
    <t>C.I. SA-ESP Protección de la Tuberia Instalada correspondiente al Acueducto Regional, la Mesa Anapoima, en los sectores Chivonegro, Puente Galindo y Bojacá la Mesa</t>
  </si>
  <si>
    <t>2309020208</t>
  </si>
  <si>
    <t>CI 024-2011 (S.S.F) Optimización de los Acueductos Urbanos y de las Veredas Cubia y Barroblanco</t>
  </si>
  <si>
    <t>2309020209</t>
  </si>
  <si>
    <t>CI 076-2011 (S.S.F) Construcción Red de Distribución Acueducto Sector Mirador Vereda Bobace</t>
  </si>
  <si>
    <t>2309020304</t>
  </si>
  <si>
    <t>C.I. EPC Los Estudiosy Diseños para la Ampliación de los Acueductos de las Veredas Cubia, Barroblanco, Chilcal, Roblehueco Santa Barbara y San Antonio</t>
  </si>
  <si>
    <t>2309020402</t>
  </si>
  <si>
    <t>Acuerdo 060-2008 Construcción y Optimización de  Redes de Alcantarillado Segunda Etapa-Municipio Bojacá Cundinamarca</t>
  </si>
  <si>
    <t>2309020403</t>
  </si>
  <si>
    <t>Acuerdo 064-2010 Construcción y Optimización de Redes de Alcantarillado Tercera Etapa Municipio de Bojacá</t>
  </si>
  <si>
    <t>2309020404</t>
  </si>
  <si>
    <t>C.C. 798-2009-CAR Construcción, Ampliación de la Infraestructura el Sistema del Alcantarillado Sanitario del Casco Urbano del Municipio</t>
  </si>
  <si>
    <t>2310010203</t>
  </si>
  <si>
    <t>C.I.C. 027-2010 Estudio, Diseño Señalización Vial Zona Urbana y Rural Municipio de Bojacá</t>
  </si>
  <si>
    <t>2310010204</t>
  </si>
  <si>
    <t>C.I. 152-2010 Rehabilitación, Mantenimiento y Pavimentación de la Vía Corzo – Bojacá</t>
  </si>
  <si>
    <t>2310010205</t>
  </si>
  <si>
    <t>CI 541-2011 Mejoramiento y Mantenimiento de la Via Vereda Cubia Barroblanco</t>
  </si>
  <si>
    <t>2312010206</t>
  </si>
  <si>
    <t>SME-011-2010 Construir y Poner en Servicio el Gas Natural a los 44 Locales de la Plaza de Mercado del Municipio de Bojacá</t>
  </si>
  <si>
    <t>2312010207</t>
  </si>
  <si>
    <t>ICCU-338-2010 Adecuación y Mantenimiento de la Plaza de Mercado del Municipio de Bojacá</t>
  </si>
  <si>
    <t>2302010105</t>
  </si>
  <si>
    <t>C.I. 2092626 Mejoramiento y Actualización del Sistema de Identificación de Potenciales Beneficiarios para Programas Sociales</t>
  </si>
  <si>
    <t>2302010106</t>
  </si>
  <si>
    <t>Aseguramiento a la Población más Vulnerable (Sin Situación de Fondos)</t>
  </si>
  <si>
    <t>2303020303</t>
  </si>
  <si>
    <t>C.I.A. 000933/2008 Capacitación e Implementación de Procesos de Labranza Mínima a Agricultores</t>
  </si>
  <si>
    <t>C.A. 0974-2010 Celebración Cumpleaños No. 473 Años y Ferias y Fiestas del Municipio de Bojacá</t>
  </si>
  <si>
    <t>C.I. 081-2009 Cooperar con el Municipio de Bojacá Contratación de Formadores en las Modalidades de Danzas y Música</t>
  </si>
  <si>
    <t>2305010102</t>
  </si>
  <si>
    <t>C.I.C  462-2010 Organización y Realización de los Juegos Deportivos Comunales 2010</t>
  </si>
  <si>
    <t>C.I. 037-2009 Contratación Profesores de la Escuela Deportiva de Patinaje y Fútbol</t>
  </si>
  <si>
    <t>2307020102</t>
  </si>
  <si>
    <t>C.I. 013-2009 Construcción y Mejoramiento de Vivienda de Interés Social Urbana y Rural</t>
  </si>
  <si>
    <t>2308020103</t>
  </si>
  <si>
    <t>C.I. 288-2010 Celebración de los 473 Años del Municipio en sus Ferias y Fiestas-Bojacá Cundinamarca</t>
  </si>
  <si>
    <t>C.I. 919-2009 (Invias) Mejoramiento de Vías  en Jurisdicción del Municipio de Bojacá, Departamento de Cundinamarca</t>
  </si>
  <si>
    <t>C.I. 264-2009 Mantenimiento de la Via Vereda Roble Hueco Chilcal del Municipio de Bojacá</t>
  </si>
  <si>
    <t>C.I. 265-2009 Construcción Cintas en Concreto Roble Hueco,Bojacá, del Municipio de Bojacá</t>
  </si>
  <si>
    <t>2313010404</t>
  </si>
  <si>
    <t>C.I. SPC 012-2010 Encuentro Comunitario</t>
  </si>
  <si>
    <t>Construccion y Dotacion de 3 Aulas y 1 Bateria Sanitaria de la Institución Educativa Nuestra Señora de la Gracia.</t>
  </si>
  <si>
    <t>C.I. 141-2009 Celebración del VIII Reinado Departamental del Bambuco y Danza Folclorica Colombiana</t>
  </si>
  <si>
    <t>C.I. 154-2009 Oerganizar Promocionar y Financiar VIII Festival Departamental de Danza Folclorica  (Alimentación, Animador y sonido)</t>
  </si>
  <si>
    <t>2304010104</t>
  </si>
  <si>
    <t>C.I. 0955-2009 Apoyar las Actividades Artisticas y Culturales en la Celebración del Cumpleaños No. 472 y Ferias y Fiestas</t>
  </si>
  <si>
    <t>2304010202</t>
  </si>
  <si>
    <t>C.I. 489-2008 gobernación Promover Escuelas de Formación Artistica y Cultural-Modalidad Danzas y Musica</t>
  </si>
  <si>
    <t>C.I. 067-2009 Juegos Deportivos Comunales (Premiación)</t>
  </si>
  <si>
    <t>2305010103</t>
  </si>
  <si>
    <t>C.I. 06-2009 Organización y Realización Fase Regional Juegos Deportivos y Recreativos Comunales de la Provincia Sabana Occidente</t>
  </si>
  <si>
    <t>C.I. 516-2008 Departamento, Contratar Profesores y Adquisicion Implementos Voleibol y Lucha Libre</t>
  </si>
  <si>
    <t>C.I.A. 000934/2008 Aula Ambiental y Senderos Ecoturísticos en el Parque Arqueológico Piedras de Chivo Negro</t>
  </si>
  <si>
    <t>Construcción Redes de Alcantarillado</t>
  </si>
  <si>
    <t>C.I.C. 106-2008 Obras de Mejoramiento de Red Vial Existente en el Departamento de Cundinamarca-Municipio de Bojacá</t>
  </si>
  <si>
    <t>2313010402</t>
  </si>
  <si>
    <t>Pago Prestaciones Sociales Personal Docente</t>
  </si>
  <si>
    <t>2301050602</t>
  </si>
  <si>
    <t>Modernizacion de la Facturacion</t>
  </si>
  <si>
    <t>2301110101</t>
  </si>
  <si>
    <t>Apoyo técnico agropecuario.</t>
  </si>
  <si>
    <t>2302030204</t>
  </si>
  <si>
    <t>Fortalecimiento del programa jóvenes constructores de paz</t>
  </si>
  <si>
    <t>2302030209</t>
  </si>
  <si>
    <t>C.I.C. No. 047-2008 VII Reinado Departamental del Bambuco y Concurso Nacional de Danzas (ARRENDAMIENTO DE SONIDO)</t>
  </si>
  <si>
    <t>2302030210</t>
  </si>
  <si>
    <t>C.I.C. No. 048-2008 VII Festival Nacional de Danzas (PUBLICIDAD Y MONTAJE DE ESCENARIOS)</t>
  </si>
  <si>
    <t>2302030211</t>
  </si>
  <si>
    <t>C.I. No. 059 VII Reinado Departamental del  Bambuco y Festival Nacional de Danzas (PARTICIPACION PUBLICITARIA)</t>
  </si>
  <si>
    <t>2302160109</t>
  </si>
  <si>
    <t xml:space="preserve">CI No. 124 Aunar Esfuerzos para la Confinanciación y Ejecución de obras para el Proyecto de Diagnostico, Estudios, Diseños, Construcción y Pavimentación de Areas Pobladas del Departamento de Cundinamarca     </t>
  </si>
  <si>
    <t>2302160110</t>
  </si>
  <si>
    <t>C.I. 467 Mejoramiento de Vias de Bojacá</t>
  </si>
  <si>
    <t>2303040203</t>
  </si>
  <si>
    <t>C.I. 227/2008 Loteria de Cundinamarca Participación Publicitaria en el Marco de las Ferias, y Fiestas, en el onomastico 471 de su Fundación</t>
  </si>
  <si>
    <t>2303050102</t>
  </si>
  <si>
    <t>Juegos Deportivos Comunales (Juzgamiento, Transporte y Premiación)</t>
  </si>
  <si>
    <t>Implementación de nuevas modalidades en el colegio</t>
  </si>
  <si>
    <t>Implementación de huertas escolares.</t>
  </si>
  <si>
    <t>Promover la creación de Hogares comunitarios en el Municipio</t>
  </si>
  <si>
    <t>Elaboración del Proyecto Educativo Municipal (PEM)</t>
  </si>
  <si>
    <t>Talleres y Capacitación a Docentes.</t>
  </si>
  <si>
    <t>Dotación  de  bibliobancos y ludoteca.</t>
  </si>
  <si>
    <t>CI 436 Cooperar para Atender 886 estudiantes de las I.E.D. del Municipio de Bojacá</t>
  </si>
  <si>
    <t>C.I. 223 Aunar Esfuerzos para la Confinanciación Proyecto Mejoramiento y Adecuación Centro Cultural de Bojacá</t>
  </si>
  <si>
    <t>Talleres y capacitaciones.</t>
  </si>
  <si>
    <t>C.I. 171 Apoyo Escuelas de Formacion Artistica y Culturales de Danzas y Musica</t>
  </si>
  <si>
    <t>C.I. 559 Cooperar para Capacitacion de Operadores Turisticos del Municipio</t>
  </si>
  <si>
    <t>C.I. 582 Apoyar Escuela de Formacion de Teatro ( pago del formador)</t>
  </si>
  <si>
    <t>Valoración del patrimonio histórico y cultural</t>
  </si>
  <si>
    <t>C.I. 382 Realizacion VI Reinado Dptal del Bambuco y Encuentro Nacional de Danzas(Arrendamiento de Sonido, Tarima, Plantas Electricas y Sonido Movil)</t>
  </si>
  <si>
    <t>C.I. 384 Organizacion, Promocion y Financiar VI Festival Nacional de Danzas(Gastos de Alimentacion y Refrigerios)</t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</si>
</sst>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00"/>
    <numFmt numFmtId="181" formatCode="0.000"/>
    <numFmt numFmtId="182" formatCode="dd&quot; &quot;mm&quot; &quot;yyyy"/>
    <numFmt numFmtId="183" formatCode="[$-24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(* #,##0_);_(* \(#,##0\);_(* &quot;-&quot;??_);_(@_)"/>
    <numFmt numFmtId="189" formatCode="#,##0.0"/>
    <numFmt numFmtId="190" formatCode="#,##0.00_ ;[Red]\-#,##0.00\ "/>
    <numFmt numFmtId="191" formatCode="[$-240A]hh:mm:ss\ AM/PM"/>
    <numFmt numFmtId="192" formatCode="0.000000"/>
    <numFmt numFmtId="193" formatCode="0.00000"/>
    <numFmt numFmtId="194" formatCode="0.0000"/>
    <numFmt numFmtId="195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1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>
      <protection hidden="1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30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0" applyNumberFormat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180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7" fillId="0" borderId="15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56" applyFont="1" applyFill="1" applyBorder="1" applyAlignment="1">
      <alignment horizontal="justify" vertical="justify"/>
      <protection/>
    </xf>
    <xf numFmtId="0" fontId="11" fillId="0" borderId="14" xfId="56" applyFont="1" applyFill="1" applyBorder="1" applyAlignment="1">
      <alignment horizontal="justify" vertical="justify"/>
      <protection/>
    </xf>
    <xf numFmtId="0" fontId="11" fillId="0" borderId="14" xfId="56" applyFont="1" applyFill="1" applyBorder="1" applyAlignment="1">
      <alignment horizontal="justify" vertical="justify"/>
      <protection/>
    </xf>
    <xf numFmtId="0" fontId="7" fillId="0" borderId="14" xfId="56" applyFont="1" applyFill="1" applyBorder="1" applyAlignment="1">
      <alignment horizontal="justify" vertical="justify"/>
      <protection/>
    </xf>
    <xf numFmtId="0" fontId="10" fillId="0" borderId="14" xfId="56" applyFont="1" applyFill="1" applyBorder="1" applyAlignment="1">
      <alignment horizontal="justify" vertical="justify"/>
      <protection/>
    </xf>
    <xf numFmtId="0" fontId="7" fillId="0" borderId="14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0" fontId="10" fillId="0" borderId="14" xfId="56" applyFont="1" applyFill="1" applyBorder="1" applyAlignment="1">
      <alignment horizontal="left"/>
      <protection/>
    </xf>
    <xf numFmtId="4" fontId="0" fillId="0" borderId="0" xfId="0" applyNumberFormat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0" fontId="5" fillId="33" borderId="14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0" xfId="0" applyFont="1" applyAlignment="1">
      <alignment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left"/>
      <protection/>
    </xf>
    <xf numFmtId="0" fontId="0" fillId="0" borderId="14" xfId="0" applyFill="1" applyBorder="1" applyAlignment="1">
      <alignment/>
    </xf>
    <xf numFmtId="0" fontId="3" fillId="0" borderId="14" xfId="0" applyNumberFormat="1" applyFont="1" applyFill="1" applyBorder="1" applyAlignment="1" applyProtection="1">
      <alignment horizontal="center" wrapText="1"/>
      <protection/>
    </xf>
    <xf numFmtId="0" fontId="17" fillId="0" borderId="0" xfId="0" applyFont="1" applyAlignment="1">
      <alignment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19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19" fillId="0" borderId="14" xfId="0" applyFont="1" applyBorder="1" applyAlignment="1">
      <alignment/>
    </xf>
    <xf numFmtId="3" fontId="19" fillId="0" borderId="14" xfId="0" applyNumberFormat="1" applyFont="1" applyBorder="1" applyAlignment="1">
      <alignment/>
    </xf>
    <xf numFmtId="10" fontId="0" fillId="0" borderId="14" xfId="0" applyNumberFormat="1" applyBorder="1" applyAlignment="1">
      <alignment/>
    </xf>
    <xf numFmtId="0" fontId="19" fillId="0" borderId="14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/>
    </xf>
    <xf numFmtId="9" fontId="5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0" fontId="13" fillId="0" borderId="0" xfId="0" applyFont="1" applyAlignment="1">
      <alignment/>
    </xf>
    <xf numFmtId="3" fontId="5" fillId="33" borderId="14" xfId="0" applyNumberFormat="1" applyFont="1" applyFill="1" applyBorder="1" applyAlignment="1">
      <alignment horizontal="center" vertical="center" wrapText="1"/>
    </xf>
    <xf numFmtId="0" fontId="15" fillId="34" borderId="14" xfId="0" applyFont="1" applyFill="1" applyBorder="1" applyAlignment="1" applyProtection="1">
      <alignment horizontal="center" vertical="center" wrapText="1" shrinkToFit="1"/>
      <protection hidden="1"/>
    </xf>
    <xf numFmtId="188" fontId="0" fillId="0" borderId="0" xfId="0" applyNumberFormat="1" applyAlignment="1">
      <alignment/>
    </xf>
    <xf numFmtId="14" fontId="16" fillId="0" borderId="14" xfId="0" applyNumberFormat="1" applyFont="1" applyBorder="1" applyAlignment="1" applyProtection="1">
      <alignment horizontal="center" shrinkToFit="1"/>
      <protection hidden="1"/>
    </xf>
    <xf numFmtId="188" fontId="16" fillId="0" borderId="14" xfId="51" applyNumberFormat="1" applyFont="1" applyBorder="1" applyAlignment="1" applyProtection="1">
      <alignment horizontal="center" shrinkToFit="1"/>
      <protection hidden="1"/>
    </xf>
    <xf numFmtId="188" fontId="16" fillId="0" borderId="14" xfId="50" applyNumberFormat="1" applyFont="1" applyBorder="1" applyAlignment="1" applyProtection="1">
      <alignment horizontal="right" shrinkToFit="1"/>
      <protection hidden="1"/>
    </xf>
    <xf numFmtId="17" fontId="16" fillId="0" borderId="14" xfId="0" applyNumberFormat="1" applyFont="1" applyBorder="1" applyAlignment="1" applyProtection="1">
      <alignment horizontal="center" shrinkToFit="1"/>
      <protection hidden="1"/>
    </xf>
    <xf numFmtId="0" fontId="18" fillId="0" borderId="14" xfId="0" applyFont="1" applyBorder="1" applyAlignment="1">
      <alignment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6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5" fillId="0" borderId="14" xfId="0" applyNumberFormat="1" applyFont="1" applyBorder="1" applyAlignment="1">
      <alignment/>
    </xf>
    <xf numFmtId="3" fontId="9" fillId="0" borderId="17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/>
    </xf>
    <xf numFmtId="3" fontId="5" fillId="0" borderId="14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12" fillId="0" borderId="17" xfId="0" applyNumberFormat="1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13" fillId="0" borderId="0" xfId="0" applyNumberFormat="1" applyFont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 horizontal="right"/>
    </xf>
    <xf numFmtId="3" fontId="0" fillId="0" borderId="14" xfId="0" applyNumberForma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 horizontal="right"/>
    </xf>
    <xf numFmtId="3" fontId="5" fillId="35" borderId="14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right"/>
    </xf>
    <xf numFmtId="3" fontId="19" fillId="0" borderId="14" xfId="0" applyNumberFormat="1" applyFont="1" applyBorder="1" applyAlignment="1">
      <alignment horizontal="right"/>
    </xf>
    <xf numFmtId="3" fontId="19" fillId="0" borderId="1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right"/>
    </xf>
    <xf numFmtId="3" fontId="6" fillId="0" borderId="14" xfId="0" applyNumberFormat="1" applyFont="1" applyBorder="1" applyAlignment="1">
      <alignment horizontal="right" vertical="center" wrapText="1"/>
    </xf>
    <xf numFmtId="3" fontId="16" fillId="0" borderId="14" xfId="0" applyNumberFormat="1" applyFont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0" fillId="0" borderId="14" xfId="0" applyNumberFormat="1" applyBorder="1" applyAlignment="1">
      <alignment horizontal="right" vertical="center" wrapText="1"/>
    </xf>
    <xf numFmtId="3" fontId="4" fillId="0" borderId="14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4" fontId="4" fillId="0" borderId="14" xfId="0" applyNumberFormat="1" applyFont="1" applyFill="1" applyBorder="1" applyAlignment="1">
      <alignment horizontal="center"/>
    </xf>
    <xf numFmtId="9" fontId="19" fillId="0" borderId="14" xfId="0" applyNumberFormat="1" applyFont="1" applyBorder="1" applyAlignment="1">
      <alignment horizontal="right"/>
    </xf>
    <xf numFmtId="0" fontId="5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9" fillId="0" borderId="14" xfId="55" applyFont="1" applyFill="1" applyBorder="1" applyAlignment="1">
      <alignment horizontal="left"/>
      <protection/>
    </xf>
    <xf numFmtId="0" fontId="9" fillId="0" borderId="14" xfId="55" applyFont="1" applyFill="1" applyBorder="1" applyAlignment="1">
      <alignment/>
      <protection/>
    </xf>
    <xf numFmtId="4" fontId="0" fillId="0" borderId="14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9" fillId="0" borderId="21" xfId="55" applyFont="1" applyFill="1" applyBorder="1" applyAlignment="1">
      <alignment horizontal="left"/>
      <protection/>
    </xf>
    <xf numFmtId="0" fontId="9" fillId="0" borderId="21" xfId="55" applyFont="1" applyFill="1" applyBorder="1" applyAlignment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9" fillId="0" borderId="0" xfId="55" applyFont="1" applyFill="1" applyBorder="1" applyAlignment="1">
      <alignment/>
      <protection/>
    </xf>
    <xf numFmtId="4" fontId="0" fillId="0" borderId="14" xfId="0" applyNumberFormat="1" applyFill="1" applyBorder="1" applyAlignment="1" applyProtection="1">
      <alignment/>
      <protection locked="0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12" fillId="0" borderId="14" xfId="55" applyFont="1" applyFill="1" applyBorder="1" applyAlignment="1">
      <alignment/>
      <protection/>
    </xf>
    <xf numFmtId="0" fontId="5" fillId="0" borderId="14" xfId="55" applyFont="1" applyFill="1" applyBorder="1" applyAlignment="1">
      <alignment/>
      <protection/>
    </xf>
    <xf numFmtId="0" fontId="20" fillId="0" borderId="14" xfId="0" applyFont="1" applyFill="1" applyBorder="1" applyAlignment="1">
      <alignment/>
    </xf>
    <xf numFmtId="38" fontId="0" fillId="0" borderId="14" xfId="0" applyNumberFormat="1" applyBorder="1" applyAlignment="1">
      <alignment/>
    </xf>
    <xf numFmtId="49" fontId="5" fillId="0" borderId="14" xfId="0" applyNumberFormat="1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10" fontId="4" fillId="0" borderId="14" xfId="0" applyNumberFormat="1" applyFont="1" applyFill="1" applyBorder="1" applyAlignment="1">
      <alignment horizontal="center"/>
    </xf>
    <xf numFmtId="0" fontId="12" fillId="0" borderId="23" xfId="55" applyFont="1" applyFill="1" applyBorder="1" applyAlignment="1">
      <alignment horizontal="left"/>
      <protection/>
    </xf>
    <xf numFmtId="0" fontId="12" fillId="0" borderId="24" xfId="55" applyFont="1" applyFill="1" applyBorder="1" applyAlignment="1">
      <alignment horizontal="justify"/>
      <protection/>
    </xf>
    <xf numFmtId="4" fontId="5" fillId="0" borderId="10" xfId="0" applyNumberFormat="1" applyFont="1" applyBorder="1" applyAlignment="1">
      <alignment/>
    </xf>
    <xf numFmtId="0" fontId="12" fillId="0" borderId="25" xfId="55" applyFont="1" applyFill="1" applyBorder="1" applyAlignment="1">
      <alignment horizontal="left"/>
      <protection/>
    </xf>
    <xf numFmtId="0" fontId="12" fillId="0" borderId="26" xfId="55" applyFont="1" applyFill="1" applyBorder="1" applyAlignment="1">
      <alignment horizontal="justify"/>
      <protection/>
    </xf>
    <xf numFmtId="4" fontId="5" fillId="0" borderId="27" xfId="0" applyNumberFormat="1" applyFont="1" applyBorder="1" applyAlignment="1">
      <alignment/>
    </xf>
    <xf numFmtId="0" fontId="9" fillId="0" borderId="25" xfId="55" applyFont="1" applyFill="1" applyBorder="1" applyAlignment="1">
      <alignment horizontal="left"/>
      <protection/>
    </xf>
    <xf numFmtId="0" fontId="9" fillId="0" borderId="26" xfId="55" applyFont="1" applyFill="1" applyBorder="1" applyAlignment="1">
      <alignment horizontal="justify"/>
      <protection/>
    </xf>
    <xf numFmtId="4" fontId="0" fillId="0" borderId="27" xfId="0" applyNumberFormat="1" applyBorder="1" applyAlignment="1">
      <alignment/>
    </xf>
    <xf numFmtId="4" fontId="3" fillId="0" borderId="27" xfId="0" applyNumberFormat="1" applyFont="1" applyBorder="1" applyAlignment="1">
      <alignment/>
    </xf>
    <xf numFmtId="4" fontId="0" fillId="0" borderId="27" xfId="0" applyNumberForma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0" fontId="3" fillId="0" borderId="26" xfId="55" applyFont="1" applyFill="1" applyBorder="1" applyAlignment="1">
      <alignment horizontal="justify"/>
      <protection/>
    </xf>
    <xf numFmtId="0" fontId="9" fillId="0" borderId="26" xfId="55" applyFont="1" applyFill="1" applyBorder="1" applyAlignment="1">
      <alignment/>
      <protection/>
    </xf>
    <xf numFmtId="0" fontId="9" fillId="0" borderId="28" xfId="55" applyFont="1" applyFill="1" applyBorder="1" applyAlignment="1">
      <alignment horizontal="left"/>
      <protection/>
    </xf>
    <xf numFmtId="0" fontId="9" fillId="0" borderId="29" xfId="55" applyFont="1" applyFill="1" applyBorder="1" applyAlignment="1">
      <alignment horizontal="justify"/>
      <protection/>
    </xf>
    <xf numFmtId="4" fontId="0" fillId="0" borderId="11" xfId="0" applyNumberFormat="1" applyBorder="1" applyAlignment="1">
      <alignment/>
    </xf>
    <xf numFmtId="4" fontId="3" fillId="0" borderId="0" xfId="0" applyNumberFormat="1" applyFont="1" applyAlignment="1">
      <alignment/>
    </xf>
    <xf numFmtId="0" fontId="5" fillId="0" borderId="24" xfId="55" applyNumberFormat="1" applyFont="1" applyFill="1" applyBorder="1" applyAlignment="1">
      <alignment horizontal="justify"/>
      <protection/>
    </xf>
    <xf numFmtId="0" fontId="12" fillId="0" borderId="26" xfId="55" applyNumberFormat="1" applyFont="1" applyFill="1" applyBorder="1" applyAlignment="1">
      <alignment horizontal="justify"/>
      <protection/>
    </xf>
    <xf numFmtId="0" fontId="9" fillId="0" borderId="26" xfId="55" applyNumberFormat="1" applyFont="1" applyFill="1" applyBorder="1" applyAlignment="1">
      <alignment horizontal="justify"/>
      <protection/>
    </xf>
    <xf numFmtId="0" fontId="3" fillId="0" borderId="26" xfId="55" applyNumberFormat="1" applyFont="1" applyFill="1" applyBorder="1" applyAlignment="1">
      <alignment horizontal="justify"/>
      <protection/>
    </xf>
    <xf numFmtId="0" fontId="12" fillId="0" borderId="30" xfId="55" applyFont="1" applyFill="1" applyBorder="1" applyAlignment="1">
      <alignment horizontal="left"/>
      <protection/>
    </xf>
    <xf numFmtId="0" fontId="12" fillId="0" borderId="31" xfId="55" applyNumberFormat="1" applyFont="1" applyFill="1" applyBorder="1" applyAlignment="1">
      <alignment horizontal="justify"/>
      <protection/>
    </xf>
    <xf numFmtId="0" fontId="12" fillId="0" borderId="32" xfId="55" applyFont="1" applyFill="1" applyBorder="1" applyAlignment="1">
      <alignment horizontal="left"/>
      <protection/>
    </xf>
    <xf numFmtId="0" fontId="12" fillId="0" borderId="27" xfId="55" applyNumberFormat="1" applyFont="1" applyFill="1" applyBorder="1" applyAlignment="1">
      <alignment horizontal="justify"/>
      <protection/>
    </xf>
    <xf numFmtId="0" fontId="9" fillId="0" borderId="33" xfId="55" applyFont="1" applyFill="1" applyBorder="1" applyAlignment="1">
      <alignment horizontal="left"/>
      <protection/>
    </xf>
    <xf numFmtId="0" fontId="9" fillId="0" borderId="34" xfId="55" applyNumberFormat="1" applyFont="1" applyFill="1" applyBorder="1" applyAlignment="1">
      <alignment horizontal="justify"/>
      <protection/>
    </xf>
    <xf numFmtId="0" fontId="9" fillId="0" borderId="29" xfId="55" applyNumberFormat="1" applyFont="1" applyFill="1" applyBorder="1" applyAlignment="1">
      <alignment horizontal="justify"/>
      <protection/>
    </xf>
    <xf numFmtId="0" fontId="12" fillId="0" borderId="12" xfId="55" applyFont="1" applyFill="1" applyBorder="1" applyAlignment="1">
      <alignment horizontal="left"/>
      <protection/>
    </xf>
    <xf numFmtId="0" fontId="12" fillId="0" borderId="10" xfId="55" applyNumberFormat="1" applyFont="1" applyFill="1" applyBorder="1" applyAlignment="1">
      <alignment horizontal="justify"/>
      <protection/>
    </xf>
    <xf numFmtId="0" fontId="9" fillId="0" borderId="32" xfId="55" applyFont="1" applyFill="1" applyBorder="1" applyAlignment="1">
      <alignment horizontal="left"/>
      <protection/>
    </xf>
    <xf numFmtId="0" fontId="9" fillId="0" borderId="27" xfId="55" applyNumberFormat="1" applyFont="1" applyFill="1" applyBorder="1" applyAlignment="1">
      <alignment horizontal="justify"/>
      <protection/>
    </xf>
    <xf numFmtId="0" fontId="9" fillId="0" borderId="13" xfId="55" applyFont="1" applyFill="1" applyBorder="1" applyAlignment="1">
      <alignment horizontal="left"/>
      <protection/>
    </xf>
    <xf numFmtId="0" fontId="9" fillId="0" borderId="11" xfId="55" applyNumberFormat="1" applyFont="1" applyFill="1" applyBorder="1" applyAlignment="1">
      <alignment horizontal="justify"/>
      <protection/>
    </xf>
    <xf numFmtId="0" fontId="9" fillId="0" borderId="0" xfId="55" applyFont="1" applyFill="1" applyBorder="1" applyAlignment="1">
      <alignment horizontal="left"/>
      <protection/>
    </xf>
    <xf numFmtId="0" fontId="9" fillId="0" borderId="0" xfId="55" applyNumberFormat="1" applyFont="1" applyFill="1" applyBorder="1" applyAlignment="1">
      <alignment horizontal="justify"/>
      <protection/>
    </xf>
    <xf numFmtId="0" fontId="9" fillId="0" borderId="35" xfId="55" applyFont="1" applyFill="1" applyBorder="1" applyAlignment="1">
      <alignment horizontal="left"/>
      <protection/>
    </xf>
    <xf numFmtId="0" fontId="9" fillId="0" borderId="35" xfId="55" applyNumberFormat="1" applyFont="1" applyFill="1" applyBorder="1" applyAlignment="1">
      <alignment horizontal="justify"/>
      <protection/>
    </xf>
    <xf numFmtId="0" fontId="9" fillId="0" borderId="21" xfId="55" applyNumberFormat="1" applyFont="1" applyFill="1" applyBorder="1" applyAlignment="1">
      <alignment horizontal="justify"/>
      <protection/>
    </xf>
    <xf numFmtId="0" fontId="12" fillId="0" borderId="24" xfId="55" applyNumberFormat="1" applyFont="1" applyFill="1" applyBorder="1" applyAlignment="1">
      <alignment horizontal="justify"/>
      <protection/>
    </xf>
    <xf numFmtId="4" fontId="0" fillId="0" borderId="0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5" fillId="0" borderId="10" xfId="0" applyNumberFormat="1" applyFont="1" applyFill="1" applyBorder="1" applyAlignment="1">
      <alignment/>
    </xf>
    <xf numFmtId="0" fontId="12" fillId="0" borderId="36" xfId="55" applyFont="1" applyFill="1" applyBorder="1" applyAlignment="1">
      <alignment horizontal="left"/>
      <protection/>
    </xf>
    <xf numFmtId="0" fontId="12" fillId="0" borderId="23" xfId="55" applyNumberFormat="1" applyFont="1" applyFill="1" applyBorder="1" applyAlignment="1">
      <alignment horizontal="justify"/>
      <protection/>
    </xf>
    <xf numFmtId="4" fontId="5" fillId="0" borderId="12" xfId="0" applyNumberFormat="1" applyFont="1" applyBorder="1" applyAlignment="1">
      <alignment/>
    </xf>
    <xf numFmtId="0" fontId="12" fillId="0" borderId="37" xfId="55" applyFont="1" applyFill="1" applyBorder="1" applyAlignment="1">
      <alignment horizontal="left"/>
      <protection/>
    </xf>
    <xf numFmtId="0" fontId="12" fillId="0" borderId="25" xfId="55" applyNumberFormat="1" applyFont="1" applyFill="1" applyBorder="1" applyAlignment="1">
      <alignment horizontal="justify"/>
      <protection/>
    </xf>
    <xf numFmtId="4" fontId="5" fillId="0" borderId="32" xfId="0" applyNumberFormat="1" applyFont="1" applyBorder="1" applyAlignment="1">
      <alignment/>
    </xf>
    <xf numFmtId="0" fontId="9" fillId="0" borderId="37" xfId="55" applyFont="1" applyFill="1" applyBorder="1" applyAlignment="1">
      <alignment horizontal="left"/>
      <protection/>
    </xf>
    <xf numFmtId="0" fontId="9" fillId="0" borderId="25" xfId="55" applyNumberFormat="1" applyFont="1" applyFill="1" applyBorder="1" applyAlignment="1">
      <alignment horizontal="justify"/>
      <protection/>
    </xf>
    <xf numFmtId="4" fontId="0" fillId="0" borderId="32" xfId="0" applyNumberFormat="1" applyBorder="1" applyAlignment="1">
      <alignment/>
    </xf>
    <xf numFmtId="0" fontId="12" fillId="0" borderId="38" xfId="55" applyFont="1" applyFill="1" applyBorder="1" applyAlignment="1">
      <alignment horizontal="left"/>
      <protection/>
    </xf>
    <xf numFmtId="0" fontId="12" fillId="0" borderId="28" xfId="55" applyNumberFormat="1" applyFont="1" applyFill="1" applyBorder="1" applyAlignment="1">
      <alignment horizontal="justify"/>
      <protection/>
    </xf>
    <xf numFmtId="4" fontId="5" fillId="0" borderId="13" xfId="0" applyNumberFormat="1" applyFont="1" applyBorder="1" applyAlignment="1">
      <alignment/>
    </xf>
    <xf numFmtId="0" fontId="9" fillId="0" borderId="39" xfId="55" applyFont="1" applyFill="1" applyBorder="1" applyAlignment="1">
      <alignment horizontal="left"/>
      <protection/>
    </xf>
    <xf numFmtId="0" fontId="9" fillId="0" borderId="13" xfId="55" applyNumberFormat="1" applyFont="1" applyFill="1" applyBorder="1" applyAlignment="1">
      <alignment horizontal="justify"/>
      <protection/>
    </xf>
    <xf numFmtId="4" fontId="0" fillId="0" borderId="13" xfId="0" applyNumberFormat="1" applyBorder="1" applyAlignment="1">
      <alignment/>
    </xf>
    <xf numFmtId="0" fontId="9" fillId="0" borderId="30" xfId="55" applyFont="1" applyFill="1" applyBorder="1" applyAlignment="1">
      <alignment horizontal="left"/>
      <protection/>
    </xf>
    <xf numFmtId="0" fontId="9" fillId="0" borderId="31" xfId="55" applyNumberFormat="1" applyFont="1" applyFill="1" applyBorder="1" applyAlignment="1">
      <alignment horizontal="justify"/>
      <protection/>
    </xf>
    <xf numFmtId="4" fontId="5" fillId="0" borderId="10" xfId="0" applyNumberFormat="1" applyFont="1" applyBorder="1" applyAlignment="1" applyProtection="1">
      <alignment/>
      <protection locked="0"/>
    </xf>
    <xf numFmtId="4" fontId="5" fillId="0" borderId="27" xfId="0" applyNumberFormat="1" applyFon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4" fontId="0" fillId="0" borderId="27" xfId="0" applyNumberFormat="1" applyFill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4" fontId="5" fillId="0" borderId="32" xfId="0" applyNumberFormat="1" applyFon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5" fillId="0" borderId="13" xfId="0" applyNumberFormat="1" applyFon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5" fillId="0" borderId="27" xfId="0" applyNumberFormat="1" applyFont="1" applyFill="1" applyBorder="1" applyAlignment="1" applyProtection="1">
      <alignment/>
      <protection locked="0"/>
    </xf>
    <xf numFmtId="4" fontId="0" fillId="0" borderId="11" xfId="0" applyNumberFormat="1" applyFill="1" applyBorder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4" fontId="5" fillId="0" borderId="10" xfId="0" applyNumberFormat="1" applyFont="1" applyFill="1" applyBorder="1" applyAlignment="1" applyProtection="1">
      <alignment/>
      <protection locked="0"/>
    </xf>
    <xf numFmtId="4" fontId="3" fillId="0" borderId="27" xfId="0" applyNumberFormat="1" applyFont="1" applyBorder="1" applyAlignment="1" applyProtection="1">
      <alignment/>
      <protection locked="0"/>
    </xf>
    <xf numFmtId="4" fontId="5" fillId="0" borderId="10" xfId="0" applyNumberFormat="1" applyFont="1" applyBorder="1" applyAlignment="1" applyProtection="1">
      <alignment/>
      <protection/>
    </xf>
    <xf numFmtId="4" fontId="5" fillId="0" borderId="27" xfId="0" applyNumberFormat="1" applyFont="1" applyBorder="1" applyAlignment="1" applyProtection="1">
      <alignment/>
      <protection/>
    </xf>
    <xf numFmtId="4" fontId="0" fillId="0" borderId="27" xfId="0" applyNumberFormat="1" applyBorder="1" applyAlignment="1" applyProtection="1">
      <alignment/>
      <protection/>
    </xf>
    <xf numFmtId="4" fontId="0" fillId="0" borderId="27" xfId="0" applyNumberFormat="1" applyFill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5" fillId="0" borderId="12" xfId="0" applyNumberFormat="1" applyFont="1" applyBorder="1" applyAlignment="1" applyProtection="1">
      <alignment/>
      <protection/>
    </xf>
    <xf numFmtId="4" fontId="5" fillId="0" borderId="32" xfId="0" applyNumberFormat="1" applyFont="1" applyBorder="1" applyAlignment="1" applyProtection="1">
      <alignment/>
      <protection/>
    </xf>
    <xf numFmtId="4" fontId="0" fillId="0" borderId="32" xfId="0" applyNumberForma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/>
      <protection/>
    </xf>
    <xf numFmtId="4" fontId="0" fillId="0" borderId="13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5" fillId="0" borderId="27" xfId="0" applyNumberFormat="1" applyFont="1" applyFill="1" applyBorder="1" applyAlignment="1" applyProtection="1">
      <alignment/>
      <protection/>
    </xf>
    <xf numFmtId="4" fontId="0" fillId="0" borderId="11" xfId="0" applyNumberForma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5" fillId="0" borderId="10" xfId="0" applyNumberFormat="1" applyFont="1" applyFill="1" applyBorder="1" applyAlignment="1" applyProtection="1">
      <alignment/>
      <protection/>
    </xf>
    <xf numFmtId="4" fontId="3" fillId="0" borderId="27" xfId="0" applyNumberFormat="1" applyFont="1" applyBorder="1" applyAlignment="1" applyProtection="1">
      <alignment/>
      <protection/>
    </xf>
    <xf numFmtId="4" fontId="3" fillId="0" borderId="27" xfId="0" applyNumberFormat="1" applyFont="1" applyFill="1" applyBorder="1" applyAlignment="1" applyProtection="1">
      <alignment/>
      <protection locked="0"/>
    </xf>
    <xf numFmtId="4" fontId="3" fillId="0" borderId="27" xfId="0" applyNumberFormat="1" applyFont="1" applyFill="1" applyBorder="1" applyAlignment="1" applyProtection="1">
      <alignment/>
      <protection/>
    </xf>
    <xf numFmtId="4" fontId="3" fillId="0" borderId="27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0" fillId="0" borderId="0" xfId="0" applyNumberFormat="1" applyAlignment="1">
      <alignment horizontal="left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22" xfId="0" applyNumberForma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justify"/>
    </xf>
    <xf numFmtId="0" fontId="19" fillId="0" borderId="14" xfId="0" applyFont="1" applyBorder="1" applyAlignment="1">
      <alignment horizontal="justify"/>
    </xf>
    <xf numFmtId="4" fontId="0" fillId="0" borderId="14" xfId="0" applyNumberFormat="1" applyBorder="1" applyAlignment="1">
      <alignment/>
    </xf>
    <xf numFmtId="0" fontId="25" fillId="0" borderId="0" xfId="0" applyFont="1" applyAlignment="1">
      <alignment/>
    </xf>
    <xf numFmtId="3" fontId="26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5" fillId="0" borderId="12" xfId="0" applyNumberFormat="1" applyFont="1" applyBorder="1" applyAlignment="1">
      <alignment horizontal="center" vertical="center" wrapText="1"/>
    </xf>
    <xf numFmtId="9" fontId="5" fillId="0" borderId="32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3" fontId="5" fillId="33" borderId="12" xfId="0" applyNumberFormat="1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3" fontId="6" fillId="33" borderId="14" xfId="0" applyNumberFormat="1" applyFont="1" applyFill="1" applyBorder="1" applyAlignment="1">
      <alignment horizontal="center"/>
    </xf>
    <xf numFmtId="3" fontId="5" fillId="35" borderId="12" xfId="0" applyNumberFormat="1" applyFont="1" applyFill="1" applyBorder="1" applyAlignment="1">
      <alignment horizontal="center" vertical="center"/>
    </xf>
    <xf numFmtId="3" fontId="5" fillId="35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" fontId="5" fillId="35" borderId="12" xfId="0" applyNumberFormat="1" applyFont="1" applyFill="1" applyBorder="1" applyAlignment="1">
      <alignment horizontal="justify" vertical="center"/>
    </xf>
    <xf numFmtId="4" fontId="5" fillId="35" borderId="13" xfId="0" applyNumberFormat="1" applyFont="1" applyFill="1" applyBorder="1" applyAlignment="1">
      <alignment horizontal="justify" vertical="center"/>
    </xf>
    <xf numFmtId="4" fontId="5" fillId="35" borderId="10" xfId="0" applyNumberFormat="1" applyFont="1" applyFill="1" applyBorder="1" applyAlignment="1">
      <alignment horizontal="justify" vertical="center"/>
    </xf>
    <xf numFmtId="4" fontId="5" fillId="35" borderId="11" xfId="0" applyNumberFormat="1" applyFont="1" applyFill="1" applyBorder="1" applyAlignment="1">
      <alignment horizontal="justify" vertical="center"/>
    </xf>
    <xf numFmtId="4" fontId="5" fillId="35" borderId="12" xfId="0" applyNumberFormat="1" applyFont="1" applyFill="1" applyBorder="1" applyAlignment="1" applyProtection="1">
      <alignment horizontal="justify" vertical="center"/>
      <protection locked="0"/>
    </xf>
    <xf numFmtId="4" fontId="5" fillId="35" borderId="13" xfId="0" applyNumberFormat="1" applyFont="1" applyFill="1" applyBorder="1" applyAlignment="1" applyProtection="1">
      <alignment horizontal="justify" vertical="center"/>
      <protection locked="0"/>
    </xf>
    <xf numFmtId="4" fontId="5" fillId="35" borderId="12" xfId="0" applyNumberFormat="1" applyFont="1" applyFill="1" applyBorder="1" applyAlignment="1" applyProtection="1">
      <alignment horizontal="justify" vertical="center"/>
      <protection/>
    </xf>
    <xf numFmtId="4" fontId="5" fillId="35" borderId="13" xfId="0" applyNumberFormat="1" applyFont="1" applyFill="1" applyBorder="1" applyAlignment="1" applyProtection="1">
      <alignment horizontal="justify" vertical="center"/>
      <protection/>
    </xf>
    <xf numFmtId="0" fontId="22" fillId="0" borderId="0" xfId="0" applyFont="1" applyAlignment="1">
      <alignment horizontal="center"/>
    </xf>
    <xf numFmtId="10" fontId="0" fillId="0" borderId="0" xfId="0" applyNumberFormat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Hoja1" xfId="50"/>
    <cellStyle name="Millares_Taller clase 4 (2)" xfId="51"/>
    <cellStyle name="Currency" xfId="52"/>
    <cellStyle name="Currency [0]" xfId="53"/>
    <cellStyle name="Neutral" xfId="54"/>
    <cellStyle name="Normal_Hoja1" xfId="55"/>
    <cellStyle name="Normal_Hoja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de Ingreso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7175"/>
          <c:y val="0.1655"/>
          <c:w val="0.9115"/>
          <c:h val="0.7995"/>
        </c:manualLayout>
      </c:layout>
      <c:bar3DChart>
        <c:barDir val="col"/>
        <c:grouping val="clustered"/>
        <c:varyColors val="0"/>
        <c:ser>
          <c:idx val="0"/>
          <c:order val="0"/>
          <c:tx>
            <c:v>INICIAL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Hoja1!$B$4:$G$4</c:f>
              <c:strCache/>
            </c:strRef>
          </c:cat>
          <c:val>
            <c:numRef>
              <c:f>Hoja1!$B$5:$G$5</c:f>
              <c:numCache/>
            </c:numRef>
          </c:val>
          <c:shape val="cylinder"/>
        </c:ser>
        <c:ser>
          <c:idx val="1"/>
          <c:order val="1"/>
          <c:tx>
            <c:v>FINAL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Hoja1!$B$6:$G$6</c:f>
              <c:numCache/>
            </c:numRef>
          </c:val>
          <c:shape val="cylinder"/>
        </c:ser>
        <c:shape val="cylinder"/>
        <c:axId val="15950623"/>
        <c:axId val="9337880"/>
      </c:bar3DChart>
      <c:catAx>
        <c:axId val="15950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37880"/>
        <c:crosses val="autoZero"/>
        <c:auto val="1"/>
        <c:lblOffset val="100"/>
        <c:tickLblSkip val="1"/>
        <c:noMultiLvlLbl val="0"/>
      </c:catAx>
      <c:valAx>
        <c:axId val="9337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506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D7E4BD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Sistema General de Participaciones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35"/>
          <c:y val="0.1745"/>
          <c:w val="0.9135"/>
          <c:h val="0.78675"/>
        </c:manualLayout>
      </c:layout>
      <c:bar3DChart>
        <c:barDir val="col"/>
        <c:grouping val="standar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'EJECUCIONES PTALES ACTIVA'!$AB$51:$AE$51</c:f>
              <c:numCache/>
            </c:numRef>
          </c:cat>
          <c:val>
            <c:numRef>
              <c:f>'EJECUCIONES PTALES ACTIVA'!$AB$52:$AE$52</c:f>
              <c:numCache/>
            </c:numRef>
          </c:val>
          <c:shape val="cylinder"/>
        </c:ser>
        <c:shape val="cylinder"/>
        <c:axId val="6233897"/>
        <c:axId val="56105074"/>
        <c:axId val="35183619"/>
      </c:bar3DChart>
      <c:catAx>
        <c:axId val="62338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105074"/>
        <c:crosses val="autoZero"/>
        <c:auto val="1"/>
        <c:lblOffset val="100"/>
        <c:tickLblSkip val="1"/>
        <c:noMultiLvlLbl val="0"/>
      </c:catAx>
      <c:valAx>
        <c:axId val="561050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3897"/>
        <c:crossesAt val="1"/>
        <c:crossBetween val="between"/>
        <c:dispUnits/>
      </c:valAx>
      <c:serAx>
        <c:axId val="351836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105074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45"/>
          <c:w val="0.736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Hoja1!$A$60</c:f>
              <c:strCache>
                <c:ptCount val="1"/>
                <c:pt idx="0">
                  <c:v>Funcionamiento</c:v>
                </c:pt>
              </c:strCache>
            </c:strRef>
          </c:tx>
          <c:spPr>
            <a:solidFill>
              <a:srgbClr val="40699C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Hoja1!$B$59:$G$59</c:f>
              <c:strCache/>
            </c:strRef>
          </c:cat>
          <c:val>
            <c:numRef>
              <c:f>Hoja1!$B$60:$G$60</c:f>
              <c:numCache/>
            </c:numRef>
          </c:val>
          <c:shape val="cylinder"/>
        </c:ser>
        <c:ser>
          <c:idx val="1"/>
          <c:order val="1"/>
          <c:tx>
            <c:strRef>
              <c:f>Hoja1!$A$61</c:f>
              <c:strCache>
                <c:ptCount val="1"/>
                <c:pt idx="0">
                  <c:v>Servicio Deuda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Hoja1!$B$59:$G$59</c:f>
              <c:strCache/>
            </c:strRef>
          </c:cat>
          <c:val>
            <c:numRef>
              <c:f>Hoja1!$B$61:$G$61</c:f>
              <c:numCache/>
            </c:numRef>
          </c:val>
          <c:shape val="cylinder"/>
        </c:ser>
        <c:ser>
          <c:idx val="2"/>
          <c:order val="2"/>
          <c:tx>
            <c:strRef>
              <c:f>Hoja1!$A$62</c:f>
              <c:strCache>
                <c:ptCount val="1"/>
                <c:pt idx="0">
                  <c:v>Inversion</c:v>
                </c:pt>
              </c:strCache>
            </c:strRef>
          </c:tx>
          <c:spPr>
            <a:solidFill>
              <a:srgbClr val="AABAD7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Hoja1!$B$59:$G$59</c:f>
              <c:strCache/>
            </c:strRef>
          </c:cat>
          <c:val>
            <c:numRef>
              <c:f>Hoja1!$B$62:$G$62</c:f>
              <c:numCache/>
            </c:numRef>
          </c:val>
          <c:shape val="cylinder"/>
        </c:ser>
        <c:shape val="cylinder"/>
        <c:axId val="16932057"/>
        <c:axId val="18170786"/>
      </c:bar3DChart>
      <c:catAx>
        <c:axId val="16932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70786"/>
        <c:crosses val="autoZero"/>
        <c:auto val="1"/>
        <c:lblOffset val="100"/>
        <c:tickLblSkip val="1"/>
        <c:noMultiLvlLbl val="0"/>
      </c:catAx>
      <c:valAx>
        <c:axId val="181707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320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3655"/>
          <c:w val="0.20975"/>
          <c:h val="0.254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EDF4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EDF4"/>
        </a:solidFill>
        <a:ln w="3175">
          <a:noFill/>
        </a:ln>
      </c:spPr>
      <c:thickness val="0"/>
    </c:sideWall>
    <c:backWall>
      <c:spPr>
        <a:solidFill>
          <a:srgbClr val="E9ED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Rentas Mas Representativas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2575"/>
          <c:w val="0.6147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Hoja1!$A$16</c:f>
              <c:strCache>
                <c:ptCount val="1"/>
                <c:pt idx="0">
                  <c:v>Impuesto Predial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Hoja1!$B$15:$G$15</c:f>
              <c:strCache/>
            </c:strRef>
          </c:cat>
          <c:val>
            <c:numRef>
              <c:f>Hoja1!$B$16:$G$16</c:f>
              <c:numCache/>
            </c:numRef>
          </c:val>
        </c:ser>
        <c:ser>
          <c:idx val="1"/>
          <c:order val="1"/>
          <c:tx>
            <c:strRef>
              <c:f>Hoja1!$A$17</c:f>
              <c:strCache>
                <c:ptCount val="1"/>
                <c:pt idx="0">
                  <c:v>Industria y Comercio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Hoja1!$B$15:$G$15</c:f>
              <c:strCache/>
            </c:strRef>
          </c:cat>
          <c:val>
            <c:numRef>
              <c:f>Hoja1!$B$17:$G$17</c:f>
              <c:numCache/>
            </c:numRef>
          </c:val>
        </c:ser>
        <c:ser>
          <c:idx val="2"/>
          <c:order val="2"/>
          <c:tx>
            <c:strRef>
              <c:f>Hoja1!$A$18</c:f>
              <c:strCache>
                <c:ptCount val="1"/>
                <c:pt idx="0">
                  <c:v>Sobretasa a la Gasolina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Hoja1!$B$15:$G$15</c:f>
              <c:strCache/>
            </c:strRef>
          </c:cat>
          <c:val>
            <c:numRef>
              <c:f>Hoja1!$B$18:$G$18</c:f>
              <c:numCache/>
            </c:numRef>
          </c:val>
        </c:ser>
        <c:axId val="29319347"/>
        <c:axId val="62547532"/>
      </c:barChart>
      <c:catAx>
        <c:axId val="29319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47532"/>
        <c:crosses val="autoZero"/>
        <c:auto val="1"/>
        <c:lblOffset val="100"/>
        <c:tickLblSkip val="1"/>
        <c:noMultiLvlLbl val="0"/>
      </c:catAx>
      <c:valAx>
        <c:axId val="62547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19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85"/>
          <c:y val="0.29025"/>
          <c:w val="0.33175"/>
          <c:h val="0.50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SISTEMA GENERAL DE PARTICIOPACIONES </a:t>
            </a:r>
          </a:p>
        </c:rich>
      </c:tx>
      <c:layout>
        <c:manualLayout>
          <c:xMode val="factor"/>
          <c:yMode val="factor"/>
          <c:x val="-0.016"/>
          <c:y val="0.0035"/>
        </c:manualLayout>
      </c:layout>
      <c:spPr>
        <a:noFill/>
        <a:ln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19"/>
          <c:y val="0.2875"/>
          <c:w val="0.627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Hoja1!$B$22:$B$23</c:f>
              <c:strCache>
                <c:ptCount val="1"/>
                <c:pt idx="0">
                  <c:v>SISTEMA GENERAL DE PARTICIOPACIONES 2008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Hoja1!$A$24:$A$38</c:f>
              <c:strCache/>
            </c:strRef>
          </c:cat>
          <c:val>
            <c:numRef>
              <c:f>Hoja1!$B$24:$B$38</c:f>
              <c:numCache/>
            </c:numRef>
          </c:val>
          <c:shape val="cylinder"/>
        </c:ser>
        <c:ser>
          <c:idx val="1"/>
          <c:order val="1"/>
          <c:tx>
            <c:strRef>
              <c:f>Hoja1!$C$22:$C$23</c:f>
              <c:strCache>
                <c:ptCount val="1"/>
                <c:pt idx="0">
                  <c:v>SISTEMA GENERAL DE PARTICIOPACIONES 2009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Hoja1!$A$24:$A$38</c:f>
              <c:strCache/>
            </c:strRef>
          </c:cat>
          <c:val>
            <c:numRef>
              <c:f>Hoja1!$C$24:$C$38</c:f>
              <c:numCache/>
            </c:numRef>
          </c:val>
          <c:shape val="cylinder"/>
        </c:ser>
        <c:ser>
          <c:idx val="2"/>
          <c:order val="2"/>
          <c:tx>
            <c:strRef>
              <c:f>Hoja1!$D$22:$D$23</c:f>
              <c:strCache>
                <c:ptCount val="1"/>
                <c:pt idx="0">
                  <c:v>SISTEMA GENERAL DE PARTICIOPACIONES 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Hoja1!$A$24:$A$38</c:f>
              <c:strCache/>
            </c:strRef>
          </c:cat>
          <c:val>
            <c:numRef>
              <c:f>Hoja1!$D$24:$D$38</c:f>
              <c:numCache/>
            </c:numRef>
          </c:val>
          <c:shape val="cylinder"/>
        </c:ser>
        <c:ser>
          <c:idx val="3"/>
          <c:order val="3"/>
          <c:tx>
            <c:strRef>
              <c:f>Hoja1!$E$22:$E$23</c:f>
              <c:strCache>
                <c:ptCount val="1"/>
                <c:pt idx="0">
                  <c:v>SISTEMA GENERAL DE PARTICIOPACIONES junio 2011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Hoja1!$A$24:$A$38</c:f>
              <c:strCache/>
            </c:strRef>
          </c:cat>
          <c:val>
            <c:numRef>
              <c:f>Hoja1!$E$24:$E$38</c:f>
              <c:numCache/>
            </c:numRef>
          </c:val>
          <c:shape val="cylinder"/>
        </c:ser>
        <c:shape val="cylinder"/>
        <c:axId val="26056877"/>
        <c:axId val="33185302"/>
      </c:bar3DChart>
      <c:catAx>
        <c:axId val="2605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85302"/>
        <c:crosses val="autoZero"/>
        <c:auto val="1"/>
        <c:lblOffset val="100"/>
        <c:tickLblSkip val="1"/>
        <c:noMultiLvlLbl val="0"/>
      </c:catAx>
      <c:valAx>
        <c:axId val="33185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56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"/>
          <c:y val="0.319"/>
          <c:w val="0.316"/>
          <c:h val="0.59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3275"/>
          <c:y val="0.0235"/>
          <c:w val="0.97475"/>
          <c:h val="0.9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C6494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'EJECUCIONES PTALES ACTIVA'!$O$8:$S$8</c:f>
              <c:strCache/>
            </c:strRef>
          </c:cat>
          <c:val>
            <c:numRef>
              <c:f>'EJECUCIONES PTALES ACTIVA'!$O$9:$S$9</c:f>
              <c:numCache/>
            </c:numRef>
          </c:val>
          <c:shape val="box"/>
        </c:ser>
        <c:ser>
          <c:idx val="1"/>
          <c:order val="1"/>
          <c:spPr>
            <a:solidFill>
              <a:srgbClr val="4978B1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'EJECUCIONES PTALES ACTIVA'!$O$8:$S$8</c:f>
              <c:strCache/>
            </c:strRef>
          </c:cat>
          <c:val>
            <c:numRef>
              <c:f>'EJECUCIONES PTALES ACTIVA'!$O$10:$S$10</c:f>
              <c:numCache/>
            </c:numRef>
          </c:val>
          <c:shape val="box"/>
        </c:ser>
        <c:ser>
          <c:idx val="2"/>
          <c:order val="2"/>
          <c:tx>
            <c:v>series3</c:v>
          </c:tx>
          <c:spPr>
            <a:solidFill>
              <a:srgbClr val="7E9BC8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'EJECUCIONES PTALES ACTIVA'!$O$10:$S$10</c:f>
              <c:numCache/>
            </c:numRef>
          </c:val>
          <c:shape val="box"/>
        </c:ser>
        <c:ser>
          <c:idx val="3"/>
          <c:order val="3"/>
          <c:tx>
            <c:v>Series4</c:v>
          </c:tx>
          <c:spPr>
            <a:solidFill>
              <a:srgbClr val="B6C3DC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'EJECUCIONES PTALES ACTIVA'!$O$11:$S$11</c:f>
              <c:numCache/>
            </c:numRef>
          </c:val>
          <c:shape val="box"/>
        </c:ser>
        <c:gapWidth val="75"/>
        <c:shape val="box"/>
        <c:axId val="30232263"/>
        <c:axId val="3654912"/>
      </c:bar3DChart>
      <c:catAx>
        <c:axId val="302322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54912"/>
        <c:crosses val="autoZero"/>
        <c:auto val="1"/>
        <c:lblOffset val="100"/>
        <c:tickLblSkip val="1"/>
        <c:noMultiLvlLbl val="0"/>
      </c:catAx>
      <c:valAx>
        <c:axId val="36549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322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9EDF4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EDF4"/>
        </a:solidFill>
        <a:ln w="3175">
          <a:noFill/>
        </a:ln>
      </c:spPr>
      <c:thickness val="0"/>
    </c:sideWall>
    <c:backWall>
      <c:spPr>
        <a:solidFill>
          <a:srgbClr val="E9ED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05"/>
          <c:y val="0.0355"/>
          <c:w val="0.809"/>
          <c:h val="0.92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'EJECUCIONES PTALES ACTIVA'!$O$2:$S$2</c:f>
              <c:strCache/>
            </c:strRef>
          </c:cat>
          <c:val>
            <c:numRef>
              <c:f>'EJECUCIONES PTALES ACTIVA'!$O$3:$S$3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'EJECUCIONES PTALES ACTIVA'!$O$2:$S$2</c:f>
              <c:strCache/>
            </c:strRef>
          </c:cat>
          <c:val>
            <c:numRef>
              <c:f>'EJECUCIONES PTALES ACTIVA'!$O$4:$S$4</c:f>
              <c:numCache/>
            </c:numRef>
          </c:val>
          <c:shape val="box"/>
        </c:ser>
        <c:gapWidth val="75"/>
        <c:shape val="box"/>
        <c:axId val="32894209"/>
        <c:axId val="27612426"/>
        <c:axId val="47185243"/>
      </c:bar3DChart>
      <c:catAx>
        <c:axId val="328942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612426"/>
        <c:crosses val="autoZero"/>
        <c:auto val="1"/>
        <c:lblOffset val="100"/>
        <c:tickLblSkip val="1"/>
        <c:noMultiLvlLbl val="0"/>
      </c:catAx>
      <c:valAx>
        <c:axId val="276124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94209"/>
        <c:crossesAt val="1"/>
        <c:crossBetween val="between"/>
        <c:dispUnits/>
      </c:valAx>
      <c:serAx>
        <c:axId val="47185243"/>
        <c:scaling>
          <c:orientation val="minMax"/>
        </c:scaling>
        <c:axPos val="b"/>
        <c:delete val="1"/>
        <c:majorTickMark val="out"/>
        <c:minorTickMark val="none"/>
        <c:tickLblPos val="nextTo"/>
        <c:crossAx val="2761242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"/>
          <c:y val="0.8935"/>
          <c:w val="0.27175"/>
          <c:h val="0.08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Ingresos Más Representativos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"/>
          <c:y val="0.23"/>
          <c:w val="0.65375"/>
          <c:h val="0.6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'EJECUCIONES PTALES ACTIVA'!$AJ$20:$AJ$25</c:f>
              <c:strCache/>
            </c:strRef>
          </c:cat>
          <c:val>
            <c:numRef>
              <c:f>'EJECUCIONES PTALES ACTIVA'!$AK$20:$AK$25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Impuesto Industria y Comercio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325"/>
          <c:y val="0.1825"/>
          <c:w val="0.91375"/>
          <c:h val="0.77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'EJECUCIONES PTALES ACTIVA'!$AC$32:$AF$32</c:f>
              <c:numCache/>
            </c:numRef>
          </c:cat>
          <c:val>
            <c:numRef>
              <c:f>'EJECUCIONES PTALES ACTIVA'!$AC$32:$AF$32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'EJECUCIONES PTALES ACTIVA'!$AC$32:$AF$32</c:f>
              <c:numCache/>
            </c:numRef>
          </c:cat>
          <c:val>
            <c:numRef>
              <c:f>'EJECUCIONES PTALES ACTIVA'!$AC$33:$AF$33</c:f>
              <c:numCache/>
            </c:numRef>
          </c:val>
          <c:shape val="box"/>
        </c:ser>
        <c:shape val="box"/>
        <c:axId val="22014004"/>
        <c:axId val="63908309"/>
      </c:bar3DChart>
      <c:catAx>
        <c:axId val="220140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08309"/>
        <c:crosses val="autoZero"/>
        <c:auto val="1"/>
        <c:lblOffset val="100"/>
        <c:tickLblSkip val="1"/>
        <c:noMultiLvlLbl val="0"/>
      </c:catAx>
      <c:valAx>
        <c:axId val="63908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0140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Sobretasa a la Gasolina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7275"/>
          <c:y val="0.17475"/>
          <c:w val="0.90025"/>
          <c:h val="0.78675"/>
        </c:manualLayout>
      </c:layout>
      <c:bar3DChart>
        <c:barDir val="col"/>
        <c:grouping val="standar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'EJECUCIONES PTALES ACTIVA'!$AK$45:$AN$45</c:f>
              <c:numCache/>
            </c:numRef>
          </c:cat>
          <c:val>
            <c:numRef>
              <c:f>'EJECUCIONES PTALES ACTIVA'!$AK$46:$AN$46</c:f>
              <c:numCache/>
            </c:numRef>
          </c:val>
          <c:shape val="cylinder"/>
        </c:ser>
        <c:shape val="cylinder"/>
        <c:axId val="38303870"/>
        <c:axId val="9190511"/>
        <c:axId val="15605736"/>
      </c:bar3DChart>
      <c:catAx>
        <c:axId val="383038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190511"/>
        <c:crosses val="autoZero"/>
        <c:auto val="1"/>
        <c:lblOffset val="100"/>
        <c:tickLblSkip val="1"/>
        <c:noMultiLvlLbl val="0"/>
      </c:catAx>
      <c:valAx>
        <c:axId val="91905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03870"/>
        <c:crossesAt val="1"/>
        <c:crossBetween val="between"/>
        <c:dispUnits/>
      </c:valAx>
      <c:serAx>
        <c:axId val="156057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190511"/>
        <c:crosses val="autoZero"/>
        <c:tickLblSkip val="2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0</xdr:row>
      <xdr:rowOff>0</xdr:rowOff>
    </xdr:from>
    <xdr:to>
      <xdr:col>17</xdr:col>
      <xdr:colOff>38100</xdr:colOff>
      <xdr:row>15</xdr:row>
      <xdr:rowOff>19050</xdr:rowOff>
    </xdr:to>
    <xdr:graphicFrame>
      <xdr:nvGraphicFramePr>
        <xdr:cNvPr id="1" name="6 Gráfico"/>
        <xdr:cNvGraphicFramePr/>
      </xdr:nvGraphicFramePr>
      <xdr:xfrm>
        <a:off x="9867900" y="0"/>
        <a:ext cx="66008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657225</xdr:colOff>
      <xdr:row>54</xdr:row>
      <xdr:rowOff>38100</xdr:rowOff>
    </xdr:from>
    <xdr:to>
      <xdr:col>13</xdr:col>
      <xdr:colOff>657225</xdr:colOff>
      <xdr:row>68</xdr:row>
      <xdr:rowOff>114300</xdr:rowOff>
    </xdr:to>
    <xdr:graphicFrame>
      <xdr:nvGraphicFramePr>
        <xdr:cNvPr id="2" name="3 Gráfico"/>
        <xdr:cNvGraphicFramePr/>
      </xdr:nvGraphicFramePr>
      <xdr:xfrm>
        <a:off x="8915400" y="7848600"/>
        <a:ext cx="51244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333375</xdr:colOff>
      <xdr:row>20</xdr:row>
      <xdr:rowOff>47625</xdr:rowOff>
    </xdr:from>
    <xdr:to>
      <xdr:col>15</xdr:col>
      <xdr:colOff>333375</xdr:colOff>
      <xdr:row>41</xdr:row>
      <xdr:rowOff>85725</xdr:rowOff>
    </xdr:to>
    <xdr:graphicFrame>
      <xdr:nvGraphicFramePr>
        <xdr:cNvPr id="3" name="5 Gráfico"/>
        <xdr:cNvGraphicFramePr/>
      </xdr:nvGraphicFramePr>
      <xdr:xfrm>
        <a:off x="11277600" y="3857625"/>
        <a:ext cx="3962400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428625</xdr:colOff>
      <xdr:row>20</xdr:row>
      <xdr:rowOff>171450</xdr:rowOff>
    </xdr:from>
    <xdr:to>
      <xdr:col>7</xdr:col>
      <xdr:colOff>514350</xdr:colOff>
      <xdr:row>48</xdr:row>
      <xdr:rowOff>57150</xdr:rowOff>
    </xdr:to>
    <xdr:graphicFrame>
      <xdr:nvGraphicFramePr>
        <xdr:cNvPr id="4" name="11 Gráfico"/>
        <xdr:cNvGraphicFramePr/>
      </xdr:nvGraphicFramePr>
      <xdr:xfrm>
        <a:off x="3895725" y="3981450"/>
        <a:ext cx="48768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342900</xdr:colOff>
      <xdr:row>0</xdr:row>
      <xdr:rowOff>190500</xdr:rowOff>
    </xdr:from>
    <xdr:to>
      <xdr:col>31</xdr:col>
      <xdr:colOff>561975</xdr:colOff>
      <xdr:row>13</xdr:row>
      <xdr:rowOff>95250</xdr:rowOff>
    </xdr:to>
    <xdr:graphicFrame>
      <xdr:nvGraphicFramePr>
        <xdr:cNvPr id="1" name="3 Gráfico"/>
        <xdr:cNvGraphicFramePr/>
      </xdr:nvGraphicFramePr>
      <xdr:xfrm>
        <a:off x="29984700" y="190500"/>
        <a:ext cx="40290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142875</xdr:colOff>
      <xdr:row>4</xdr:row>
      <xdr:rowOff>47625</xdr:rowOff>
    </xdr:from>
    <xdr:to>
      <xdr:col>41</xdr:col>
      <xdr:colOff>142875</xdr:colOff>
      <xdr:row>18</xdr:row>
      <xdr:rowOff>57150</xdr:rowOff>
    </xdr:to>
    <xdr:graphicFrame>
      <xdr:nvGraphicFramePr>
        <xdr:cNvPr id="2" name="3 Gráfico"/>
        <xdr:cNvGraphicFramePr/>
      </xdr:nvGraphicFramePr>
      <xdr:xfrm>
        <a:off x="36642675" y="914400"/>
        <a:ext cx="45720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41</xdr:col>
      <xdr:colOff>666750</xdr:colOff>
      <xdr:row>4</xdr:row>
      <xdr:rowOff>104775</xdr:rowOff>
    </xdr:from>
    <xdr:to>
      <xdr:col>47</xdr:col>
      <xdr:colOff>638175</xdr:colOff>
      <xdr:row>19</xdr:row>
      <xdr:rowOff>19050</xdr:rowOff>
    </xdr:to>
    <xdr:graphicFrame>
      <xdr:nvGraphicFramePr>
        <xdr:cNvPr id="3" name="3 Gráfico"/>
        <xdr:cNvGraphicFramePr/>
      </xdr:nvGraphicFramePr>
      <xdr:xfrm>
        <a:off x="41738550" y="971550"/>
        <a:ext cx="454342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257175</xdr:colOff>
      <xdr:row>14</xdr:row>
      <xdr:rowOff>76200</xdr:rowOff>
    </xdr:from>
    <xdr:to>
      <xdr:col>33</xdr:col>
      <xdr:colOff>295275</xdr:colOff>
      <xdr:row>28</xdr:row>
      <xdr:rowOff>152400</xdr:rowOff>
    </xdr:to>
    <xdr:graphicFrame>
      <xdr:nvGraphicFramePr>
        <xdr:cNvPr id="4" name="7 Gráfico"/>
        <xdr:cNvGraphicFramePr/>
      </xdr:nvGraphicFramePr>
      <xdr:xfrm>
        <a:off x="30660975" y="2847975"/>
        <a:ext cx="46101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39</xdr:col>
      <xdr:colOff>390525</xdr:colOff>
      <xdr:row>27</xdr:row>
      <xdr:rowOff>47625</xdr:rowOff>
    </xdr:from>
    <xdr:to>
      <xdr:col>44</xdr:col>
      <xdr:colOff>590550</xdr:colOff>
      <xdr:row>41</xdr:row>
      <xdr:rowOff>142875</xdr:rowOff>
    </xdr:to>
    <xdr:graphicFrame>
      <xdr:nvGraphicFramePr>
        <xdr:cNvPr id="5" name="9 Gráfico"/>
        <xdr:cNvGraphicFramePr/>
      </xdr:nvGraphicFramePr>
      <xdr:xfrm>
        <a:off x="39938325" y="5295900"/>
        <a:ext cx="4010025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609600</xdr:colOff>
      <xdr:row>33</xdr:row>
      <xdr:rowOff>104775</xdr:rowOff>
    </xdr:from>
    <xdr:to>
      <xdr:col>32</xdr:col>
      <xdr:colOff>619125</xdr:colOff>
      <xdr:row>47</xdr:row>
      <xdr:rowOff>180975</xdr:rowOff>
    </xdr:to>
    <xdr:graphicFrame>
      <xdr:nvGraphicFramePr>
        <xdr:cNvPr id="6" name="10 Gráfico"/>
        <xdr:cNvGraphicFramePr/>
      </xdr:nvGraphicFramePr>
      <xdr:xfrm>
        <a:off x="30251400" y="6496050"/>
        <a:ext cx="45815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TRICIA.HACIENDA11\AppData\Local\Microsoft\Windows\Temporary%20Internet%20Files\Content.IE5\3QFZRKJ6\presupuesto%202012%20Bojac&#2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ACIENDA\USB\PRESUPUESTO%202012\presupuesto%202012%20Bojaca%20Definiti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FUNCIONAMIENTO"/>
      <sheetName val="INVERSION"/>
      <sheetName val="PLANTA"/>
      <sheetName val="REGALIAS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FUNCIONAMIENTO"/>
      <sheetName val="INVERSION"/>
      <sheetName val="PLANTA"/>
      <sheetName val="REGALIAS"/>
      <sheetName val="Hoja1"/>
      <sheetName val="Hoja2"/>
    </sheetNames>
    <sheetDataSet>
      <sheetData sheetId="0">
        <row r="7">
          <cell r="C7">
            <v>840000000</v>
          </cell>
        </row>
        <row r="8">
          <cell r="C8">
            <v>230000000</v>
          </cell>
        </row>
        <row r="9">
          <cell r="C9">
            <v>1000000</v>
          </cell>
        </row>
        <row r="12">
          <cell r="C12">
            <v>210000000</v>
          </cell>
        </row>
        <row r="13">
          <cell r="C13">
            <v>10000000</v>
          </cell>
        </row>
        <row r="14">
          <cell r="C14">
            <v>11000000</v>
          </cell>
        </row>
        <row r="15">
          <cell r="C15">
            <v>200000</v>
          </cell>
        </row>
        <row r="16">
          <cell r="C16">
            <v>25000000</v>
          </cell>
        </row>
        <row r="17">
          <cell r="C17">
            <v>105000</v>
          </cell>
        </row>
        <row r="18">
          <cell r="C18">
            <v>500000000</v>
          </cell>
        </row>
        <row r="19">
          <cell r="C19">
            <v>15000000</v>
          </cell>
        </row>
        <row r="20">
          <cell r="C20">
            <v>15000000</v>
          </cell>
        </row>
        <row r="23">
          <cell r="C23">
            <v>5000000</v>
          </cell>
        </row>
        <row r="24">
          <cell r="C24">
            <v>525000</v>
          </cell>
        </row>
        <row r="26">
          <cell r="C26">
            <v>210000</v>
          </cell>
        </row>
        <row r="27">
          <cell r="C27">
            <v>5000000</v>
          </cell>
        </row>
        <row r="28">
          <cell r="C28">
            <v>2000000</v>
          </cell>
        </row>
        <row r="29">
          <cell r="C29">
            <v>2000000</v>
          </cell>
        </row>
        <row r="30">
          <cell r="C30">
            <v>840000</v>
          </cell>
        </row>
        <row r="31">
          <cell r="C31">
            <v>2000000</v>
          </cell>
        </row>
        <row r="32">
          <cell r="C32">
            <v>500000</v>
          </cell>
        </row>
        <row r="33">
          <cell r="C33">
            <v>8000000</v>
          </cell>
        </row>
        <row r="34">
          <cell r="C34">
            <v>100000</v>
          </cell>
        </row>
        <row r="36">
          <cell r="C36">
            <v>50000</v>
          </cell>
        </row>
        <row r="37">
          <cell r="C37">
            <v>50000</v>
          </cell>
        </row>
        <row r="38">
          <cell r="C38">
            <v>50000</v>
          </cell>
        </row>
        <row r="40">
          <cell r="C40">
            <v>70000000</v>
          </cell>
        </row>
        <row r="41">
          <cell r="C41">
            <v>2000000</v>
          </cell>
        </row>
        <row r="45">
          <cell r="C45">
            <v>1000000</v>
          </cell>
        </row>
        <row r="48">
          <cell r="C48">
            <v>3000000</v>
          </cell>
        </row>
        <row r="49">
          <cell r="C49">
            <v>100000</v>
          </cell>
        </row>
        <row r="51">
          <cell r="C51">
            <v>95000000</v>
          </cell>
        </row>
        <row r="52">
          <cell r="C52">
            <v>15000000</v>
          </cell>
        </row>
        <row r="53">
          <cell r="C53">
            <v>20000000</v>
          </cell>
        </row>
        <row r="56">
          <cell r="C56">
            <v>358624645</v>
          </cell>
        </row>
        <row r="57">
          <cell r="C57">
            <v>6000000</v>
          </cell>
        </row>
        <row r="59">
          <cell r="C59">
            <v>114470158</v>
          </cell>
        </row>
        <row r="60">
          <cell r="C60">
            <v>57137000</v>
          </cell>
        </row>
        <row r="61">
          <cell r="C61">
            <v>15635382</v>
          </cell>
        </row>
        <row r="62">
          <cell r="C62">
            <v>227388625</v>
          </cell>
        </row>
        <row r="67">
          <cell r="C67">
            <v>21423959</v>
          </cell>
        </row>
        <row r="68">
          <cell r="C68">
            <v>16067969</v>
          </cell>
        </row>
        <row r="69">
          <cell r="C69">
            <v>456175392</v>
          </cell>
        </row>
        <row r="71">
          <cell r="C71">
            <v>50000000</v>
          </cell>
        </row>
        <row r="74">
          <cell r="C74">
            <v>640000000</v>
          </cell>
        </row>
        <row r="103">
          <cell r="C103">
            <v>13000000</v>
          </cell>
        </row>
        <row r="105">
          <cell r="C105">
            <v>1000000</v>
          </cell>
        </row>
        <row r="106">
          <cell r="C106">
            <v>50000</v>
          </cell>
        </row>
        <row r="107">
          <cell r="C107">
            <v>13000000</v>
          </cell>
        </row>
        <row r="108">
          <cell r="C108">
            <v>1000000</v>
          </cell>
        </row>
        <row r="112">
          <cell r="C112">
            <v>349310329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112491533</v>
          </cell>
        </row>
        <row r="116">
          <cell r="C116">
            <v>8000000</v>
          </cell>
        </row>
        <row r="117">
          <cell r="C117">
            <v>150030816</v>
          </cell>
        </row>
        <row r="119">
          <cell r="C119">
            <v>37594581</v>
          </cell>
        </row>
        <row r="134">
          <cell r="C134">
            <v>5000000</v>
          </cell>
        </row>
        <row r="135">
          <cell r="C135">
            <v>200000</v>
          </cell>
        </row>
        <row r="137">
          <cell r="C137">
            <v>10000000</v>
          </cell>
        </row>
        <row r="143">
          <cell r="C143">
            <v>43792500</v>
          </cell>
        </row>
        <row r="144">
          <cell r="C144">
            <v>151032500</v>
          </cell>
        </row>
        <row r="145">
          <cell r="C145">
            <v>3150000</v>
          </cell>
        </row>
        <row r="146">
          <cell r="C146">
            <v>210000</v>
          </cell>
        </row>
        <row r="147">
          <cell r="C147">
            <v>1575000</v>
          </cell>
        </row>
        <row r="148">
          <cell r="C148">
            <v>525000</v>
          </cell>
        </row>
        <row r="149">
          <cell r="C149">
            <v>42215000</v>
          </cell>
        </row>
        <row r="150">
          <cell r="C150">
            <v>4000000</v>
          </cell>
        </row>
        <row r="152">
          <cell r="C152">
            <v>57000000</v>
          </cell>
        </row>
        <row r="155">
          <cell r="C155">
            <v>55000000</v>
          </cell>
        </row>
      </sheetData>
      <sheetData sheetId="1">
        <row r="5">
          <cell r="F5">
            <v>111819410</v>
          </cell>
        </row>
        <row r="42">
          <cell r="F42">
            <v>85950000</v>
          </cell>
        </row>
        <row r="81">
          <cell r="F81">
            <v>1439883285</v>
          </cell>
        </row>
        <row r="152">
          <cell r="F152">
            <v>360500000</v>
          </cell>
        </row>
      </sheetData>
      <sheetData sheetId="2">
        <row r="12">
          <cell r="E12">
            <v>148354250</v>
          </cell>
        </row>
        <row r="23">
          <cell r="K23">
            <v>374141193</v>
          </cell>
        </row>
        <row r="65">
          <cell r="K65">
            <v>698627259</v>
          </cell>
        </row>
        <row r="96">
          <cell r="K96">
            <v>94201245</v>
          </cell>
        </row>
        <row r="124">
          <cell r="K124">
            <v>55067969</v>
          </cell>
        </row>
        <row r="150">
          <cell r="K150">
            <v>115322875</v>
          </cell>
        </row>
        <row r="172">
          <cell r="K172">
            <v>138234869</v>
          </cell>
        </row>
        <row r="211">
          <cell r="K211">
            <v>35625000</v>
          </cell>
        </row>
        <row r="236">
          <cell r="K236">
            <v>196872781</v>
          </cell>
        </row>
        <row r="266">
          <cell r="K266">
            <v>723388625</v>
          </cell>
        </row>
        <row r="336">
          <cell r="K336">
            <v>80000000</v>
          </cell>
        </row>
        <row r="356">
          <cell r="K356">
            <v>128841628</v>
          </cell>
        </row>
        <row r="376">
          <cell r="K376">
            <v>153000000</v>
          </cell>
        </row>
        <row r="401">
          <cell r="K401">
            <v>72000000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zoomScale="80" zoomScaleNormal="80" zoomScalePageLayoutView="0" workbookViewId="0" topLeftCell="C1">
      <selection activeCell="J16" sqref="J16"/>
    </sheetView>
  </sheetViews>
  <sheetFormatPr defaultColWidth="11.421875" defaultRowHeight="15"/>
  <cols>
    <col min="1" max="1" width="33.57421875" style="0" customWidth="1"/>
    <col min="2" max="2" width="18.421875" style="0" bestFit="1" customWidth="1"/>
    <col min="3" max="4" width="13.7109375" style="0" customWidth="1"/>
    <col min="5" max="5" width="14.28125" style="0" customWidth="1"/>
    <col min="6" max="6" width="15.140625" style="0" customWidth="1"/>
    <col min="7" max="7" width="15.00390625" style="0" customWidth="1"/>
    <col min="8" max="10" width="13.421875" style="0" bestFit="1" customWidth="1"/>
    <col min="11" max="11" width="13.7109375" style="0" bestFit="1" customWidth="1"/>
  </cols>
  <sheetData>
    <row r="1" spans="1:7" ht="15">
      <c r="A1" s="268" t="s">
        <v>75</v>
      </c>
      <c r="B1" s="268"/>
      <c r="C1" s="268"/>
      <c r="D1" s="268"/>
      <c r="E1" s="268"/>
      <c r="F1" s="268"/>
      <c r="G1" s="268"/>
    </row>
    <row r="3" spans="1:7" ht="15">
      <c r="A3" s="4"/>
      <c r="B3" s="1" t="s">
        <v>72</v>
      </c>
      <c r="C3" s="1" t="s">
        <v>72</v>
      </c>
      <c r="D3" s="1" t="s">
        <v>72</v>
      </c>
      <c r="E3" s="1" t="s">
        <v>72</v>
      </c>
      <c r="F3" s="1" t="s">
        <v>72</v>
      </c>
      <c r="G3" s="1" t="s">
        <v>73</v>
      </c>
    </row>
    <row r="4" spans="1:7" ht="15">
      <c r="A4" s="5" t="s">
        <v>67</v>
      </c>
      <c r="B4" s="3">
        <v>2006</v>
      </c>
      <c r="C4" s="3">
        <v>2007</v>
      </c>
      <c r="D4" s="3">
        <v>2008</v>
      </c>
      <c r="E4" s="3">
        <v>2009</v>
      </c>
      <c r="F4" s="3">
        <v>2010</v>
      </c>
      <c r="G4" s="2" t="s">
        <v>61</v>
      </c>
    </row>
    <row r="5" spans="1:7" ht="15">
      <c r="A5" s="6" t="s">
        <v>68</v>
      </c>
      <c r="B5" s="7">
        <v>3058293715</v>
      </c>
      <c r="C5" s="7">
        <v>4111819963</v>
      </c>
      <c r="D5" s="7">
        <v>3289337685</v>
      </c>
      <c r="E5" s="7">
        <v>4070964524</v>
      </c>
      <c r="F5" s="7">
        <v>4270708020</v>
      </c>
      <c r="G5" s="7">
        <v>5085993494</v>
      </c>
    </row>
    <row r="6" spans="1:7" ht="15">
      <c r="A6" s="6" t="s">
        <v>69</v>
      </c>
      <c r="B6" s="7">
        <v>5832177274</v>
      </c>
      <c r="C6" s="7">
        <v>9692630182</v>
      </c>
      <c r="D6" s="7">
        <v>8150858745</v>
      </c>
      <c r="E6" s="7">
        <v>11850048834</v>
      </c>
      <c r="F6" s="7">
        <v>11211698671.45</v>
      </c>
      <c r="G6" s="7">
        <v>21960195099.73</v>
      </c>
    </row>
    <row r="7" spans="1:7" ht="15">
      <c r="A7" s="6" t="s">
        <v>70</v>
      </c>
      <c r="B7" s="7">
        <f aca="true" t="shared" si="0" ref="B7:G7">B6-B5</f>
        <v>2773883559</v>
      </c>
      <c r="C7" s="7">
        <f t="shared" si="0"/>
        <v>5580810219</v>
      </c>
      <c r="D7" s="7">
        <f t="shared" si="0"/>
        <v>4861521060</v>
      </c>
      <c r="E7" s="7">
        <f t="shared" si="0"/>
        <v>7779084310</v>
      </c>
      <c r="F7" s="7">
        <f t="shared" si="0"/>
        <v>6940990651.450001</v>
      </c>
      <c r="G7" s="7">
        <f t="shared" si="0"/>
        <v>16874201605.73</v>
      </c>
    </row>
    <row r="8" spans="1:7" ht="15">
      <c r="A8" s="6" t="s">
        <v>71</v>
      </c>
      <c r="B8" s="8">
        <f aca="true" t="shared" si="1" ref="B8:G8">B7/B6</f>
        <v>0.4756171543972173</v>
      </c>
      <c r="C8" s="8">
        <f t="shared" si="1"/>
        <v>0.5757787219989077</v>
      </c>
      <c r="D8" s="8">
        <f t="shared" si="1"/>
        <v>0.5964428058555442</v>
      </c>
      <c r="E8" s="8">
        <f t="shared" si="1"/>
        <v>0.656460105690059</v>
      </c>
      <c r="F8" s="8">
        <f t="shared" si="1"/>
        <v>0.619084659234097</v>
      </c>
      <c r="G8" s="8">
        <f t="shared" si="1"/>
        <v>0.7683994394902925</v>
      </c>
    </row>
    <row r="12" spans="1:7" ht="15">
      <c r="A12" s="268" t="s">
        <v>436</v>
      </c>
      <c r="B12" s="268"/>
      <c r="C12" s="268"/>
      <c r="D12" s="268"/>
      <c r="E12" s="268"/>
      <c r="F12" s="268"/>
      <c r="G12" s="268"/>
    </row>
    <row r="14" spans="1:7" ht="15">
      <c r="A14" s="4"/>
      <c r="B14" s="1" t="s">
        <v>72</v>
      </c>
      <c r="C14" s="1" t="s">
        <v>72</v>
      </c>
      <c r="D14" s="1" t="s">
        <v>72</v>
      </c>
      <c r="E14" s="1" t="s">
        <v>72</v>
      </c>
      <c r="F14" s="1" t="s">
        <v>72</v>
      </c>
      <c r="G14" s="1" t="s">
        <v>73</v>
      </c>
    </row>
    <row r="15" spans="1:7" ht="15">
      <c r="A15" s="5"/>
      <c r="B15" s="3">
        <v>2006</v>
      </c>
      <c r="C15" s="3">
        <v>2007</v>
      </c>
      <c r="D15" s="3">
        <v>2008</v>
      </c>
      <c r="E15" s="3">
        <v>2009</v>
      </c>
      <c r="F15" s="3">
        <v>2010</v>
      </c>
      <c r="G15" s="2" t="s">
        <v>74</v>
      </c>
    </row>
    <row r="16" spans="1:7" ht="15">
      <c r="A16" s="6" t="s">
        <v>437</v>
      </c>
      <c r="B16" s="7">
        <v>585487743</v>
      </c>
      <c r="C16" s="7">
        <v>592340394</v>
      </c>
      <c r="D16" s="7">
        <v>709620818</v>
      </c>
      <c r="E16" s="7">
        <v>763642997</v>
      </c>
      <c r="F16" s="7">
        <v>965680992</v>
      </c>
      <c r="G16" s="7">
        <v>954299583</v>
      </c>
    </row>
    <row r="17" spans="1:7" ht="15">
      <c r="A17" s="6" t="s">
        <v>94</v>
      </c>
      <c r="B17" s="7">
        <v>147317499.7</v>
      </c>
      <c r="C17" s="7">
        <v>270368471</v>
      </c>
      <c r="D17" s="7">
        <v>326854044</v>
      </c>
      <c r="E17" s="7">
        <v>217806252</v>
      </c>
      <c r="F17" s="7">
        <v>230278687</v>
      </c>
      <c r="G17" s="7">
        <v>263650949</v>
      </c>
    </row>
    <row r="18" spans="1:7" ht="15">
      <c r="A18" s="6" t="s">
        <v>179</v>
      </c>
      <c r="B18" s="7">
        <v>332240000</v>
      </c>
      <c r="C18" s="7">
        <v>492342000</v>
      </c>
      <c r="D18" s="7">
        <v>528891000</v>
      </c>
      <c r="E18" s="7">
        <v>496391000</v>
      </c>
      <c r="F18" s="7">
        <v>469981000</v>
      </c>
      <c r="G18" s="7">
        <v>226227000</v>
      </c>
    </row>
    <row r="20" ht="15">
      <c r="E20" s="39"/>
    </row>
    <row r="21" ht="15">
      <c r="E21" s="39"/>
    </row>
    <row r="22" spans="1:5" ht="15">
      <c r="A22" s="268" t="s">
        <v>449</v>
      </c>
      <c r="B22" s="268"/>
      <c r="C22" s="268"/>
      <c r="D22" s="268"/>
      <c r="E22" s="268"/>
    </row>
    <row r="23" spans="1:5" ht="15">
      <c r="A23" s="6"/>
      <c r="B23" s="61">
        <v>2008</v>
      </c>
      <c r="C23" s="61">
        <v>2009</v>
      </c>
      <c r="D23" s="61">
        <v>2010</v>
      </c>
      <c r="E23" s="62" t="s">
        <v>74</v>
      </c>
    </row>
    <row r="24" spans="1:5" ht="15" hidden="1">
      <c r="A24" s="58" t="s">
        <v>439</v>
      </c>
      <c r="B24" s="63">
        <f>SUM(B25:B26)</f>
        <v>155645682</v>
      </c>
      <c r="C24" s="63">
        <f>SUM(C25:C26)</f>
        <v>165022929</v>
      </c>
      <c r="D24" s="63">
        <f>SUM(D25:D26)</f>
        <v>166576387</v>
      </c>
      <c r="E24" s="63">
        <f>SUM(E25:E26)</f>
        <v>174812471</v>
      </c>
    </row>
    <row r="25" spans="1:5" ht="15" hidden="1">
      <c r="A25" s="6" t="s">
        <v>445</v>
      </c>
      <c r="B25" s="7">
        <v>155645682</v>
      </c>
      <c r="C25" s="7">
        <v>117613929</v>
      </c>
      <c r="D25" s="7">
        <v>117552387</v>
      </c>
      <c r="E25" s="7">
        <v>117675471</v>
      </c>
    </row>
    <row r="26" spans="1:5" ht="15" hidden="1">
      <c r="A26" s="6" t="s">
        <v>444</v>
      </c>
      <c r="B26" s="7"/>
      <c r="C26" s="7">
        <v>47409000</v>
      </c>
      <c r="D26" s="7">
        <v>49024000</v>
      </c>
      <c r="E26" s="7">
        <v>57137000</v>
      </c>
    </row>
    <row r="27" spans="1:5" ht="15" hidden="1">
      <c r="A27" s="58" t="s">
        <v>440</v>
      </c>
      <c r="B27" s="63">
        <f>SUM(B28:B29)</f>
        <v>458689153</v>
      </c>
      <c r="C27" s="63">
        <f>SUM(C28:C29)</f>
        <v>483223216</v>
      </c>
      <c r="D27" s="63">
        <f>SUM(D28:D29)</f>
        <v>485150845</v>
      </c>
      <c r="E27" s="63">
        <f>SUM(E28:E29)</f>
        <v>437986297</v>
      </c>
    </row>
    <row r="28" spans="1:5" ht="15" hidden="1">
      <c r="A28" s="6" t="s">
        <v>446</v>
      </c>
      <c r="B28" s="7">
        <v>428542611</v>
      </c>
      <c r="C28" s="7">
        <v>447772996</v>
      </c>
      <c r="D28" s="7">
        <v>446271043</v>
      </c>
      <c r="E28" s="7">
        <v>396768120</v>
      </c>
    </row>
    <row r="29" spans="1:5" ht="15" hidden="1">
      <c r="A29" s="6" t="s">
        <v>447</v>
      </c>
      <c r="B29" s="7">
        <v>30146542</v>
      </c>
      <c r="C29" s="7">
        <v>35450220</v>
      </c>
      <c r="D29" s="7">
        <v>38879802</v>
      </c>
      <c r="E29" s="7">
        <v>41218177</v>
      </c>
    </row>
    <row r="30" spans="1:5" ht="15" hidden="1">
      <c r="A30" s="6" t="s">
        <v>442</v>
      </c>
      <c r="B30" s="7">
        <v>14782974</v>
      </c>
      <c r="C30" s="7">
        <v>17063899</v>
      </c>
      <c r="D30" s="7">
        <v>18024283</v>
      </c>
      <c r="E30" s="7">
        <v>17342673</v>
      </c>
    </row>
    <row r="31" spans="1:5" ht="15" hidden="1">
      <c r="A31" s="6" t="s">
        <v>441</v>
      </c>
      <c r="B31" s="7">
        <v>262407031</v>
      </c>
      <c r="C31" s="7">
        <v>266969464</v>
      </c>
      <c r="D31" s="7">
        <v>271635982</v>
      </c>
      <c r="E31" s="7">
        <v>236942444</v>
      </c>
    </row>
    <row r="32" spans="1:5" ht="15" hidden="1">
      <c r="A32" s="6" t="s">
        <v>448</v>
      </c>
      <c r="B32" s="7">
        <v>49822681</v>
      </c>
      <c r="C32" s="7">
        <v>65526538</v>
      </c>
      <c r="D32" s="7">
        <v>0</v>
      </c>
      <c r="E32" s="7">
        <v>0</v>
      </c>
    </row>
    <row r="33" spans="1:5" ht="15" hidden="1">
      <c r="A33" s="6" t="s">
        <v>438</v>
      </c>
      <c r="B33" s="7">
        <v>411153956</v>
      </c>
      <c r="C33" s="7">
        <v>459149259</v>
      </c>
      <c r="D33" s="7">
        <v>456919622</v>
      </c>
      <c r="E33" s="7">
        <v>473634984</v>
      </c>
    </row>
    <row r="34" spans="1:5" ht="15" hidden="1">
      <c r="A34" s="6" t="s">
        <v>97</v>
      </c>
      <c r="B34" s="7">
        <v>31339300</v>
      </c>
      <c r="C34" s="7">
        <v>34375344</v>
      </c>
      <c r="D34" s="7">
        <v>34878270</v>
      </c>
      <c r="E34" s="7">
        <v>35896077</v>
      </c>
    </row>
    <row r="35" spans="1:5" ht="15" hidden="1">
      <c r="A35" s="6" t="s">
        <v>98</v>
      </c>
      <c r="B35" s="7">
        <v>23504475</v>
      </c>
      <c r="C35" s="7">
        <v>25781508</v>
      </c>
      <c r="D35" s="7">
        <v>26158703</v>
      </c>
      <c r="E35" s="7">
        <v>26922056</v>
      </c>
    </row>
    <row r="36" spans="1:5" ht="15" hidden="1">
      <c r="A36" s="6" t="s">
        <v>443</v>
      </c>
      <c r="B36" s="7">
        <v>512648044</v>
      </c>
      <c r="C36" s="7">
        <f>639158216-C34-C35</f>
        <v>579001364</v>
      </c>
      <c r="D36" s="7">
        <v>608380768</v>
      </c>
      <c r="E36" s="7">
        <v>601984793</v>
      </c>
    </row>
    <row r="37" spans="1:5" ht="15">
      <c r="A37" s="6"/>
      <c r="B37" s="7"/>
      <c r="C37" s="7"/>
      <c r="D37" s="7"/>
      <c r="E37" s="7"/>
    </row>
    <row r="38" spans="1:5" ht="15">
      <c r="A38" s="58" t="s">
        <v>450</v>
      </c>
      <c r="B38" s="63">
        <f>B24+B27+SUM(B30:B36)</f>
        <v>1919993296</v>
      </c>
      <c r="C38" s="63">
        <f>C24+C27+SUM(C30:C36)</f>
        <v>2096113521</v>
      </c>
      <c r="D38" s="63">
        <f>D24+D27+SUM(D30:D36)</f>
        <v>2067724860</v>
      </c>
      <c r="E38" s="63">
        <f>E24+E27+SUM(E30:E36)</f>
        <v>2005521795</v>
      </c>
    </row>
    <row r="58" spans="1:7" ht="15">
      <c r="A58" s="4"/>
      <c r="B58" s="55" t="s">
        <v>72</v>
      </c>
      <c r="C58" s="55" t="s">
        <v>72</v>
      </c>
      <c r="D58" s="55" t="s">
        <v>72</v>
      </c>
      <c r="E58" s="55" t="s">
        <v>72</v>
      </c>
      <c r="F58" s="55" t="s">
        <v>72</v>
      </c>
      <c r="G58" s="55" t="s">
        <v>73</v>
      </c>
    </row>
    <row r="59" spans="1:7" ht="15">
      <c r="A59" s="54" t="s">
        <v>431</v>
      </c>
      <c r="B59" s="56">
        <v>2006</v>
      </c>
      <c r="C59" s="56">
        <v>2007</v>
      </c>
      <c r="D59" s="56">
        <v>2008</v>
      </c>
      <c r="E59" s="56">
        <v>2009</v>
      </c>
      <c r="F59" s="56">
        <v>2010</v>
      </c>
      <c r="G59" s="57" t="s">
        <v>74</v>
      </c>
    </row>
    <row r="60" spans="1:7" ht="15">
      <c r="A60" s="6" t="s">
        <v>432</v>
      </c>
      <c r="B60" s="7">
        <v>1575713498.9</v>
      </c>
      <c r="C60" s="7">
        <v>1784403601.3999999</v>
      </c>
      <c r="D60" s="7">
        <v>1888523689.97</v>
      </c>
      <c r="E60" s="7">
        <v>1910649570.83</v>
      </c>
      <c r="F60" s="7">
        <v>1871348349.74</v>
      </c>
      <c r="G60" s="7">
        <v>2095878195.12</v>
      </c>
    </row>
    <row r="61" spans="1:7" ht="15">
      <c r="A61" s="6" t="s">
        <v>433</v>
      </c>
      <c r="B61" s="7">
        <v>213434524</v>
      </c>
      <c r="C61" s="7">
        <v>152708531</v>
      </c>
      <c r="D61" s="7">
        <v>145220888</v>
      </c>
      <c r="E61" s="7">
        <v>222000000</v>
      </c>
      <c r="F61" s="7">
        <v>187979167</v>
      </c>
      <c r="G61" s="7">
        <v>249242904</v>
      </c>
    </row>
    <row r="62" spans="1:7" ht="15">
      <c r="A62" s="6" t="s">
        <v>434</v>
      </c>
      <c r="B62" s="7">
        <f>4256463775.36-B61</f>
        <v>4043029251.36</v>
      </c>
      <c r="C62" s="7">
        <f>7908226580.73-C61</f>
        <v>7755518049.73</v>
      </c>
      <c r="D62" s="7">
        <v>6117114167.24</v>
      </c>
      <c r="E62" s="7">
        <v>9717399263.36</v>
      </c>
      <c r="F62" s="7">
        <v>9152371154.71</v>
      </c>
      <c r="G62" s="7">
        <v>14332615676.61</v>
      </c>
    </row>
    <row r="63" spans="1:7" ht="15">
      <c r="A63" s="58" t="s">
        <v>430</v>
      </c>
      <c r="B63" s="59">
        <f aca="true" t="shared" si="2" ref="B63:G63">SUM(B60:B62)</f>
        <v>5832177274.26</v>
      </c>
      <c r="C63" s="59">
        <f t="shared" si="2"/>
        <v>9692630182.13</v>
      </c>
      <c r="D63" s="59">
        <f t="shared" si="2"/>
        <v>8150858745.21</v>
      </c>
      <c r="E63" s="59">
        <f t="shared" si="2"/>
        <v>11850048834.19</v>
      </c>
      <c r="F63" s="59">
        <f t="shared" si="2"/>
        <v>11211698671.449999</v>
      </c>
      <c r="G63" s="59">
        <f t="shared" si="2"/>
        <v>16677736775.73</v>
      </c>
    </row>
    <row r="66" spans="1:7" ht="15">
      <c r="A66" s="4"/>
      <c r="B66" s="55" t="s">
        <v>72</v>
      </c>
      <c r="C66" s="55" t="s">
        <v>72</v>
      </c>
      <c r="D66" s="55" t="s">
        <v>72</v>
      </c>
      <c r="E66" s="55" t="s">
        <v>72</v>
      </c>
      <c r="F66" s="55" t="s">
        <v>72</v>
      </c>
      <c r="G66" s="55" t="s">
        <v>73</v>
      </c>
    </row>
    <row r="67" spans="1:7" ht="15">
      <c r="A67" s="54" t="s">
        <v>435</v>
      </c>
      <c r="B67" s="56">
        <v>2006</v>
      </c>
      <c r="C67" s="56">
        <v>2007</v>
      </c>
      <c r="D67" s="56">
        <v>2008</v>
      </c>
      <c r="E67" s="56">
        <v>2009</v>
      </c>
      <c r="F67" s="56">
        <v>2010</v>
      </c>
      <c r="G67" s="57" t="s">
        <v>74</v>
      </c>
    </row>
    <row r="68" spans="1:7" ht="15">
      <c r="A68" s="6" t="s">
        <v>432</v>
      </c>
      <c r="B68" s="7">
        <v>1444132314.46</v>
      </c>
      <c r="C68" s="7">
        <v>1620794660.31</v>
      </c>
      <c r="D68" s="7">
        <v>1805752204.62</v>
      </c>
      <c r="E68" s="7">
        <v>1811107854.3999999</v>
      </c>
      <c r="F68" s="7">
        <v>1823239308.18</v>
      </c>
      <c r="G68" s="7">
        <v>984319467.03</v>
      </c>
    </row>
    <row r="69" spans="1:7" ht="15">
      <c r="A69" s="6" t="s">
        <v>433</v>
      </c>
      <c r="B69" s="7">
        <v>213434524</v>
      </c>
      <c r="C69" s="7">
        <v>152708531</v>
      </c>
      <c r="D69" s="7">
        <v>145220888</v>
      </c>
      <c r="E69" s="7">
        <v>219946853</v>
      </c>
      <c r="F69" s="7">
        <v>187542467</v>
      </c>
      <c r="G69" s="7">
        <v>62640239</v>
      </c>
    </row>
    <row r="70" spans="1:7" ht="15">
      <c r="A70" s="6" t="s">
        <v>434</v>
      </c>
      <c r="B70" s="7">
        <f>2892541365.25-B69</f>
        <v>2679106841.25</v>
      </c>
      <c r="C70" s="7">
        <f>4938354334.31-C69</f>
        <v>4785645803.31</v>
      </c>
      <c r="D70" s="7">
        <v>3431560535.6</v>
      </c>
      <c r="E70" s="7">
        <v>7676355025.7699995</v>
      </c>
      <c r="F70" s="7">
        <v>6451983738.66</v>
      </c>
      <c r="G70" s="7">
        <v>9437358747.310001</v>
      </c>
    </row>
    <row r="71" spans="1:7" ht="15">
      <c r="A71" s="58" t="s">
        <v>430</v>
      </c>
      <c r="B71" s="59">
        <f aca="true" t="shared" si="3" ref="B71:G71">SUM(B68:B70)</f>
        <v>4336673679.71</v>
      </c>
      <c r="C71" s="59">
        <f t="shared" si="3"/>
        <v>6559148994.620001</v>
      </c>
      <c r="D71" s="59">
        <f t="shared" si="3"/>
        <v>5382533628.219999</v>
      </c>
      <c r="E71" s="59">
        <f t="shared" si="3"/>
        <v>9707409733.17</v>
      </c>
      <c r="F71" s="59">
        <f t="shared" si="3"/>
        <v>8462765513.84</v>
      </c>
      <c r="G71" s="59">
        <f t="shared" si="3"/>
        <v>10484318453.340002</v>
      </c>
    </row>
    <row r="74" spans="1:7" ht="15">
      <c r="A74" s="4"/>
      <c r="B74" s="55" t="s">
        <v>72</v>
      </c>
      <c r="C74" s="55" t="s">
        <v>72</v>
      </c>
      <c r="D74" s="55" t="s">
        <v>72</v>
      </c>
      <c r="E74" s="55" t="s">
        <v>72</v>
      </c>
      <c r="F74" s="55" t="s">
        <v>72</v>
      </c>
      <c r="G74" s="55" t="s">
        <v>73</v>
      </c>
    </row>
    <row r="75" spans="1:7" ht="15">
      <c r="A75" s="54" t="s">
        <v>540</v>
      </c>
      <c r="B75" s="56">
        <v>2006</v>
      </c>
      <c r="C75" s="56">
        <v>2007</v>
      </c>
      <c r="D75" s="56">
        <v>2008</v>
      </c>
      <c r="E75" s="56">
        <v>2009</v>
      </c>
      <c r="F75" s="56">
        <v>2010</v>
      </c>
      <c r="G75" s="57" t="s">
        <v>74</v>
      </c>
    </row>
    <row r="76" spans="1:7" ht="15">
      <c r="A76" s="6" t="s">
        <v>432</v>
      </c>
      <c r="B76" s="60">
        <f aca="true" t="shared" si="4" ref="B76:G76">B68/B60</f>
        <v>0.9164942202171547</v>
      </c>
      <c r="C76" s="60">
        <f t="shared" si="4"/>
        <v>0.9083116953128562</v>
      </c>
      <c r="D76" s="60">
        <f t="shared" si="4"/>
        <v>0.9561713280116094</v>
      </c>
      <c r="E76" s="60">
        <f t="shared" si="4"/>
        <v>0.9479016362028342</v>
      </c>
      <c r="F76" s="60">
        <f t="shared" si="4"/>
        <v>0.9742917765328492</v>
      </c>
      <c r="G76" s="60">
        <f t="shared" si="4"/>
        <v>0.46964535883901526</v>
      </c>
    </row>
    <row r="77" spans="1:7" ht="15">
      <c r="A77" s="6" t="s">
        <v>433</v>
      </c>
      <c r="B77" s="60">
        <f aca="true" t="shared" si="5" ref="B77:G78">B69/B61</f>
        <v>1</v>
      </c>
      <c r="C77" s="60">
        <f t="shared" si="5"/>
        <v>1</v>
      </c>
      <c r="D77" s="60">
        <f t="shared" si="5"/>
        <v>1</v>
      </c>
      <c r="E77" s="60">
        <f t="shared" si="5"/>
        <v>0.9907515900900901</v>
      </c>
      <c r="F77" s="60">
        <f t="shared" si="5"/>
        <v>0.997676870224667</v>
      </c>
      <c r="G77" s="60">
        <f t="shared" si="5"/>
        <v>0.2513220556923057</v>
      </c>
    </row>
    <row r="78" spans="1:7" ht="15">
      <c r="A78" s="6" t="s">
        <v>434</v>
      </c>
      <c r="B78" s="60">
        <f t="shared" si="5"/>
        <v>0.662648394232814</v>
      </c>
      <c r="C78" s="60">
        <f t="shared" si="5"/>
        <v>0.6170633312466609</v>
      </c>
      <c r="D78" s="60">
        <f t="shared" si="5"/>
        <v>0.5609770296551939</v>
      </c>
      <c r="E78" s="60">
        <f t="shared" si="5"/>
        <v>0.789959825435405</v>
      </c>
      <c r="F78" s="60">
        <f t="shared" si="5"/>
        <v>0.7049521516989262</v>
      </c>
      <c r="G78" s="60">
        <f t="shared" si="5"/>
        <v>0.6584533458684185</v>
      </c>
    </row>
    <row r="80" ht="15">
      <c r="B80">
        <f>B60/B63*100</f>
        <v>27.017585796891442</v>
      </c>
    </row>
    <row r="81" ht="15">
      <c r="B81">
        <f>B62/B63*100</f>
        <v>69.32281138304371</v>
      </c>
    </row>
    <row r="88" spans="1:4" ht="15.75">
      <c r="A88" s="269" t="s">
        <v>465</v>
      </c>
      <c r="B88" s="269"/>
      <c r="C88" s="269"/>
      <c r="D88" s="269"/>
    </row>
    <row r="90" spans="1:4" ht="38.25">
      <c r="A90" s="64" t="s">
        <v>67</v>
      </c>
      <c r="B90" s="65" t="s">
        <v>451</v>
      </c>
      <c r="C90" s="65" t="s">
        <v>452</v>
      </c>
      <c r="D90" s="65" t="s">
        <v>453</v>
      </c>
    </row>
    <row r="91" spans="1:4" ht="15">
      <c r="A91" s="6" t="s">
        <v>454</v>
      </c>
      <c r="B91" s="7">
        <v>1686225008</v>
      </c>
      <c r="C91" s="7">
        <v>2363331682</v>
      </c>
      <c r="D91" s="66" t="s">
        <v>455</v>
      </c>
    </row>
    <row r="92" spans="1:4" ht="15">
      <c r="A92" s="6" t="s">
        <v>456</v>
      </c>
      <c r="B92" s="7">
        <v>285334011.74</v>
      </c>
      <c r="C92" s="7">
        <v>8460080522.95</v>
      </c>
      <c r="D92" s="67">
        <f>B94/B100</f>
        <v>0.16691033219660906</v>
      </c>
    </row>
    <row r="93" spans="1:4" ht="15">
      <c r="A93" s="6" t="s">
        <v>457</v>
      </c>
      <c r="B93" s="7">
        <v>100210670</v>
      </c>
      <c r="C93" s="7">
        <v>1671041050.24</v>
      </c>
      <c r="D93" s="66" t="s">
        <v>458</v>
      </c>
    </row>
    <row r="94" spans="1:4" ht="15">
      <c r="A94" s="6" t="s">
        <v>459</v>
      </c>
      <c r="B94" s="7">
        <f>B91+B92-B93</f>
        <v>1871348349.74</v>
      </c>
      <c r="C94" s="7">
        <f>C91+C92-C93</f>
        <v>9152371154.710001</v>
      </c>
      <c r="D94" s="67">
        <f>C94/B100</f>
        <v>0.8163233264568581</v>
      </c>
    </row>
    <row r="95" spans="1:4" ht="15">
      <c r="A95" s="6" t="s">
        <v>460</v>
      </c>
      <c r="B95" s="7">
        <v>1729163497.18</v>
      </c>
      <c r="C95" s="7">
        <v>4131268838.91</v>
      </c>
      <c r="D95" s="7"/>
    </row>
    <row r="96" spans="1:4" ht="15">
      <c r="A96" s="6" t="s">
        <v>461</v>
      </c>
      <c r="B96" s="7">
        <v>48109041.56</v>
      </c>
      <c r="C96" s="7">
        <v>2700387416.05</v>
      </c>
      <c r="D96" s="7"/>
    </row>
    <row r="97" spans="1:4" ht="15">
      <c r="A97" s="49" t="s">
        <v>462</v>
      </c>
      <c r="B97" s="67">
        <f>B95/B94</f>
        <v>0.924020104231393</v>
      </c>
      <c r="C97" s="67">
        <f>C95/C94</f>
        <v>0.4513878173290604</v>
      </c>
      <c r="D97" s="7"/>
    </row>
    <row r="98" spans="1:4" ht="15">
      <c r="A98" s="49" t="s">
        <v>466</v>
      </c>
      <c r="B98" s="273">
        <f>B94+C94</f>
        <v>11023719504.45</v>
      </c>
      <c r="C98" s="274"/>
      <c r="D98" s="270">
        <f>(B95+C95)/B100</f>
        <v>0.5227069071177664</v>
      </c>
    </row>
    <row r="99" spans="1:4" ht="15">
      <c r="A99" s="49" t="s">
        <v>467</v>
      </c>
      <c r="B99" s="273">
        <v>187979167</v>
      </c>
      <c r="C99" s="274"/>
      <c r="D99" s="271"/>
    </row>
    <row r="100" spans="1:4" ht="15">
      <c r="A100" s="6" t="s">
        <v>463</v>
      </c>
      <c r="B100" s="273">
        <f>B98+B99</f>
        <v>11211698671.45</v>
      </c>
      <c r="C100" s="274"/>
      <c r="D100" s="271"/>
    </row>
    <row r="101" spans="1:4" ht="15">
      <c r="A101" s="6" t="s">
        <v>464</v>
      </c>
      <c r="B101" s="273">
        <f>B95+C95+187542467</f>
        <v>6047974803.09</v>
      </c>
      <c r="C101" s="274"/>
      <c r="D101" s="271"/>
    </row>
    <row r="102" spans="1:4" ht="15">
      <c r="A102" s="49" t="s">
        <v>468</v>
      </c>
      <c r="B102" s="67">
        <f>B96/B94</f>
        <v>0.025708223467150914</v>
      </c>
      <c r="C102" s="67">
        <f>C96/C94</f>
        <v>0.29504784830107383</v>
      </c>
      <c r="D102" s="272"/>
    </row>
    <row r="104" spans="2:3" ht="15">
      <c r="B104" s="39">
        <f>(B94-B96)/B94*100</f>
        <v>97.42917765328491</v>
      </c>
      <c r="C104" s="39">
        <f>(C94-C96)/C94*100</f>
        <v>70.49521516989262</v>
      </c>
    </row>
    <row r="118" spans="1:6" ht="15.75">
      <c r="A118" s="269" t="s">
        <v>469</v>
      </c>
      <c r="B118" s="269"/>
      <c r="C118" s="269"/>
      <c r="D118" s="269"/>
      <c r="E118" s="269"/>
      <c r="F118" s="269"/>
    </row>
    <row r="120" spans="1:6" ht="25.5">
      <c r="A120" s="64" t="s">
        <v>67</v>
      </c>
      <c r="B120" s="65" t="s">
        <v>472</v>
      </c>
      <c r="C120" s="65" t="s">
        <v>473</v>
      </c>
      <c r="D120" s="65" t="s">
        <v>474</v>
      </c>
      <c r="E120" s="65" t="s">
        <v>475</v>
      </c>
      <c r="F120" s="65" t="s">
        <v>476</v>
      </c>
    </row>
    <row r="121" spans="1:6" ht="15">
      <c r="A121" s="6" t="s">
        <v>470</v>
      </c>
      <c r="B121" s="7">
        <v>5614645297</v>
      </c>
      <c r="C121" s="7">
        <v>7826588753</v>
      </c>
      <c r="D121" s="68">
        <v>8471627650</v>
      </c>
      <c r="E121" s="68">
        <v>9648111951</v>
      </c>
      <c r="F121" s="68">
        <v>9418955500.08</v>
      </c>
    </row>
    <row r="122" spans="1:6" ht="15">
      <c r="A122" s="6" t="s">
        <v>460</v>
      </c>
      <c r="B122" s="7">
        <v>4336673680</v>
      </c>
      <c r="C122" s="7">
        <v>6559148995</v>
      </c>
      <c r="D122" s="68">
        <v>4474168421</v>
      </c>
      <c r="E122" s="68">
        <v>7233145798</v>
      </c>
      <c r="F122" s="68">
        <v>6047974803.09</v>
      </c>
    </row>
    <row r="123" spans="1:6" ht="15">
      <c r="A123" s="6" t="s">
        <v>471</v>
      </c>
      <c r="B123" s="7">
        <f>B121-B122</f>
        <v>1277971617</v>
      </c>
      <c r="C123" s="7">
        <f>C121-C122</f>
        <v>1267439758</v>
      </c>
      <c r="D123" s="7">
        <f>D121-D122</f>
        <v>3997459229</v>
      </c>
      <c r="E123" s="7">
        <f>E121-E122</f>
        <v>2414966153</v>
      </c>
      <c r="F123" s="7">
        <f>F121-F122</f>
        <v>3370980696.99</v>
      </c>
    </row>
    <row r="130" spans="1:11" ht="15.75">
      <c r="A130" s="269" t="s">
        <v>541</v>
      </c>
      <c r="B130" s="269"/>
      <c r="C130" s="269"/>
      <c r="D130" s="269"/>
      <c r="E130" s="269"/>
      <c r="F130" s="269"/>
      <c r="G130" s="269"/>
      <c r="H130" s="269"/>
      <c r="I130" s="269"/>
      <c r="J130" s="269"/>
      <c r="K130" s="269"/>
    </row>
    <row r="132" spans="1:11" ht="25.5">
      <c r="A132" s="64" t="s">
        <v>67</v>
      </c>
      <c r="B132" s="154" t="s">
        <v>543</v>
      </c>
      <c r="C132" s="154" t="s">
        <v>544</v>
      </c>
      <c r="D132" s="154" t="s">
        <v>545</v>
      </c>
      <c r="E132" s="154" t="s">
        <v>546</v>
      </c>
      <c r="F132" s="154" t="s">
        <v>547</v>
      </c>
      <c r="G132" s="154" t="s">
        <v>548</v>
      </c>
      <c r="H132" s="154" t="s">
        <v>549</v>
      </c>
      <c r="I132" s="154" t="s">
        <v>550</v>
      </c>
      <c r="J132" s="154" t="s">
        <v>551</v>
      </c>
      <c r="K132" s="154" t="s">
        <v>450</v>
      </c>
    </row>
    <row r="133" spans="1:11" ht="15">
      <c r="A133" s="6" t="s">
        <v>552</v>
      </c>
      <c r="B133" s="154"/>
      <c r="C133" s="7">
        <f>B136</f>
        <v>28472198</v>
      </c>
      <c r="D133" s="153">
        <f aca="true" t="shared" si="6" ref="D133:J133">C136</f>
        <v>-33009729</v>
      </c>
      <c r="E133" s="153">
        <f t="shared" si="6"/>
        <v>-26900826</v>
      </c>
      <c r="F133" s="153">
        <f t="shared" si="6"/>
        <v>-27042182</v>
      </c>
      <c r="G133" s="153">
        <f t="shared" si="6"/>
        <v>-32591384</v>
      </c>
      <c r="H133" s="153">
        <f t="shared" si="6"/>
        <v>-63164996</v>
      </c>
      <c r="I133" s="153">
        <f t="shared" si="6"/>
        <v>-77176880</v>
      </c>
      <c r="J133" s="153">
        <f t="shared" si="6"/>
        <v>-64762187</v>
      </c>
      <c r="K133" s="154"/>
    </row>
    <row r="134" spans="1:11" ht="15">
      <c r="A134" s="6" t="s">
        <v>470</v>
      </c>
      <c r="B134" s="7">
        <v>38477654</v>
      </c>
      <c r="C134" s="7">
        <v>747323</v>
      </c>
      <c r="D134" s="68">
        <v>32349378</v>
      </c>
      <c r="E134" s="68">
        <v>27308639</v>
      </c>
      <c r="F134" s="68">
        <v>30483913</v>
      </c>
      <c r="G134" s="68">
        <v>12171335</v>
      </c>
      <c r="H134" s="68">
        <v>26771583</v>
      </c>
      <c r="I134" s="68">
        <v>32760455</v>
      </c>
      <c r="J134" s="68">
        <v>44690873</v>
      </c>
      <c r="K134" s="68">
        <f>SUM(B134:J134)</f>
        <v>245761153</v>
      </c>
    </row>
    <row r="135" spans="1:11" ht="15">
      <c r="A135" s="6" t="s">
        <v>460</v>
      </c>
      <c r="B135" s="7">
        <v>10005456</v>
      </c>
      <c r="C135" s="7">
        <v>62229250</v>
      </c>
      <c r="D135" s="68">
        <v>26240475</v>
      </c>
      <c r="E135" s="68">
        <v>27449995</v>
      </c>
      <c r="F135" s="68">
        <v>36033115</v>
      </c>
      <c r="G135" s="68">
        <v>42744947</v>
      </c>
      <c r="H135" s="68">
        <v>40783467</v>
      </c>
      <c r="I135" s="68">
        <v>20345762</v>
      </c>
      <c r="J135" s="68">
        <v>55407794</v>
      </c>
      <c r="K135" s="68">
        <f>SUM(B135:J135)</f>
        <v>321240261</v>
      </c>
    </row>
    <row r="136" spans="1:11" ht="15">
      <c r="A136" s="6" t="s">
        <v>542</v>
      </c>
      <c r="B136" s="153">
        <f>B134-B135</f>
        <v>28472198</v>
      </c>
      <c r="C136" s="153">
        <f>C133+C134-C135</f>
        <v>-33009729</v>
      </c>
      <c r="D136" s="153">
        <f aca="true" t="shared" si="7" ref="D136:J136">D133+D134-D135</f>
        <v>-26900826</v>
      </c>
      <c r="E136" s="153">
        <f t="shared" si="7"/>
        <v>-27042182</v>
      </c>
      <c r="F136" s="153">
        <f t="shared" si="7"/>
        <v>-32591384</v>
      </c>
      <c r="G136" s="153">
        <f t="shared" si="7"/>
        <v>-63164996</v>
      </c>
      <c r="H136" s="153">
        <f t="shared" si="7"/>
        <v>-77176880</v>
      </c>
      <c r="I136" s="153">
        <f t="shared" si="7"/>
        <v>-64762187</v>
      </c>
      <c r="J136" s="153">
        <f t="shared" si="7"/>
        <v>-75479108</v>
      </c>
      <c r="K136" s="153">
        <f>K134-K135</f>
        <v>-75479108</v>
      </c>
    </row>
  </sheetData>
  <sheetProtection/>
  <mergeCells count="11">
    <mergeCell ref="B99:C99"/>
    <mergeCell ref="A1:G1"/>
    <mergeCell ref="A12:G12"/>
    <mergeCell ref="A22:E22"/>
    <mergeCell ref="A88:D88"/>
    <mergeCell ref="A130:K130"/>
    <mergeCell ref="D98:D102"/>
    <mergeCell ref="A118:F118"/>
    <mergeCell ref="B100:C100"/>
    <mergeCell ref="B101:C101"/>
    <mergeCell ref="B98:C98"/>
  </mergeCells>
  <printOptions/>
  <pageMargins left="0.7" right="0.7" top="0.75" bottom="0.75" header="0.3" footer="0.3"/>
  <pageSetup orientation="portrait" r:id="rId4"/>
  <ignoredErrors>
    <ignoredError sqref="C63:G63 B38:E38 B27:E27" formulaRange="1"/>
  </ignoredErrors>
  <drawing r:id="rId3"/>
  <legacyDrawing r:id="rId2"/>
  <oleObjects>
    <oleObject progId="Word.Document.12" shapeId="68118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1"/>
  <sheetViews>
    <sheetView tabSelected="1" zoomScale="80" zoomScaleNormal="80" zoomScalePageLayoutView="0" workbookViewId="0" topLeftCell="A4">
      <pane xSplit="3" ySplit="4" topLeftCell="D8" activePane="bottomRight" state="frozen"/>
      <selection pane="topLeft" activeCell="A4" sqref="A4"/>
      <selection pane="topRight" activeCell="D4" sqref="D4"/>
      <selection pane="bottomLeft" activeCell="A8" sqref="A8"/>
      <selection pane="bottomRight" activeCell="A1" sqref="A1"/>
    </sheetView>
  </sheetViews>
  <sheetFormatPr defaultColWidth="9.140625" defaultRowHeight="15"/>
  <cols>
    <col min="1" max="1" width="1.7109375" style="0" customWidth="1"/>
    <col min="2" max="2" width="12.28125" style="0" customWidth="1"/>
    <col min="3" max="3" width="46.7109375" style="0" customWidth="1"/>
    <col min="4" max="4" width="46.7109375" style="0" hidden="1" customWidth="1"/>
    <col min="5" max="5" width="22.140625" style="96" hidden="1" customWidth="1"/>
    <col min="6" max="6" width="18.28125" style="97" hidden="1" customWidth="1"/>
    <col min="7" max="7" width="18.8515625" style="78" customWidth="1"/>
    <col min="8" max="8" width="18.57421875" style="78" customWidth="1"/>
    <col min="9" max="9" width="18.28125" style="78" customWidth="1"/>
    <col min="10" max="10" width="18.140625" style="78" customWidth="1"/>
    <col min="11" max="11" width="18.28125" style="78" customWidth="1"/>
    <col min="12" max="13" width="18.00390625" style="78" customWidth="1"/>
    <col min="14" max="14" width="18.421875" style="78" customWidth="1"/>
    <col min="15" max="15" width="18.57421875" style="78" bestFit="1" customWidth="1"/>
    <col min="16" max="16" width="18.57421875" style="78" customWidth="1"/>
    <col min="17" max="17" width="17.140625" style="9" bestFit="1" customWidth="1"/>
    <col min="18" max="18" width="18.00390625" style="0" customWidth="1"/>
    <col min="19" max="19" width="17.7109375" style="10" customWidth="1"/>
    <col min="20" max="27" width="9.140625" style="0" customWidth="1"/>
    <col min="28" max="28" width="30.00390625" style="0" customWidth="1"/>
    <col min="29" max="29" width="10.421875" style="0" customWidth="1"/>
    <col min="30" max="30" width="11.57421875" style="0" customWidth="1"/>
    <col min="31" max="31" width="12.421875" style="0" customWidth="1"/>
    <col min="32" max="32" width="21.7109375" style="0" customWidth="1"/>
    <col min="33" max="33" width="29.140625" style="0" customWidth="1"/>
  </cols>
  <sheetData>
    <row r="1" spans="2:16" ht="18">
      <c r="B1" s="281" t="s">
        <v>76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2:16" ht="16.5" customHeight="1">
      <c r="B2" s="282" t="s">
        <v>166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spans="5:19" ht="1.5" customHeight="1">
      <c r="E3" s="78">
        <v>1.05</v>
      </c>
      <c r="F3" s="79">
        <v>1.05</v>
      </c>
      <c r="G3" s="78">
        <v>1.05</v>
      </c>
      <c r="H3" s="78">
        <v>1.05</v>
      </c>
      <c r="I3" s="78">
        <v>1.05</v>
      </c>
      <c r="J3" s="78">
        <v>1.05</v>
      </c>
      <c r="K3" s="78">
        <v>1.05</v>
      </c>
      <c r="L3" s="78">
        <v>1.05</v>
      </c>
      <c r="M3" s="78">
        <v>1.05</v>
      </c>
      <c r="Q3" s="9">
        <v>1.05</v>
      </c>
      <c r="R3" s="11">
        <v>1.05</v>
      </c>
      <c r="S3" s="10">
        <v>1.05</v>
      </c>
    </row>
    <row r="4" ht="40.5" customHeight="1">
      <c r="B4" s="265" t="s">
        <v>649</v>
      </c>
    </row>
    <row r="5" spans="2:19" ht="15" customHeight="1">
      <c r="B5" s="283" t="s">
        <v>77</v>
      </c>
      <c r="C5" s="278" t="s">
        <v>67</v>
      </c>
      <c r="D5" s="155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R5" s="9"/>
      <c r="S5" s="9"/>
    </row>
    <row r="6" spans="2:19" s="13" customFormat="1" ht="12.75" customHeight="1">
      <c r="B6" s="283"/>
      <c r="C6" s="278"/>
      <c r="D6" s="275" t="s">
        <v>553</v>
      </c>
      <c r="E6" s="275">
        <v>2010</v>
      </c>
      <c r="F6" s="285">
        <v>2011</v>
      </c>
      <c r="G6" s="275">
        <v>2012</v>
      </c>
      <c r="H6" s="275">
        <v>2013</v>
      </c>
      <c r="I6" s="275">
        <v>2014</v>
      </c>
      <c r="J6" s="275">
        <v>2015</v>
      </c>
      <c r="K6" s="275">
        <v>2016</v>
      </c>
      <c r="L6" s="275">
        <v>2017</v>
      </c>
      <c r="M6" s="275">
        <v>2018</v>
      </c>
      <c r="N6" s="275">
        <v>2019</v>
      </c>
      <c r="O6" s="275">
        <v>2020</v>
      </c>
      <c r="P6" s="275">
        <v>2021</v>
      </c>
      <c r="Q6" s="9"/>
      <c r="R6" s="9"/>
      <c r="S6" s="9"/>
    </row>
    <row r="7" spans="2:19" s="13" customFormat="1" ht="43.5" customHeight="1">
      <c r="B7" s="283"/>
      <c r="C7" s="278"/>
      <c r="D7" s="276">
        <v>0.03</v>
      </c>
      <c r="E7" s="276">
        <v>0.03</v>
      </c>
      <c r="F7" s="286">
        <v>0.03</v>
      </c>
      <c r="G7" s="276">
        <v>0.03</v>
      </c>
      <c r="H7" s="276">
        <v>0.03</v>
      </c>
      <c r="I7" s="276">
        <v>0.03</v>
      </c>
      <c r="J7" s="276">
        <v>0.03</v>
      </c>
      <c r="K7" s="276">
        <v>0.03</v>
      </c>
      <c r="L7" s="276">
        <v>0.03</v>
      </c>
      <c r="M7" s="276">
        <v>0.03</v>
      </c>
      <c r="N7" s="276">
        <v>0.03</v>
      </c>
      <c r="O7" s="276">
        <v>0.03</v>
      </c>
      <c r="P7" s="276">
        <v>0.03</v>
      </c>
      <c r="Q7" s="9"/>
      <c r="R7" s="9"/>
      <c r="S7" s="9"/>
    </row>
    <row r="8" spans="2:16" ht="15">
      <c r="B8" s="14">
        <v>1</v>
      </c>
      <c r="C8" s="15" t="s">
        <v>167</v>
      </c>
      <c r="D8" s="80">
        <f>D9+D79+D113</f>
        <v>4270708020</v>
      </c>
      <c r="E8" s="80">
        <f>E9+E79+E113</f>
        <v>9418955500.08</v>
      </c>
      <c r="F8" s="80">
        <f>F9+F79+F113</f>
        <v>5085993494</v>
      </c>
      <c r="G8" s="80">
        <f aca="true" t="shared" si="0" ref="G8:P8">G9+G79+G113</f>
        <v>5585640776</v>
      </c>
      <c r="H8" s="80">
        <f t="shared" si="0"/>
        <v>5864922814.8</v>
      </c>
      <c r="I8" s="80">
        <f t="shared" si="0"/>
        <v>6158168955.539999</v>
      </c>
      <c r="J8" s="80">
        <f t="shared" si="0"/>
        <v>6466077403.317</v>
      </c>
      <c r="K8" s="80">
        <f t="shared" si="0"/>
        <v>6789381273.482851</v>
      </c>
      <c r="L8" s="80">
        <f t="shared" si="0"/>
        <v>7128850337.156993</v>
      </c>
      <c r="M8" s="80">
        <f t="shared" si="0"/>
        <v>7485292854.014842</v>
      </c>
      <c r="N8" s="80">
        <f t="shared" si="0"/>
        <v>7859557496.715586</v>
      </c>
      <c r="O8" s="80">
        <f t="shared" si="0"/>
        <v>8252535371.551365</v>
      </c>
      <c r="P8" s="80">
        <f t="shared" si="0"/>
        <v>8665162140.128935</v>
      </c>
    </row>
    <row r="9" spans="2:16" ht="15">
      <c r="B9" s="14">
        <v>11</v>
      </c>
      <c r="C9" s="15" t="s">
        <v>78</v>
      </c>
      <c r="D9" s="81">
        <f>D10+D26</f>
        <v>2966198301</v>
      </c>
      <c r="E9" s="81">
        <f>E10+E26</f>
        <v>4803597902.76</v>
      </c>
      <c r="F9" s="81">
        <f>F10+F26</f>
        <v>3846457900</v>
      </c>
      <c r="G9" s="81">
        <f aca="true" t="shared" si="1" ref="G9:P9">G10+G26</f>
        <v>4469068462</v>
      </c>
      <c r="H9" s="81">
        <f t="shared" si="1"/>
        <v>4692521885.1</v>
      </c>
      <c r="I9" s="81">
        <f t="shared" si="1"/>
        <v>4927147979.355</v>
      </c>
      <c r="J9" s="81">
        <f t="shared" si="1"/>
        <v>5173505378.32275</v>
      </c>
      <c r="K9" s="81">
        <f t="shared" si="1"/>
        <v>5432180647.238888</v>
      </c>
      <c r="L9" s="81">
        <f t="shared" si="1"/>
        <v>5703789679.600832</v>
      </c>
      <c r="M9" s="81">
        <f t="shared" si="1"/>
        <v>5988979163.5808735</v>
      </c>
      <c r="N9" s="81">
        <f t="shared" si="1"/>
        <v>6288428121.759918</v>
      </c>
      <c r="O9" s="81">
        <f t="shared" si="1"/>
        <v>6602849527.847914</v>
      </c>
      <c r="P9" s="81">
        <f t="shared" si="1"/>
        <v>6932992004.240311</v>
      </c>
    </row>
    <row r="10" spans="2:16" ht="15">
      <c r="B10" s="14">
        <v>1101</v>
      </c>
      <c r="C10" s="16" t="s">
        <v>79</v>
      </c>
      <c r="D10" s="82">
        <f>D11+D15</f>
        <v>1519805000</v>
      </c>
      <c r="E10" s="82">
        <f aca="true" t="shared" si="2" ref="E10:P10">E11+E15</f>
        <v>1861485233.76</v>
      </c>
      <c r="F10" s="83">
        <f t="shared" si="2"/>
        <v>1776305000</v>
      </c>
      <c r="G10" s="82">
        <f t="shared" si="2"/>
        <v>1857305000</v>
      </c>
      <c r="H10" s="82">
        <f t="shared" si="2"/>
        <v>1950170250</v>
      </c>
      <c r="I10" s="82">
        <f t="shared" si="2"/>
        <v>2047678762.5</v>
      </c>
      <c r="J10" s="82">
        <f t="shared" si="2"/>
        <v>2150062700.625</v>
      </c>
      <c r="K10" s="82">
        <f t="shared" si="2"/>
        <v>2257565835.65625</v>
      </c>
      <c r="L10" s="82">
        <f t="shared" si="2"/>
        <v>2370444127.4390626</v>
      </c>
      <c r="M10" s="82">
        <f t="shared" si="2"/>
        <v>2488966333.8110156</v>
      </c>
      <c r="N10" s="82">
        <f t="shared" si="2"/>
        <v>2613414650.5015664</v>
      </c>
      <c r="O10" s="82">
        <f t="shared" si="2"/>
        <v>2744085383.0266447</v>
      </c>
      <c r="P10" s="82">
        <f t="shared" si="2"/>
        <v>2881289652.1779776</v>
      </c>
    </row>
    <row r="11" spans="2:16" ht="15">
      <c r="B11" s="14">
        <v>110101</v>
      </c>
      <c r="C11" s="16" t="s">
        <v>80</v>
      </c>
      <c r="D11" s="84">
        <f>SUM(D12:D14)</f>
        <v>801000000</v>
      </c>
      <c r="E11" s="84">
        <f>SUM(E12:E14)</f>
        <v>965680992</v>
      </c>
      <c r="F11" s="84">
        <f aca="true" t="shared" si="3" ref="F11:P11">SUM(F12:F14)</f>
        <v>1001000000</v>
      </c>
      <c r="G11" s="84">
        <f t="shared" si="3"/>
        <v>1071000000</v>
      </c>
      <c r="H11" s="84">
        <f t="shared" si="3"/>
        <v>1124550000</v>
      </c>
      <c r="I11" s="84">
        <f t="shared" si="3"/>
        <v>1180777500</v>
      </c>
      <c r="J11" s="84">
        <f t="shared" si="3"/>
        <v>1239816375</v>
      </c>
      <c r="K11" s="84">
        <f t="shared" si="3"/>
        <v>1301807193.75</v>
      </c>
      <c r="L11" s="84">
        <f t="shared" si="3"/>
        <v>1366897553.4375</v>
      </c>
      <c r="M11" s="84">
        <f t="shared" si="3"/>
        <v>1435242431.109375</v>
      </c>
      <c r="N11" s="84">
        <f t="shared" si="3"/>
        <v>1507004552.6648438</v>
      </c>
      <c r="O11" s="84">
        <f t="shared" si="3"/>
        <v>1582354780.298086</v>
      </c>
      <c r="P11" s="84">
        <f t="shared" si="3"/>
        <v>1661472519.3129904</v>
      </c>
    </row>
    <row r="12" spans="2:16" ht="15">
      <c r="B12" s="14">
        <v>11010101</v>
      </c>
      <c r="C12" s="17" t="s">
        <v>81</v>
      </c>
      <c r="D12" s="85">
        <v>650000000</v>
      </c>
      <c r="E12" s="85">
        <v>852238092</v>
      </c>
      <c r="F12" s="85">
        <v>800000000</v>
      </c>
      <c r="G12" s="86">
        <f>'[2]INGRESOS'!$C$7</f>
        <v>840000000</v>
      </c>
      <c r="H12" s="86">
        <f>G12*$H$3</f>
        <v>882000000</v>
      </c>
      <c r="I12" s="86">
        <f>H12*$I$3</f>
        <v>926100000</v>
      </c>
      <c r="J12" s="86">
        <f>I12*$J$3</f>
        <v>972405000</v>
      </c>
      <c r="K12" s="86">
        <f>J12*$K$3</f>
        <v>1021025250</v>
      </c>
      <c r="L12" s="86">
        <f>K12*$L$3</f>
        <v>1072076512.5</v>
      </c>
      <c r="M12" s="87">
        <f aca="true" t="shared" si="4" ref="M12:P14">L12*$M$3</f>
        <v>1125680338.125</v>
      </c>
      <c r="N12" s="87">
        <f t="shared" si="4"/>
        <v>1181964355.03125</v>
      </c>
      <c r="O12" s="87">
        <f>N12*$M$3</f>
        <v>1241062572.7828126</v>
      </c>
      <c r="P12" s="87">
        <f t="shared" si="4"/>
        <v>1303115701.4219532</v>
      </c>
    </row>
    <row r="13" spans="2:16" ht="15">
      <c r="B13" s="14">
        <v>11010102</v>
      </c>
      <c r="C13" s="17" t="s">
        <v>173</v>
      </c>
      <c r="D13" s="85">
        <v>150000000</v>
      </c>
      <c r="E13" s="85">
        <v>113442900</v>
      </c>
      <c r="F13" s="85">
        <v>200000000</v>
      </c>
      <c r="G13" s="86">
        <f>'[2]INGRESOS'!$C$8</f>
        <v>230000000</v>
      </c>
      <c r="H13" s="86">
        <f>G13*$H$3</f>
        <v>241500000</v>
      </c>
      <c r="I13" s="86">
        <f>H13*$I$3</f>
        <v>253575000</v>
      </c>
      <c r="J13" s="86">
        <f>I13*$J$3</f>
        <v>266253750</v>
      </c>
      <c r="K13" s="86">
        <f>J13*$K$3</f>
        <v>279566437.5</v>
      </c>
      <c r="L13" s="86">
        <f>K13*$L$3</f>
        <v>293544759.375</v>
      </c>
      <c r="M13" s="87">
        <f t="shared" si="4"/>
        <v>308221997.34375</v>
      </c>
      <c r="N13" s="87">
        <f t="shared" si="4"/>
        <v>323633097.2109375</v>
      </c>
      <c r="O13" s="87">
        <f>N13*$M$3</f>
        <v>339814752.0714844</v>
      </c>
      <c r="P13" s="87">
        <f t="shared" si="4"/>
        <v>356805489.6750586</v>
      </c>
    </row>
    <row r="14" spans="2:16" ht="15">
      <c r="B14" s="14">
        <v>11010103</v>
      </c>
      <c r="C14" s="17" t="s">
        <v>82</v>
      </c>
      <c r="D14" s="85">
        <v>1000000</v>
      </c>
      <c r="E14" s="85"/>
      <c r="F14" s="85">
        <v>1000000</v>
      </c>
      <c r="G14" s="86">
        <f>'[2]INGRESOS'!$C$9</f>
        <v>1000000</v>
      </c>
      <c r="H14" s="86">
        <f>G14*$H$3</f>
        <v>1050000</v>
      </c>
      <c r="I14" s="86">
        <f>H14*$I$3</f>
        <v>1102500</v>
      </c>
      <c r="J14" s="86">
        <f>I14*$J$3</f>
        <v>1157625</v>
      </c>
      <c r="K14" s="86">
        <f>J14*$K$3</f>
        <v>1215506.25</v>
      </c>
      <c r="L14" s="86">
        <f>K14*$L$3</f>
        <v>1276281.5625</v>
      </c>
      <c r="M14" s="87">
        <f t="shared" si="4"/>
        <v>1340095.640625</v>
      </c>
      <c r="N14" s="87">
        <f t="shared" si="4"/>
        <v>1407100.42265625</v>
      </c>
      <c r="O14" s="87">
        <f>N14*$M$3</f>
        <v>1477455.4437890626</v>
      </c>
      <c r="P14" s="87">
        <f t="shared" si="4"/>
        <v>1551328.2159785158</v>
      </c>
    </row>
    <row r="15" spans="2:16" ht="15">
      <c r="B15" s="14">
        <v>110102</v>
      </c>
      <c r="C15" s="16" t="s">
        <v>83</v>
      </c>
      <c r="D15" s="88">
        <f>D16+SUM(D20:D25)</f>
        <v>718805000</v>
      </c>
      <c r="E15" s="88">
        <f>E16+SUM(E20:E25)</f>
        <v>895804241.76</v>
      </c>
      <c r="F15" s="88">
        <f>F16+SUM(F20:F25)</f>
        <v>775305000</v>
      </c>
      <c r="G15" s="88">
        <f aca="true" t="shared" si="5" ref="G15:P15">G16+SUM(G20:G25)</f>
        <v>786305000</v>
      </c>
      <c r="H15" s="88">
        <f t="shared" si="5"/>
        <v>825620250</v>
      </c>
      <c r="I15" s="88">
        <f t="shared" si="5"/>
        <v>866901262.5</v>
      </c>
      <c r="J15" s="88">
        <f t="shared" si="5"/>
        <v>910246325.625</v>
      </c>
      <c r="K15" s="88">
        <f t="shared" si="5"/>
        <v>955758641.90625</v>
      </c>
      <c r="L15" s="88">
        <f t="shared" si="5"/>
        <v>1003546574.0015625</v>
      </c>
      <c r="M15" s="88">
        <f t="shared" si="5"/>
        <v>1053723902.7016406</v>
      </c>
      <c r="N15" s="88">
        <f t="shared" si="5"/>
        <v>1106410097.8367226</v>
      </c>
      <c r="O15" s="88">
        <f t="shared" si="5"/>
        <v>1161730602.7285588</v>
      </c>
      <c r="P15" s="88">
        <f t="shared" si="5"/>
        <v>1219817132.864987</v>
      </c>
    </row>
    <row r="16" spans="2:16" ht="15">
      <c r="B16" s="14">
        <v>11010201</v>
      </c>
      <c r="C16" s="18" t="s">
        <v>84</v>
      </c>
      <c r="D16" s="88">
        <f>SUM(D17:D19)</f>
        <v>180000000</v>
      </c>
      <c r="E16" s="88">
        <f>SUM(E17:E19)</f>
        <v>230278687</v>
      </c>
      <c r="F16" s="88">
        <f aca="true" t="shared" si="6" ref="F16:P16">SUM(F17:F19)</f>
        <v>200000000</v>
      </c>
      <c r="G16" s="88">
        <f t="shared" si="6"/>
        <v>231000000</v>
      </c>
      <c r="H16" s="88">
        <f t="shared" si="6"/>
        <v>242550000</v>
      </c>
      <c r="I16" s="88">
        <f t="shared" si="6"/>
        <v>254677500</v>
      </c>
      <c r="J16" s="88">
        <f t="shared" si="6"/>
        <v>267411375</v>
      </c>
      <c r="K16" s="88">
        <f t="shared" si="6"/>
        <v>280781943.75</v>
      </c>
      <c r="L16" s="88">
        <f t="shared" si="6"/>
        <v>294821040.9375</v>
      </c>
      <c r="M16" s="88">
        <f t="shared" si="6"/>
        <v>309562092.984375</v>
      </c>
      <c r="N16" s="88">
        <f t="shared" si="6"/>
        <v>325040197.63359374</v>
      </c>
      <c r="O16" s="88">
        <f t="shared" si="6"/>
        <v>341292207.5152735</v>
      </c>
      <c r="P16" s="88">
        <f t="shared" si="6"/>
        <v>358356817.8910371</v>
      </c>
    </row>
    <row r="17" spans="2:16" ht="15">
      <c r="B17" s="14">
        <v>1101020101</v>
      </c>
      <c r="C17" s="19" t="s">
        <v>170</v>
      </c>
      <c r="D17" s="85">
        <v>158475000</v>
      </c>
      <c r="E17" s="85">
        <v>205316687</v>
      </c>
      <c r="F17" s="85">
        <v>178475000</v>
      </c>
      <c r="G17" s="86">
        <f>'[2]INGRESOS'!$C$12</f>
        <v>210000000</v>
      </c>
      <c r="H17" s="86">
        <f aca="true" t="shared" si="7" ref="H17:H25">G17*$H$3</f>
        <v>220500000</v>
      </c>
      <c r="I17" s="86">
        <f aca="true" t="shared" si="8" ref="I17:I25">H17*$I$3</f>
        <v>231525000</v>
      </c>
      <c r="J17" s="86">
        <f aca="true" t="shared" si="9" ref="J17:J25">I17*$J$3</f>
        <v>243101250</v>
      </c>
      <c r="K17" s="86">
        <f aca="true" t="shared" si="10" ref="K17:K25">J17*$K$3</f>
        <v>255256312.5</v>
      </c>
      <c r="L17" s="86">
        <f aca="true" t="shared" si="11" ref="L17:L25">K17*$L$3</f>
        <v>268019128.125</v>
      </c>
      <c r="M17" s="87">
        <f aca="true" t="shared" si="12" ref="M17:P25">L17*$M$3</f>
        <v>281420084.53125</v>
      </c>
      <c r="N17" s="87">
        <f t="shared" si="12"/>
        <v>295491088.7578125</v>
      </c>
      <c r="O17" s="87">
        <f t="shared" si="12"/>
        <v>310265643.19570315</v>
      </c>
      <c r="P17" s="87">
        <f t="shared" si="12"/>
        <v>325778925.3554883</v>
      </c>
    </row>
    <row r="18" spans="2:16" ht="15">
      <c r="B18" s="14">
        <v>1101020102</v>
      </c>
      <c r="C18" s="19" t="s">
        <v>171</v>
      </c>
      <c r="D18" s="85">
        <v>11025000</v>
      </c>
      <c r="E18" s="85">
        <v>13205000</v>
      </c>
      <c r="F18" s="85">
        <v>11025000</v>
      </c>
      <c r="G18" s="86">
        <f>'[2]INGRESOS'!$C$13</f>
        <v>10000000</v>
      </c>
      <c r="H18" s="86">
        <f t="shared" si="7"/>
        <v>10500000</v>
      </c>
      <c r="I18" s="86">
        <f t="shared" si="8"/>
        <v>11025000</v>
      </c>
      <c r="J18" s="86">
        <f t="shared" si="9"/>
        <v>11576250</v>
      </c>
      <c r="K18" s="86">
        <f t="shared" si="10"/>
        <v>12155062.5</v>
      </c>
      <c r="L18" s="86">
        <f t="shared" si="11"/>
        <v>12762815.625</v>
      </c>
      <c r="M18" s="87">
        <f t="shared" si="12"/>
        <v>13400956.40625</v>
      </c>
      <c r="N18" s="87">
        <f t="shared" si="12"/>
        <v>14071004.2265625</v>
      </c>
      <c r="O18" s="87">
        <f t="shared" si="12"/>
        <v>14774554.437890626</v>
      </c>
      <c r="P18" s="87">
        <f t="shared" si="12"/>
        <v>15513282.159785159</v>
      </c>
    </row>
    <row r="19" spans="2:16" ht="15">
      <c r="B19" s="14">
        <v>1101020103</v>
      </c>
      <c r="C19" s="19" t="s">
        <v>172</v>
      </c>
      <c r="D19" s="85">
        <v>10500000</v>
      </c>
      <c r="E19" s="85">
        <v>11757000</v>
      </c>
      <c r="F19" s="85">
        <v>10500000</v>
      </c>
      <c r="G19" s="86">
        <f>'[2]INGRESOS'!$C$14</f>
        <v>11000000</v>
      </c>
      <c r="H19" s="86">
        <f t="shared" si="7"/>
        <v>11550000</v>
      </c>
      <c r="I19" s="86">
        <f t="shared" si="8"/>
        <v>12127500</v>
      </c>
      <c r="J19" s="86">
        <f t="shared" si="9"/>
        <v>12733875</v>
      </c>
      <c r="K19" s="86">
        <f t="shared" si="10"/>
        <v>13370568.75</v>
      </c>
      <c r="L19" s="86">
        <f t="shared" si="11"/>
        <v>14039097.1875</v>
      </c>
      <c r="M19" s="87">
        <f t="shared" si="12"/>
        <v>14741052.046875</v>
      </c>
      <c r="N19" s="87">
        <f t="shared" si="12"/>
        <v>15478104.649218751</v>
      </c>
      <c r="O19" s="87">
        <f t="shared" si="12"/>
        <v>16252009.88167969</v>
      </c>
      <c r="P19" s="87">
        <f t="shared" si="12"/>
        <v>17064610.375763673</v>
      </c>
    </row>
    <row r="20" spans="2:16" ht="15">
      <c r="B20" s="14" t="s">
        <v>168</v>
      </c>
      <c r="C20" s="20" t="s">
        <v>169</v>
      </c>
      <c r="D20" s="85">
        <v>200000</v>
      </c>
      <c r="E20" s="85">
        <v>2153636</v>
      </c>
      <c r="F20" s="85">
        <v>200000</v>
      </c>
      <c r="G20" s="86">
        <f>'[2]INGRESOS'!$C$15</f>
        <v>200000</v>
      </c>
      <c r="H20" s="86">
        <f t="shared" si="7"/>
        <v>210000</v>
      </c>
      <c r="I20" s="86">
        <f t="shared" si="8"/>
        <v>220500</v>
      </c>
      <c r="J20" s="86">
        <f t="shared" si="9"/>
        <v>231525</v>
      </c>
      <c r="K20" s="86">
        <f t="shared" si="10"/>
        <v>243101.25</v>
      </c>
      <c r="L20" s="86">
        <f t="shared" si="11"/>
        <v>255256.3125</v>
      </c>
      <c r="M20" s="87">
        <f t="shared" si="12"/>
        <v>268019.128125</v>
      </c>
      <c r="N20" s="87">
        <f t="shared" si="12"/>
        <v>281420.08453125</v>
      </c>
      <c r="O20" s="87">
        <f t="shared" si="12"/>
        <v>295491.0887578125</v>
      </c>
      <c r="P20" s="87">
        <f t="shared" si="12"/>
        <v>310265.64319570316</v>
      </c>
    </row>
    <row r="21" spans="2:16" ht="15">
      <c r="B21" s="14" t="s">
        <v>174</v>
      </c>
      <c r="C21" s="20" t="s">
        <v>175</v>
      </c>
      <c r="D21" s="85">
        <v>15000000</v>
      </c>
      <c r="E21" s="85">
        <v>125927918.76</v>
      </c>
      <c r="F21" s="85">
        <v>25000000</v>
      </c>
      <c r="G21" s="86">
        <f>'[2]INGRESOS'!$C$16</f>
        <v>25000000</v>
      </c>
      <c r="H21" s="86">
        <f t="shared" si="7"/>
        <v>26250000</v>
      </c>
      <c r="I21" s="86">
        <f t="shared" si="8"/>
        <v>27562500</v>
      </c>
      <c r="J21" s="86">
        <f t="shared" si="9"/>
        <v>28940625</v>
      </c>
      <c r="K21" s="86">
        <f t="shared" si="10"/>
        <v>30387656.25</v>
      </c>
      <c r="L21" s="86">
        <f t="shared" si="11"/>
        <v>31907039.0625</v>
      </c>
      <c r="M21" s="87">
        <f t="shared" si="12"/>
        <v>33502391.015625</v>
      </c>
      <c r="N21" s="87">
        <f t="shared" si="12"/>
        <v>35177510.56640625</v>
      </c>
      <c r="O21" s="87">
        <f t="shared" si="12"/>
        <v>36936386.09472656</v>
      </c>
      <c r="P21" s="87">
        <f t="shared" si="12"/>
        <v>38783205.39946289</v>
      </c>
    </row>
    <row r="22" spans="2:16" ht="15">
      <c r="B22" s="14" t="s">
        <v>176</v>
      </c>
      <c r="C22" s="20" t="s">
        <v>177</v>
      </c>
      <c r="D22" s="85">
        <v>105000</v>
      </c>
      <c r="E22" s="85">
        <v>50000</v>
      </c>
      <c r="F22" s="85">
        <v>105000</v>
      </c>
      <c r="G22" s="86">
        <f>'[2]INGRESOS'!$C$17</f>
        <v>105000</v>
      </c>
      <c r="H22" s="86">
        <f t="shared" si="7"/>
        <v>110250</v>
      </c>
      <c r="I22" s="86">
        <f t="shared" si="8"/>
        <v>115762.5</v>
      </c>
      <c r="J22" s="86">
        <f t="shared" si="9"/>
        <v>121550.625</v>
      </c>
      <c r="K22" s="86">
        <f t="shared" si="10"/>
        <v>127628.15625</v>
      </c>
      <c r="L22" s="86">
        <f t="shared" si="11"/>
        <v>134009.5640625</v>
      </c>
      <c r="M22" s="87">
        <f t="shared" si="12"/>
        <v>140710.042265625</v>
      </c>
      <c r="N22" s="87">
        <f t="shared" si="12"/>
        <v>147745.54437890626</v>
      </c>
      <c r="O22" s="87">
        <f t="shared" si="12"/>
        <v>155132.82159785158</v>
      </c>
      <c r="P22" s="87">
        <f t="shared" si="12"/>
        <v>162889.46267774416</v>
      </c>
    </row>
    <row r="23" spans="2:16" ht="15">
      <c r="B23" s="14" t="s">
        <v>178</v>
      </c>
      <c r="C23" s="20" t="s">
        <v>179</v>
      </c>
      <c r="D23" s="85">
        <v>493500000</v>
      </c>
      <c r="E23" s="85">
        <v>469981000</v>
      </c>
      <c r="F23" s="89">
        <v>500000000</v>
      </c>
      <c r="G23" s="86">
        <f>'[2]INGRESOS'!$C$18</f>
        <v>500000000</v>
      </c>
      <c r="H23" s="86">
        <f t="shared" si="7"/>
        <v>525000000</v>
      </c>
      <c r="I23" s="86">
        <f t="shared" si="8"/>
        <v>551250000</v>
      </c>
      <c r="J23" s="86">
        <f t="shared" si="9"/>
        <v>578812500</v>
      </c>
      <c r="K23" s="86">
        <f t="shared" si="10"/>
        <v>607753125</v>
      </c>
      <c r="L23" s="86">
        <f t="shared" si="11"/>
        <v>638140781.25</v>
      </c>
      <c r="M23" s="87">
        <f t="shared" si="12"/>
        <v>670047820.3125</v>
      </c>
      <c r="N23" s="87">
        <f t="shared" si="12"/>
        <v>703550211.328125</v>
      </c>
      <c r="O23" s="87">
        <f t="shared" si="12"/>
        <v>738727721.8945312</v>
      </c>
      <c r="P23" s="87">
        <f t="shared" si="12"/>
        <v>775664107.9892578</v>
      </c>
    </row>
    <row r="24" spans="2:16" ht="15">
      <c r="B24" s="14" t="s">
        <v>180</v>
      </c>
      <c r="C24" s="20" t="s">
        <v>181</v>
      </c>
      <c r="D24" s="85">
        <v>15000000</v>
      </c>
      <c r="E24" s="85">
        <v>37188000</v>
      </c>
      <c r="F24" s="85">
        <v>25000000</v>
      </c>
      <c r="G24" s="86">
        <f>'[2]INGRESOS'!$C$19</f>
        <v>15000000</v>
      </c>
      <c r="H24" s="86">
        <f t="shared" si="7"/>
        <v>15750000</v>
      </c>
      <c r="I24" s="86">
        <f t="shared" si="8"/>
        <v>16537500</v>
      </c>
      <c r="J24" s="86">
        <f t="shared" si="9"/>
        <v>17364375</v>
      </c>
      <c r="K24" s="86">
        <f t="shared" si="10"/>
        <v>18232593.75</v>
      </c>
      <c r="L24" s="86">
        <f t="shared" si="11"/>
        <v>19144223.4375</v>
      </c>
      <c r="M24" s="87">
        <f t="shared" si="12"/>
        <v>20101434.609375</v>
      </c>
      <c r="N24" s="87">
        <f t="shared" si="12"/>
        <v>21106506.33984375</v>
      </c>
      <c r="O24" s="87">
        <f t="shared" si="12"/>
        <v>22161831.65683594</v>
      </c>
      <c r="P24" s="87">
        <f t="shared" si="12"/>
        <v>23269923.23967774</v>
      </c>
    </row>
    <row r="25" spans="2:16" ht="15">
      <c r="B25" s="14" t="s">
        <v>182</v>
      </c>
      <c r="C25" s="20" t="s">
        <v>183</v>
      </c>
      <c r="D25" s="85">
        <v>15000000</v>
      </c>
      <c r="E25" s="85">
        <v>30225000</v>
      </c>
      <c r="F25" s="85">
        <v>25000000</v>
      </c>
      <c r="G25" s="86">
        <f>'[2]INGRESOS'!$C$20</f>
        <v>15000000</v>
      </c>
      <c r="H25" s="86">
        <f t="shared" si="7"/>
        <v>15750000</v>
      </c>
      <c r="I25" s="86">
        <f t="shared" si="8"/>
        <v>16537500</v>
      </c>
      <c r="J25" s="86">
        <f t="shared" si="9"/>
        <v>17364375</v>
      </c>
      <c r="K25" s="86">
        <f t="shared" si="10"/>
        <v>18232593.75</v>
      </c>
      <c r="L25" s="86">
        <f t="shared" si="11"/>
        <v>19144223.4375</v>
      </c>
      <c r="M25" s="87">
        <f t="shared" si="12"/>
        <v>20101434.609375</v>
      </c>
      <c r="N25" s="87">
        <f t="shared" si="12"/>
        <v>21106506.33984375</v>
      </c>
      <c r="O25" s="87">
        <f t="shared" si="12"/>
        <v>22161831.65683594</v>
      </c>
      <c r="P25" s="87">
        <f t="shared" si="12"/>
        <v>23269923.23967774</v>
      </c>
    </row>
    <row r="26" spans="2:16" ht="15">
      <c r="B26" s="14" t="s">
        <v>185</v>
      </c>
      <c r="C26" s="18" t="s">
        <v>87</v>
      </c>
      <c r="D26" s="81">
        <f>D27+D40+D44+D48+D52+D55+D60+D77</f>
        <v>1446393301</v>
      </c>
      <c r="E26" s="81">
        <f>E27+E40+E44+E48+E52+E55+E60+E77</f>
        <v>2942112669</v>
      </c>
      <c r="F26" s="81">
        <f>F27+F40+F44+F48+F52+F55+F60+F77</f>
        <v>2070152900</v>
      </c>
      <c r="G26" s="81">
        <f aca="true" t="shared" si="13" ref="G26:P26">G27+G40+G44+G48+G52+G55+G60+G77</f>
        <v>2611763462</v>
      </c>
      <c r="H26" s="81">
        <f t="shared" si="13"/>
        <v>2742351635.1</v>
      </c>
      <c r="I26" s="81">
        <f t="shared" si="13"/>
        <v>2879469216.855</v>
      </c>
      <c r="J26" s="81">
        <f t="shared" si="13"/>
        <v>3023442677.69775</v>
      </c>
      <c r="K26" s="81">
        <f t="shared" si="13"/>
        <v>3174614811.582638</v>
      </c>
      <c r="L26" s="81">
        <f t="shared" si="13"/>
        <v>3333345552.16177</v>
      </c>
      <c r="M26" s="81">
        <f t="shared" si="13"/>
        <v>3500012829.7698584</v>
      </c>
      <c r="N26" s="81">
        <f t="shared" si="13"/>
        <v>3675013471.2583513</v>
      </c>
      <c r="O26" s="81">
        <f t="shared" si="13"/>
        <v>3858764144.8212686</v>
      </c>
      <c r="P26" s="81">
        <f t="shared" si="13"/>
        <v>4051702352.062333</v>
      </c>
    </row>
    <row r="27" spans="2:16" ht="15">
      <c r="B27" s="14" t="s">
        <v>186</v>
      </c>
      <c r="C27" s="18" t="s">
        <v>184</v>
      </c>
      <c r="D27" s="81">
        <f>SUM(D28:D29)+D30</f>
        <v>33225000</v>
      </c>
      <c r="E27" s="81">
        <f>SUM(E28:E29)+E30</f>
        <v>38738732</v>
      </c>
      <c r="F27" s="81">
        <f aca="true" t="shared" si="14" ref="F27:P27">SUM(F28:F29)+F30</f>
        <v>26175000</v>
      </c>
      <c r="G27" s="81">
        <f t="shared" si="14"/>
        <v>26175000</v>
      </c>
      <c r="H27" s="81">
        <f t="shared" si="14"/>
        <v>27483750</v>
      </c>
      <c r="I27" s="81">
        <f t="shared" si="14"/>
        <v>28857937.5</v>
      </c>
      <c r="J27" s="81">
        <f t="shared" si="14"/>
        <v>30300834.375</v>
      </c>
      <c r="K27" s="81">
        <f t="shared" si="14"/>
        <v>31815876.09375</v>
      </c>
      <c r="L27" s="81">
        <f t="shared" si="14"/>
        <v>33406669.8984375</v>
      </c>
      <c r="M27" s="81">
        <f t="shared" si="14"/>
        <v>35077003.39335938</v>
      </c>
      <c r="N27" s="81">
        <f t="shared" si="14"/>
        <v>36830853.563027345</v>
      </c>
      <c r="O27" s="81">
        <f t="shared" si="14"/>
        <v>38672396.241178714</v>
      </c>
      <c r="P27" s="81">
        <f t="shared" si="14"/>
        <v>40606016.053237654</v>
      </c>
    </row>
    <row r="28" spans="2:16" ht="15">
      <c r="B28" s="14" t="s">
        <v>187</v>
      </c>
      <c r="C28" s="20" t="s">
        <v>88</v>
      </c>
      <c r="D28" s="85">
        <v>5000000</v>
      </c>
      <c r="E28" s="85">
        <v>7289600</v>
      </c>
      <c r="F28" s="85">
        <v>5000000</v>
      </c>
      <c r="G28" s="86">
        <f>'[2]INGRESOS'!$C$23</f>
        <v>5000000</v>
      </c>
      <c r="H28" s="86">
        <f aca="true" t="shared" si="15" ref="H28:H36">G28*$H$3</f>
        <v>5250000</v>
      </c>
      <c r="I28" s="86">
        <f aca="true" t="shared" si="16" ref="I28:I36">H28*$I$3</f>
        <v>5512500</v>
      </c>
      <c r="J28" s="86">
        <f aca="true" t="shared" si="17" ref="J28:J36">I28*$J$3</f>
        <v>5788125</v>
      </c>
      <c r="K28" s="86">
        <f aca="true" t="shared" si="18" ref="K28:K36">J28*$K$3</f>
        <v>6077531.25</v>
      </c>
      <c r="L28" s="86">
        <f aca="true" t="shared" si="19" ref="L28:L36">K28*$L$3</f>
        <v>6381407.8125</v>
      </c>
      <c r="M28" s="87">
        <f aca="true" t="shared" si="20" ref="M28:P29">L28*$M$3</f>
        <v>6700478.203125</v>
      </c>
      <c r="N28" s="87">
        <f t="shared" si="20"/>
        <v>7035502.11328125</v>
      </c>
      <c r="O28" s="87">
        <f t="shared" si="20"/>
        <v>7387277.218945313</v>
      </c>
      <c r="P28" s="87">
        <f t="shared" si="20"/>
        <v>7756641.0798925795</v>
      </c>
    </row>
    <row r="29" spans="2:16" ht="15">
      <c r="B29" s="14" t="s">
        <v>188</v>
      </c>
      <c r="C29" s="20" t="s">
        <v>189</v>
      </c>
      <c r="D29" s="85">
        <v>525000</v>
      </c>
      <c r="E29" s="85"/>
      <c r="F29" s="85">
        <v>525000</v>
      </c>
      <c r="G29" s="86">
        <f>'[2]INGRESOS'!$C$24</f>
        <v>525000</v>
      </c>
      <c r="H29" s="86">
        <f t="shared" si="15"/>
        <v>551250</v>
      </c>
      <c r="I29" s="86">
        <f t="shared" si="16"/>
        <v>578812.5</v>
      </c>
      <c r="J29" s="86">
        <f t="shared" si="17"/>
        <v>607753.125</v>
      </c>
      <c r="K29" s="86">
        <f t="shared" si="18"/>
        <v>638140.78125</v>
      </c>
      <c r="L29" s="86">
        <f t="shared" si="19"/>
        <v>670047.8203125</v>
      </c>
      <c r="M29" s="87">
        <f t="shared" si="20"/>
        <v>703550.211328125</v>
      </c>
      <c r="N29" s="87">
        <f t="shared" si="20"/>
        <v>738727.7218945313</v>
      </c>
      <c r="O29" s="87">
        <f t="shared" si="20"/>
        <v>775664.1079892579</v>
      </c>
      <c r="P29" s="87">
        <f t="shared" si="20"/>
        <v>814447.3133887209</v>
      </c>
    </row>
    <row r="30" spans="2:16" ht="21.75" customHeight="1">
      <c r="B30" s="14" t="s">
        <v>190</v>
      </c>
      <c r="C30" s="22" t="s">
        <v>191</v>
      </c>
      <c r="D30" s="85">
        <v>27700000</v>
      </c>
      <c r="E30" s="85">
        <v>31449132</v>
      </c>
      <c r="F30" s="90">
        <f>SUM(F31:F39)</f>
        <v>20650000</v>
      </c>
      <c r="G30" s="90">
        <f aca="true" t="shared" si="21" ref="G30:P30">SUM(G31:G39)</f>
        <v>20650000</v>
      </c>
      <c r="H30" s="90">
        <f t="shared" si="21"/>
        <v>21682500</v>
      </c>
      <c r="I30" s="90">
        <f t="shared" si="21"/>
        <v>22766625</v>
      </c>
      <c r="J30" s="90">
        <f t="shared" si="21"/>
        <v>23904956.25</v>
      </c>
      <c r="K30" s="90">
        <f t="shared" si="21"/>
        <v>25100204.0625</v>
      </c>
      <c r="L30" s="90">
        <f t="shared" si="21"/>
        <v>26355214.265625</v>
      </c>
      <c r="M30" s="90">
        <f t="shared" si="21"/>
        <v>27672974.97890625</v>
      </c>
      <c r="N30" s="90">
        <f t="shared" si="21"/>
        <v>29056623.727851562</v>
      </c>
      <c r="O30" s="90">
        <f t="shared" si="21"/>
        <v>30509454.914244145</v>
      </c>
      <c r="P30" s="91">
        <f t="shared" si="21"/>
        <v>32034927.659956355</v>
      </c>
    </row>
    <row r="31" spans="2:16" ht="15">
      <c r="B31" s="14" t="s">
        <v>192</v>
      </c>
      <c r="C31" s="20" t="s">
        <v>193</v>
      </c>
      <c r="D31" s="85">
        <v>210000</v>
      </c>
      <c r="E31" s="85">
        <v>451600</v>
      </c>
      <c r="F31" s="85">
        <v>210000</v>
      </c>
      <c r="G31" s="86">
        <f>'[2]INGRESOS'!$C$26</f>
        <v>210000</v>
      </c>
      <c r="H31" s="86">
        <f t="shared" si="15"/>
        <v>220500</v>
      </c>
      <c r="I31" s="86">
        <f t="shared" si="16"/>
        <v>231525</v>
      </c>
      <c r="J31" s="86">
        <f t="shared" si="17"/>
        <v>243101.25</v>
      </c>
      <c r="K31" s="86">
        <f t="shared" si="18"/>
        <v>255256.3125</v>
      </c>
      <c r="L31" s="86">
        <f t="shared" si="19"/>
        <v>268019.128125</v>
      </c>
      <c r="M31" s="87">
        <f aca="true" t="shared" si="22" ref="M31:P37">L31*$M$3</f>
        <v>281420.08453125</v>
      </c>
      <c r="N31" s="87">
        <f t="shared" si="22"/>
        <v>295491.0887578125</v>
      </c>
      <c r="O31" s="87">
        <f t="shared" si="22"/>
        <v>310265.64319570316</v>
      </c>
      <c r="P31" s="87">
        <f t="shared" si="22"/>
        <v>325778.9253554883</v>
      </c>
    </row>
    <row r="32" spans="2:16" ht="15">
      <c r="B32" s="14" t="s">
        <v>194</v>
      </c>
      <c r="C32" s="20" t="s">
        <v>86</v>
      </c>
      <c r="D32" s="85">
        <v>8400000</v>
      </c>
      <c r="E32" s="85">
        <v>6415478</v>
      </c>
      <c r="F32" s="85">
        <v>5000000</v>
      </c>
      <c r="G32" s="86">
        <f>'[2]INGRESOS'!$C$27</f>
        <v>5000000</v>
      </c>
      <c r="H32" s="86">
        <f t="shared" si="15"/>
        <v>5250000</v>
      </c>
      <c r="I32" s="86">
        <f t="shared" si="16"/>
        <v>5512500</v>
      </c>
      <c r="J32" s="86">
        <f t="shared" si="17"/>
        <v>5788125</v>
      </c>
      <c r="K32" s="86">
        <f t="shared" si="18"/>
        <v>6077531.25</v>
      </c>
      <c r="L32" s="86">
        <f t="shared" si="19"/>
        <v>6381407.8125</v>
      </c>
      <c r="M32" s="87">
        <f t="shared" si="22"/>
        <v>6700478.203125</v>
      </c>
      <c r="N32" s="87">
        <f t="shared" si="22"/>
        <v>7035502.11328125</v>
      </c>
      <c r="O32" s="87">
        <f t="shared" si="22"/>
        <v>7387277.218945313</v>
      </c>
      <c r="P32" s="87">
        <f t="shared" si="22"/>
        <v>7756641.0798925795</v>
      </c>
    </row>
    <row r="33" spans="2:16" ht="15">
      <c r="B33" s="14" t="s">
        <v>195</v>
      </c>
      <c r="C33" s="20" t="s">
        <v>196</v>
      </c>
      <c r="D33" s="85">
        <v>3150000</v>
      </c>
      <c r="E33" s="85">
        <v>2417200</v>
      </c>
      <c r="F33" s="85">
        <v>2000000</v>
      </c>
      <c r="G33" s="86">
        <f>'[2]INGRESOS'!$C$28</f>
        <v>2000000</v>
      </c>
      <c r="H33" s="86">
        <f t="shared" si="15"/>
        <v>2100000</v>
      </c>
      <c r="I33" s="86">
        <f t="shared" si="16"/>
        <v>2205000</v>
      </c>
      <c r="J33" s="86">
        <f t="shared" si="17"/>
        <v>2315250</v>
      </c>
      <c r="K33" s="86">
        <f t="shared" si="18"/>
        <v>2431012.5</v>
      </c>
      <c r="L33" s="86">
        <f t="shared" si="19"/>
        <v>2552563.125</v>
      </c>
      <c r="M33" s="87">
        <f t="shared" si="22"/>
        <v>2680191.28125</v>
      </c>
      <c r="N33" s="87">
        <f t="shared" si="22"/>
        <v>2814200.8453125</v>
      </c>
      <c r="O33" s="87">
        <f t="shared" si="22"/>
        <v>2954910.887578125</v>
      </c>
      <c r="P33" s="87">
        <f t="shared" si="22"/>
        <v>3102656.4319570316</v>
      </c>
    </row>
    <row r="34" spans="2:16" ht="15">
      <c r="B34" s="14" t="s">
        <v>197</v>
      </c>
      <c r="C34" s="20" t="s">
        <v>89</v>
      </c>
      <c r="D34" s="85">
        <v>2000000</v>
      </c>
      <c r="E34" s="85">
        <v>1978100</v>
      </c>
      <c r="F34" s="85">
        <v>2000000</v>
      </c>
      <c r="G34" s="86">
        <f>'[2]INGRESOS'!$C$29</f>
        <v>2000000</v>
      </c>
      <c r="H34" s="86">
        <f t="shared" si="15"/>
        <v>2100000</v>
      </c>
      <c r="I34" s="86">
        <f t="shared" si="16"/>
        <v>2205000</v>
      </c>
      <c r="J34" s="86">
        <f t="shared" si="17"/>
        <v>2315250</v>
      </c>
      <c r="K34" s="86">
        <f t="shared" si="18"/>
        <v>2431012.5</v>
      </c>
      <c r="L34" s="86">
        <f t="shared" si="19"/>
        <v>2552563.125</v>
      </c>
      <c r="M34" s="87">
        <f t="shared" si="22"/>
        <v>2680191.28125</v>
      </c>
      <c r="N34" s="87">
        <f t="shared" si="22"/>
        <v>2814200.8453125</v>
      </c>
      <c r="O34" s="87">
        <f t="shared" si="22"/>
        <v>2954910.887578125</v>
      </c>
      <c r="P34" s="87">
        <f t="shared" si="22"/>
        <v>3102656.4319570316</v>
      </c>
    </row>
    <row r="35" spans="2:16" ht="15">
      <c r="B35" s="14" t="s">
        <v>198</v>
      </c>
      <c r="C35" s="20" t="s">
        <v>199</v>
      </c>
      <c r="D35" s="85">
        <v>840000</v>
      </c>
      <c r="E35" s="85">
        <v>9308975</v>
      </c>
      <c r="F35" s="85">
        <v>840000</v>
      </c>
      <c r="G35" s="86">
        <f>'[2]INGRESOS'!$C$30</f>
        <v>840000</v>
      </c>
      <c r="H35" s="86">
        <f t="shared" si="15"/>
        <v>882000</v>
      </c>
      <c r="I35" s="86">
        <f t="shared" si="16"/>
        <v>926100</v>
      </c>
      <c r="J35" s="86">
        <f t="shared" si="17"/>
        <v>972405</v>
      </c>
      <c r="K35" s="86">
        <f t="shared" si="18"/>
        <v>1021025.25</v>
      </c>
      <c r="L35" s="86">
        <f t="shared" si="19"/>
        <v>1072076.5125</v>
      </c>
      <c r="M35" s="87">
        <f t="shared" si="22"/>
        <v>1125680.338125</v>
      </c>
      <c r="N35" s="87">
        <f t="shared" si="22"/>
        <v>1181964.35503125</v>
      </c>
      <c r="O35" s="87">
        <f t="shared" si="22"/>
        <v>1241062.5727828126</v>
      </c>
      <c r="P35" s="87">
        <f t="shared" si="22"/>
        <v>1303115.7014219533</v>
      </c>
    </row>
    <row r="36" spans="2:16" ht="15">
      <c r="B36" s="14" t="s">
        <v>200</v>
      </c>
      <c r="C36" s="20" t="s">
        <v>201</v>
      </c>
      <c r="D36" s="85">
        <v>2000000</v>
      </c>
      <c r="E36" s="85">
        <v>1805500</v>
      </c>
      <c r="F36" s="85">
        <v>2000000</v>
      </c>
      <c r="G36" s="86">
        <f>'[2]INGRESOS'!$C$31</f>
        <v>2000000</v>
      </c>
      <c r="H36" s="86">
        <f t="shared" si="15"/>
        <v>2100000</v>
      </c>
      <c r="I36" s="86">
        <f t="shared" si="16"/>
        <v>2205000</v>
      </c>
      <c r="J36" s="86">
        <f t="shared" si="17"/>
        <v>2315250</v>
      </c>
      <c r="K36" s="86">
        <f t="shared" si="18"/>
        <v>2431012.5</v>
      </c>
      <c r="L36" s="86">
        <f t="shared" si="19"/>
        <v>2552563.125</v>
      </c>
      <c r="M36" s="87">
        <f t="shared" si="22"/>
        <v>2680191.28125</v>
      </c>
      <c r="N36" s="87">
        <f t="shared" si="22"/>
        <v>2814200.8453125</v>
      </c>
      <c r="O36" s="87">
        <f t="shared" si="22"/>
        <v>2954910.887578125</v>
      </c>
      <c r="P36" s="87">
        <f t="shared" si="22"/>
        <v>3102656.4319570316</v>
      </c>
    </row>
    <row r="37" spans="2:16" ht="15">
      <c r="B37" s="14" t="s">
        <v>202</v>
      </c>
      <c r="C37" s="20" t="s">
        <v>203</v>
      </c>
      <c r="D37" s="85">
        <v>500000</v>
      </c>
      <c r="E37" s="85">
        <v>757079</v>
      </c>
      <c r="F37" s="85">
        <v>500000</v>
      </c>
      <c r="G37" s="86">
        <f>'[2]INGRESOS'!$C$32</f>
        <v>500000</v>
      </c>
      <c r="H37" s="86">
        <f>G37*$H$3</f>
        <v>525000</v>
      </c>
      <c r="I37" s="86">
        <f>H37*$I$3</f>
        <v>551250</v>
      </c>
      <c r="J37" s="86">
        <f>I37*$J$3</f>
        <v>578812.5</v>
      </c>
      <c r="K37" s="86">
        <f>J37*$K$3</f>
        <v>607753.125</v>
      </c>
      <c r="L37" s="86">
        <f>K37*$L$3</f>
        <v>638140.78125</v>
      </c>
      <c r="M37" s="87">
        <f t="shared" si="22"/>
        <v>670047.8203125</v>
      </c>
      <c r="N37" s="87">
        <f t="shared" si="22"/>
        <v>703550.211328125</v>
      </c>
      <c r="O37" s="87">
        <f t="shared" si="22"/>
        <v>738727.7218945313</v>
      </c>
      <c r="P37" s="87">
        <f t="shared" si="22"/>
        <v>775664.1079892579</v>
      </c>
    </row>
    <row r="38" spans="2:16" ht="15">
      <c r="B38" s="14" t="s">
        <v>204</v>
      </c>
      <c r="C38" s="20" t="s">
        <v>85</v>
      </c>
      <c r="D38" s="85">
        <v>10500000</v>
      </c>
      <c r="E38" s="85">
        <v>8315200</v>
      </c>
      <c r="F38" s="85">
        <v>8000000</v>
      </c>
      <c r="G38" s="86">
        <f>'[2]INGRESOS'!$C$33</f>
        <v>8000000</v>
      </c>
      <c r="H38" s="86">
        <f aca="true" t="shared" si="23" ref="H38:P39">G38*$G$3</f>
        <v>8400000</v>
      </c>
      <c r="I38" s="86">
        <f t="shared" si="23"/>
        <v>8820000</v>
      </c>
      <c r="J38" s="86">
        <f t="shared" si="23"/>
        <v>9261000</v>
      </c>
      <c r="K38" s="86">
        <f t="shared" si="23"/>
        <v>9724050</v>
      </c>
      <c r="L38" s="86">
        <f t="shared" si="23"/>
        <v>10210252.5</v>
      </c>
      <c r="M38" s="86">
        <f t="shared" si="23"/>
        <v>10720765.125</v>
      </c>
      <c r="N38" s="86">
        <f t="shared" si="23"/>
        <v>11256803.38125</v>
      </c>
      <c r="O38" s="86">
        <f t="shared" si="23"/>
        <v>11819643.5503125</v>
      </c>
      <c r="P38" s="86">
        <f t="shared" si="23"/>
        <v>12410625.727828126</v>
      </c>
    </row>
    <row r="39" spans="2:16" ht="15">
      <c r="B39" s="14" t="s">
        <v>205</v>
      </c>
      <c r="C39" s="20" t="s">
        <v>206</v>
      </c>
      <c r="D39" s="85">
        <v>100000</v>
      </c>
      <c r="E39" s="85"/>
      <c r="F39" s="85">
        <v>100000</v>
      </c>
      <c r="G39" s="86">
        <f>'[2]INGRESOS'!$C$34</f>
        <v>100000</v>
      </c>
      <c r="H39" s="86">
        <f t="shared" si="23"/>
        <v>105000</v>
      </c>
      <c r="I39" s="86">
        <f t="shared" si="23"/>
        <v>110250</v>
      </c>
      <c r="J39" s="86">
        <f t="shared" si="23"/>
        <v>115762.5</v>
      </c>
      <c r="K39" s="86">
        <f t="shared" si="23"/>
        <v>121550.625</v>
      </c>
      <c r="L39" s="86">
        <f t="shared" si="23"/>
        <v>127628.15625</v>
      </c>
      <c r="M39" s="86">
        <f t="shared" si="23"/>
        <v>134009.5640625</v>
      </c>
      <c r="N39" s="86">
        <f t="shared" si="23"/>
        <v>140710.042265625</v>
      </c>
      <c r="O39" s="86">
        <f t="shared" si="23"/>
        <v>147745.54437890626</v>
      </c>
      <c r="P39" s="86">
        <f t="shared" si="23"/>
        <v>155132.82159785158</v>
      </c>
    </row>
    <row r="40" spans="2:16" ht="15">
      <c r="B40" s="14" t="s">
        <v>207</v>
      </c>
      <c r="C40" s="18" t="s">
        <v>208</v>
      </c>
      <c r="D40" s="90">
        <f>SUM(D41:D43)</f>
        <v>100000</v>
      </c>
      <c r="E40" s="90">
        <f aca="true" t="shared" si="24" ref="E40:P40">SUM(E41:E43)</f>
        <v>3679296</v>
      </c>
      <c r="F40" s="90">
        <f t="shared" si="24"/>
        <v>100000</v>
      </c>
      <c r="G40" s="90">
        <f t="shared" si="24"/>
        <v>150000</v>
      </c>
      <c r="H40" s="90">
        <f t="shared" si="24"/>
        <v>157500</v>
      </c>
      <c r="I40" s="90">
        <f t="shared" si="24"/>
        <v>165375</v>
      </c>
      <c r="J40" s="90">
        <f t="shared" si="24"/>
        <v>173643.75</v>
      </c>
      <c r="K40" s="90">
        <f t="shared" si="24"/>
        <v>182325.9375</v>
      </c>
      <c r="L40" s="90">
        <f t="shared" si="24"/>
        <v>191442.234375</v>
      </c>
      <c r="M40" s="90">
        <f t="shared" si="24"/>
        <v>201014.34609374998</v>
      </c>
      <c r="N40" s="90">
        <f t="shared" si="24"/>
        <v>211065.06339843752</v>
      </c>
      <c r="O40" s="90">
        <f t="shared" si="24"/>
        <v>221618.31656835938</v>
      </c>
      <c r="P40" s="91">
        <f t="shared" si="24"/>
        <v>232699.23239677737</v>
      </c>
    </row>
    <row r="41" spans="2:16" ht="15">
      <c r="B41" s="14" t="s">
        <v>209</v>
      </c>
      <c r="C41" s="20" t="s">
        <v>90</v>
      </c>
      <c r="D41" s="85">
        <v>50000</v>
      </c>
      <c r="E41" s="85">
        <v>2647000</v>
      </c>
      <c r="F41" s="85">
        <v>50000</v>
      </c>
      <c r="G41" s="86">
        <f>'[2]INGRESOS'!$C$36</f>
        <v>50000</v>
      </c>
      <c r="H41" s="86">
        <f aca="true" t="shared" si="25" ref="H41:P41">G41*$G$3</f>
        <v>52500</v>
      </c>
      <c r="I41" s="86">
        <f t="shared" si="25"/>
        <v>55125</v>
      </c>
      <c r="J41" s="86">
        <f t="shared" si="25"/>
        <v>57881.25</v>
      </c>
      <c r="K41" s="86">
        <f t="shared" si="25"/>
        <v>60775.3125</v>
      </c>
      <c r="L41" s="86">
        <f t="shared" si="25"/>
        <v>63814.078125</v>
      </c>
      <c r="M41" s="86">
        <f t="shared" si="25"/>
        <v>67004.78203125</v>
      </c>
      <c r="N41" s="86">
        <f t="shared" si="25"/>
        <v>70355.0211328125</v>
      </c>
      <c r="O41" s="86">
        <f t="shared" si="25"/>
        <v>73872.77218945313</v>
      </c>
      <c r="P41" s="86">
        <f t="shared" si="25"/>
        <v>77566.41079892579</v>
      </c>
    </row>
    <row r="42" spans="2:16" ht="15">
      <c r="B42" s="14" t="s">
        <v>210</v>
      </c>
      <c r="C42" s="20" t="s">
        <v>211</v>
      </c>
      <c r="D42" s="85">
        <v>50000</v>
      </c>
      <c r="E42" s="85">
        <v>1032296</v>
      </c>
      <c r="F42" s="85">
        <v>50000</v>
      </c>
      <c r="G42" s="86">
        <f>'[2]INGRESOS'!$C$37</f>
        <v>50000</v>
      </c>
      <c r="H42" s="86">
        <f aca="true" t="shared" si="26" ref="H42:P42">G42*$G$3</f>
        <v>52500</v>
      </c>
      <c r="I42" s="86">
        <f t="shared" si="26"/>
        <v>55125</v>
      </c>
      <c r="J42" s="86">
        <f t="shared" si="26"/>
        <v>57881.25</v>
      </c>
      <c r="K42" s="86">
        <f t="shared" si="26"/>
        <v>60775.3125</v>
      </c>
      <c r="L42" s="86">
        <f t="shared" si="26"/>
        <v>63814.078125</v>
      </c>
      <c r="M42" s="86">
        <f t="shared" si="26"/>
        <v>67004.78203125</v>
      </c>
      <c r="N42" s="86">
        <f t="shared" si="26"/>
        <v>70355.0211328125</v>
      </c>
      <c r="O42" s="86">
        <f t="shared" si="26"/>
        <v>73872.77218945313</v>
      </c>
      <c r="P42" s="86">
        <f t="shared" si="26"/>
        <v>77566.41079892579</v>
      </c>
    </row>
    <row r="43" spans="2:16" ht="15">
      <c r="B43" s="14" t="s">
        <v>647</v>
      </c>
      <c r="C43" s="20" t="s">
        <v>648</v>
      </c>
      <c r="D43" s="85"/>
      <c r="E43" s="85"/>
      <c r="F43" s="85"/>
      <c r="G43" s="86">
        <f>'[2]INGRESOS'!$C$38</f>
        <v>50000</v>
      </c>
      <c r="H43" s="86">
        <f aca="true" t="shared" si="27" ref="H43:P43">G43*$G$3</f>
        <v>52500</v>
      </c>
      <c r="I43" s="86">
        <f t="shared" si="27"/>
        <v>55125</v>
      </c>
      <c r="J43" s="86">
        <f t="shared" si="27"/>
        <v>57881.25</v>
      </c>
      <c r="K43" s="86">
        <f t="shared" si="27"/>
        <v>60775.3125</v>
      </c>
      <c r="L43" s="86">
        <f t="shared" si="27"/>
        <v>63814.078125</v>
      </c>
      <c r="M43" s="86">
        <f t="shared" si="27"/>
        <v>67004.78203125</v>
      </c>
      <c r="N43" s="86">
        <f t="shared" si="27"/>
        <v>70355.0211328125</v>
      </c>
      <c r="O43" s="86">
        <f t="shared" si="27"/>
        <v>73872.77218945313</v>
      </c>
      <c r="P43" s="86">
        <f t="shared" si="27"/>
        <v>77566.41079892579</v>
      </c>
    </row>
    <row r="44" spans="2:16" ht="15">
      <c r="B44" s="14" t="s">
        <v>212</v>
      </c>
      <c r="C44" s="18" t="s">
        <v>91</v>
      </c>
      <c r="D44" s="83">
        <f>SUM(D45:D47)</f>
        <v>59850000</v>
      </c>
      <c r="E44" s="83">
        <f>SUM(E45:E47)</f>
        <v>139719234</v>
      </c>
      <c r="F44" s="83">
        <f>SUM(F45:F47)</f>
        <v>72100000</v>
      </c>
      <c r="G44" s="83">
        <f aca="true" t="shared" si="28" ref="G44:P44">SUM(G45:G47)</f>
        <v>72000000</v>
      </c>
      <c r="H44" s="83">
        <f t="shared" si="28"/>
        <v>75600000</v>
      </c>
      <c r="I44" s="83">
        <f t="shared" si="28"/>
        <v>79380000</v>
      </c>
      <c r="J44" s="83">
        <f t="shared" si="28"/>
        <v>83349000</v>
      </c>
      <c r="K44" s="83">
        <f t="shared" si="28"/>
        <v>87516450</v>
      </c>
      <c r="L44" s="83">
        <f t="shared" si="28"/>
        <v>91892272.5</v>
      </c>
      <c r="M44" s="83">
        <f t="shared" si="28"/>
        <v>96486886.125</v>
      </c>
      <c r="N44" s="83">
        <f t="shared" si="28"/>
        <v>101311230.43125</v>
      </c>
      <c r="O44" s="83">
        <f t="shared" si="28"/>
        <v>106376791.95281251</v>
      </c>
      <c r="P44" s="83">
        <f t="shared" si="28"/>
        <v>111695631.55045314</v>
      </c>
    </row>
    <row r="45" spans="2:16" ht="15">
      <c r="B45" s="14" t="s">
        <v>213</v>
      </c>
      <c r="C45" s="20" t="s">
        <v>214</v>
      </c>
      <c r="D45" s="85">
        <v>57750000</v>
      </c>
      <c r="E45" s="85">
        <v>137939156</v>
      </c>
      <c r="F45" s="85">
        <v>70000000</v>
      </c>
      <c r="G45" s="86">
        <f>'[2]INGRESOS'!$C$40</f>
        <v>70000000</v>
      </c>
      <c r="H45" s="86">
        <f>G45*$H$3</f>
        <v>73500000</v>
      </c>
      <c r="I45" s="86">
        <f>H45*$I$3</f>
        <v>77175000</v>
      </c>
      <c r="J45" s="86">
        <f>I45*$J$3</f>
        <v>81033750</v>
      </c>
      <c r="K45" s="86">
        <f>J45*$K$3</f>
        <v>85085437.5</v>
      </c>
      <c r="L45" s="86">
        <f>K45*$L$3</f>
        <v>89339709.375</v>
      </c>
      <c r="M45" s="87">
        <f aca="true" t="shared" si="29" ref="M45:P47">L45*$M$3</f>
        <v>93806694.84375</v>
      </c>
      <c r="N45" s="87">
        <f t="shared" si="29"/>
        <v>98497029.5859375</v>
      </c>
      <c r="O45" s="87">
        <f t="shared" si="29"/>
        <v>103421881.06523438</v>
      </c>
      <c r="P45" s="87">
        <f t="shared" si="29"/>
        <v>108592975.1184961</v>
      </c>
    </row>
    <row r="46" spans="2:16" ht="15">
      <c r="B46" s="14" t="s">
        <v>215</v>
      </c>
      <c r="C46" s="20" t="s">
        <v>94</v>
      </c>
      <c r="D46" s="85">
        <v>2100000</v>
      </c>
      <c r="E46" s="85">
        <v>1780078</v>
      </c>
      <c r="F46" s="85">
        <v>2100000</v>
      </c>
      <c r="G46" s="86">
        <f>'[2]INGRESOS'!$C$41</f>
        <v>2000000</v>
      </c>
      <c r="H46" s="86">
        <f>G46*$H$3</f>
        <v>2100000</v>
      </c>
      <c r="I46" s="86">
        <f>H46*$I$3</f>
        <v>2205000</v>
      </c>
      <c r="J46" s="86">
        <f>I46*$J$3</f>
        <v>2315250</v>
      </c>
      <c r="K46" s="86">
        <f>J46*$K$3</f>
        <v>2431012.5</v>
      </c>
      <c r="L46" s="86">
        <f>K46*$L$3</f>
        <v>2552563.125</v>
      </c>
      <c r="M46" s="87">
        <f t="shared" si="29"/>
        <v>2680191.28125</v>
      </c>
      <c r="N46" s="87">
        <f t="shared" si="29"/>
        <v>2814200.8453125</v>
      </c>
      <c r="O46" s="87">
        <f t="shared" si="29"/>
        <v>2954910.887578125</v>
      </c>
      <c r="P46" s="87">
        <f t="shared" si="29"/>
        <v>3102656.4319570316</v>
      </c>
    </row>
    <row r="47" spans="2:16" ht="15">
      <c r="B47" s="14" t="s">
        <v>216</v>
      </c>
      <c r="C47" s="20" t="s">
        <v>217</v>
      </c>
      <c r="D47" s="85"/>
      <c r="E47" s="85"/>
      <c r="F47" s="85"/>
      <c r="G47" s="86">
        <f>'[2]INGRESOS'!$C$42</f>
        <v>0</v>
      </c>
      <c r="H47" s="86">
        <f>G47*$H$3</f>
        <v>0</v>
      </c>
      <c r="I47" s="86">
        <f>H47*$I$3</f>
        <v>0</v>
      </c>
      <c r="J47" s="86">
        <f>I47*$J$3</f>
        <v>0</v>
      </c>
      <c r="K47" s="86">
        <f>J47*$K$3</f>
        <v>0</v>
      </c>
      <c r="L47" s="86">
        <f>K47*$L$3</f>
        <v>0</v>
      </c>
      <c r="M47" s="87">
        <f t="shared" si="29"/>
        <v>0</v>
      </c>
      <c r="N47" s="87">
        <f t="shared" si="29"/>
        <v>0</v>
      </c>
      <c r="O47" s="87">
        <f t="shared" si="29"/>
        <v>0</v>
      </c>
      <c r="P47" s="87">
        <f t="shared" si="29"/>
        <v>0</v>
      </c>
    </row>
    <row r="48" spans="2:16" ht="15">
      <c r="B48" s="14" t="s">
        <v>218</v>
      </c>
      <c r="C48" s="18" t="s">
        <v>93</v>
      </c>
      <c r="D48" s="83">
        <f>SUM(D49:D51)</f>
        <v>1000000</v>
      </c>
      <c r="E48" s="83">
        <f>SUM(E49:E51)</f>
        <v>1165307</v>
      </c>
      <c r="F48" s="83">
        <f>SUM(F49:F51)</f>
        <v>1000000</v>
      </c>
      <c r="G48" s="83">
        <f aca="true" t="shared" si="30" ref="G48:P48">SUM(G49:G51)</f>
        <v>1000000</v>
      </c>
      <c r="H48" s="83">
        <f t="shared" si="30"/>
        <v>1050000</v>
      </c>
      <c r="I48" s="83">
        <f t="shared" si="30"/>
        <v>1102500</v>
      </c>
      <c r="J48" s="83">
        <f t="shared" si="30"/>
        <v>1157625</v>
      </c>
      <c r="K48" s="83">
        <f t="shared" si="30"/>
        <v>1215506.25</v>
      </c>
      <c r="L48" s="83">
        <f t="shared" si="30"/>
        <v>1276281.5625</v>
      </c>
      <c r="M48" s="83">
        <f t="shared" si="30"/>
        <v>1340095.640625</v>
      </c>
      <c r="N48" s="83">
        <f t="shared" si="30"/>
        <v>1407100.42265625</v>
      </c>
      <c r="O48" s="83">
        <f t="shared" si="30"/>
        <v>1477455.4437890626</v>
      </c>
      <c r="P48" s="83">
        <f t="shared" si="30"/>
        <v>1551328.2159785158</v>
      </c>
    </row>
    <row r="49" spans="2:16" ht="15">
      <c r="B49" s="14" t="s">
        <v>219</v>
      </c>
      <c r="C49" s="20" t="s">
        <v>214</v>
      </c>
      <c r="D49" s="85"/>
      <c r="E49" s="85"/>
      <c r="F49" s="85"/>
      <c r="G49" s="86">
        <f>'[2]INGRESOS'!$C$44</f>
        <v>0</v>
      </c>
      <c r="H49" s="86">
        <f aca="true" t="shared" si="31" ref="H49:P51">G49*$G$3</f>
        <v>0</v>
      </c>
      <c r="I49" s="86">
        <f t="shared" si="31"/>
        <v>0</v>
      </c>
      <c r="J49" s="86">
        <f t="shared" si="31"/>
        <v>0</v>
      </c>
      <c r="K49" s="86">
        <f t="shared" si="31"/>
        <v>0</v>
      </c>
      <c r="L49" s="86">
        <f t="shared" si="31"/>
        <v>0</v>
      </c>
      <c r="M49" s="86">
        <f t="shared" si="31"/>
        <v>0</v>
      </c>
      <c r="N49" s="86">
        <f t="shared" si="31"/>
        <v>0</v>
      </c>
      <c r="O49" s="86">
        <f t="shared" si="31"/>
        <v>0</v>
      </c>
      <c r="P49" s="86">
        <f t="shared" si="31"/>
        <v>0</v>
      </c>
    </row>
    <row r="50" spans="2:16" ht="15">
      <c r="B50" s="14" t="s">
        <v>220</v>
      </c>
      <c r="C50" s="20" t="s">
        <v>94</v>
      </c>
      <c r="D50" s="85">
        <v>1000000</v>
      </c>
      <c r="E50" s="85">
        <v>1165307</v>
      </c>
      <c r="F50" s="85">
        <v>1000000</v>
      </c>
      <c r="G50" s="86">
        <f>'[2]INGRESOS'!$C$45</f>
        <v>1000000</v>
      </c>
      <c r="H50" s="86">
        <f t="shared" si="31"/>
        <v>1050000</v>
      </c>
      <c r="I50" s="86">
        <f t="shared" si="31"/>
        <v>1102500</v>
      </c>
      <c r="J50" s="86">
        <f t="shared" si="31"/>
        <v>1157625</v>
      </c>
      <c r="K50" s="86">
        <f t="shared" si="31"/>
        <v>1215506.25</v>
      </c>
      <c r="L50" s="86">
        <f t="shared" si="31"/>
        <v>1276281.5625</v>
      </c>
      <c r="M50" s="86">
        <f t="shared" si="31"/>
        <v>1340095.640625</v>
      </c>
      <c r="N50" s="86">
        <f t="shared" si="31"/>
        <v>1407100.42265625</v>
      </c>
      <c r="O50" s="86">
        <f t="shared" si="31"/>
        <v>1477455.4437890626</v>
      </c>
      <c r="P50" s="86">
        <f t="shared" si="31"/>
        <v>1551328.2159785158</v>
      </c>
    </row>
    <row r="51" spans="2:16" ht="15">
      <c r="B51" s="14" t="s">
        <v>221</v>
      </c>
      <c r="C51" s="20" t="s">
        <v>222</v>
      </c>
      <c r="D51" s="85"/>
      <c r="E51" s="85"/>
      <c r="F51" s="85"/>
      <c r="G51" s="86">
        <f>'[2]INGRESOS'!$C$46</f>
        <v>0</v>
      </c>
      <c r="H51" s="86">
        <f t="shared" si="31"/>
        <v>0</v>
      </c>
      <c r="I51" s="86">
        <f t="shared" si="31"/>
        <v>0</v>
      </c>
      <c r="J51" s="86">
        <f t="shared" si="31"/>
        <v>0</v>
      </c>
      <c r="K51" s="86">
        <f t="shared" si="31"/>
        <v>0</v>
      </c>
      <c r="L51" s="86">
        <f t="shared" si="31"/>
        <v>0</v>
      </c>
      <c r="M51" s="86">
        <f t="shared" si="31"/>
        <v>0</v>
      </c>
      <c r="N51" s="86">
        <f t="shared" si="31"/>
        <v>0</v>
      </c>
      <c r="O51" s="86">
        <f t="shared" si="31"/>
        <v>0</v>
      </c>
      <c r="P51" s="86">
        <f t="shared" si="31"/>
        <v>0</v>
      </c>
    </row>
    <row r="52" spans="2:16" ht="15">
      <c r="B52" s="14" t="s">
        <v>223</v>
      </c>
      <c r="C52" s="21" t="s">
        <v>92</v>
      </c>
      <c r="D52" s="82">
        <f>SUM(D53:D54)</f>
        <v>2100000</v>
      </c>
      <c r="E52" s="82">
        <f aca="true" t="shared" si="32" ref="E52:P52">SUM(E53:E54)</f>
        <v>3864008</v>
      </c>
      <c r="F52" s="82">
        <f t="shared" si="32"/>
        <v>2100000</v>
      </c>
      <c r="G52" s="82">
        <f t="shared" si="32"/>
        <v>3100000</v>
      </c>
      <c r="H52" s="82">
        <f t="shared" si="32"/>
        <v>3255000</v>
      </c>
      <c r="I52" s="82">
        <f t="shared" si="32"/>
        <v>3417750</v>
      </c>
      <c r="J52" s="82">
        <f t="shared" si="32"/>
        <v>3588637.5</v>
      </c>
      <c r="K52" s="82">
        <f t="shared" si="32"/>
        <v>3768069.375</v>
      </c>
      <c r="L52" s="82">
        <f t="shared" si="32"/>
        <v>3956472.84375</v>
      </c>
      <c r="M52" s="82">
        <f t="shared" si="32"/>
        <v>4154296.4859375</v>
      </c>
      <c r="N52" s="82">
        <f t="shared" si="32"/>
        <v>4362011.310234375</v>
      </c>
      <c r="O52" s="82">
        <f t="shared" si="32"/>
        <v>4580111.875746095</v>
      </c>
      <c r="P52" s="82">
        <f t="shared" si="32"/>
        <v>4809117.4695334</v>
      </c>
    </row>
    <row r="53" spans="2:16" ht="15">
      <c r="B53" s="14" t="s">
        <v>224</v>
      </c>
      <c r="C53" s="20" t="s">
        <v>226</v>
      </c>
      <c r="D53" s="85">
        <v>2000000</v>
      </c>
      <c r="E53" s="85">
        <v>3367878</v>
      </c>
      <c r="F53" s="85">
        <v>2000000</v>
      </c>
      <c r="G53" s="86">
        <f>'[2]INGRESOS'!$C$48</f>
        <v>3000000</v>
      </c>
      <c r="H53" s="86">
        <f>G53*$H$3</f>
        <v>3150000</v>
      </c>
      <c r="I53" s="86">
        <f>H53*$I$3</f>
        <v>3307500</v>
      </c>
      <c r="J53" s="86">
        <f>I53*$J$3</f>
        <v>3472875</v>
      </c>
      <c r="K53" s="86">
        <f>J53*$K$3</f>
        <v>3646518.75</v>
      </c>
      <c r="L53" s="86">
        <f>K53*$L$3</f>
        <v>3828844.6875</v>
      </c>
      <c r="M53" s="87">
        <f aca="true" t="shared" si="33" ref="M53:P54">L53*$M$3</f>
        <v>4020286.921875</v>
      </c>
      <c r="N53" s="87">
        <f t="shared" si="33"/>
        <v>4221301.267968751</v>
      </c>
      <c r="O53" s="87">
        <f t="shared" si="33"/>
        <v>4432366.331367188</v>
      </c>
      <c r="P53" s="87">
        <f t="shared" si="33"/>
        <v>4653984.647935548</v>
      </c>
    </row>
    <row r="54" spans="2:16" ht="15">
      <c r="B54" s="14" t="s">
        <v>225</v>
      </c>
      <c r="C54" s="20" t="s">
        <v>227</v>
      </c>
      <c r="D54" s="85">
        <v>100000</v>
      </c>
      <c r="E54" s="85">
        <v>496130</v>
      </c>
      <c r="F54" s="85">
        <v>100000</v>
      </c>
      <c r="G54" s="86">
        <f>'[2]INGRESOS'!$C$49</f>
        <v>100000</v>
      </c>
      <c r="H54" s="86">
        <f>G54*$H$3</f>
        <v>105000</v>
      </c>
      <c r="I54" s="86">
        <f>H54*$I$3</f>
        <v>110250</v>
      </c>
      <c r="J54" s="86">
        <f>I54*$J$3</f>
        <v>115762.5</v>
      </c>
      <c r="K54" s="86">
        <f>J54*$K$3</f>
        <v>121550.625</v>
      </c>
      <c r="L54" s="86">
        <f>K54*$L$3</f>
        <v>127628.15625</v>
      </c>
      <c r="M54" s="87">
        <f t="shared" si="33"/>
        <v>134009.5640625</v>
      </c>
      <c r="N54" s="87">
        <f t="shared" si="33"/>
        <v>140710.042265625</v>
      </c>
      <c r="O54" s="87">
        <f t="shared" si="33"/>
        <v>147745.54437890626</v>
      </c>
      <c r="P54" s="87">
        <f t="shared" si="33"/>
        <v>155132.82159785158</v>
      </c>
    </row>
    <row r="55" spans="2:16" ht="15">
      <c r="B55" s="14" t="s">
        <v>228</v>
      </c>
      <c r="C55" s="21" t="s">
        <v>229</v>
      </c>
      <c r="D55" s="81">
        <f>SUM(D56:D59)</f>
        <v>108750000</v>
      </c>
      <c r="E55" s="81">
        <f>SUM(E56:E59)</f>
        <v>137004576</v>
      </c>
      <c r="F55" s="81">
        <f aca="true" t="shared" si="34" ref="F55:P55">SUM(F56:F59)</f>
        <v>122000000</v>
      </c>
      <c r="G55" s="81">
        <f t="shared" si="34"/>
        <v>130000000</v>
      </c>
      <c r="H55" s="81">
        <f t="shared" si="34"/>
        <v>136500000</v>
      </c>
      <c r="I55" s="81">
        <f t="shared" si="34"/>
        <v>143325000</v>
      </c>
      <c r="J55" s="81">
        <f t="shared" si="34"/>
        <v>150491250</v>
      </c>
      <c r="K55" s="81">
        <f t="shared" si="34"/>
        <v>158015812.5</v>
      </c>
      <c r="L55" s="81">
        <f t="shared" si="34"/>
        <v>165916603.125</v>
      </c>
      <c r="M55" s="81">
        <f t="shared" si="34"/>
        <v>174212433.28125</v>
      </c>
      <c r="N55" s="81">
        <f t="shared" si="34"/>
        <v>182923054.9453125</v>
      </c>
      <c r="O55" s="81">
        <f t="shared" si="34"/>
        <v>192069207.69257814</v>
      </c>
      <c r="P55" s="81">
        <f t="shared" si="34"/>
        <v>201672668.07720703</v>
      </c>
    </row>
    <row r="56" spans="2:16" ht="15">
      <c r="B56" s="14" t="s">
        <v>230</v>
      </c>
      <c r="C56" s="77" t="s">
        <v>231</v>
      </c>
      <c r="D56" s="85">
        <v>78750000</v>
      </c>
      <c r="E56" s="85">
        <v>100242321</v>
      </c>
      <c r="F56" s="85">
        <v>92000000</v>
      </c>
      <c r="G56" s="86">
        <f>'[2]INGRESOS'!$C$51</f>
        <v>95000000</v>
      </c>
      <c r="H56" s="86">
        <f aca="true" t="shared" si="35" ref="H56:H62">G56*$H$3</f>
        <v>99750000</v>
      </c>
      <c r="I56" s="86">
        <f aca="true" t="shared" si="36" ref="I56:I62">H56*$I$3</f>
        <v>104737500</v>
      </c>
      <c r="J56" s="86">
        <f aca="true" t="shared" si="37" ref="J56:J62">I56*$J$3</f>
        <v>109974375</v>
      </c>
      <c r="K56" s="86">
        <f aca="true" t="shared" si="38" ref="K56:K62">J56*$K$3</f>
        <v>115473093.75</v>
      </c>
      <c r="L56" s="86">
        <f aca="true" t="shared" si="39" ref="L56:L62">K56*$L$3</f>
        <v>121246748.4375</v>
      </c>
      <c r="M56" s="87">
        <f aca="true" t="shared" si="40" ref="M56:P62">L56*$M$3</f>
        <v>127309085.859375</v>
      </c>
      <c r="N56" s="87">
        <f t="shared" si="40"/>
        <v>133674540.15234375</v>
      </c>
      <c r="O56" s="87">
        <f t="shared" si="40"/>
        <v>140358267.15996096</v>
      </c>
      <c r="P56" s="87">
        <f t="shared" si="40"/>
        <v>147376180.517959</v>
      </c>
    </row>
    <row r="57" spans="2:16" ht="15">
      <c r="B57" s="14" t="s">
        <v>232</v>
      </c>
      <c r="C57" s="77" t="s">
        <v>233</v>
      </c>
      <c r="D57" s="85">
        <v>15000000</v>
      </c>
      <c r="E57" s="85">
        <v>19875055</v>
      </c>
      <c r="F57" s="85">
        <v>15000000</v>
      </c>
      <c r="G57" s="86">
        <f>'[2]INGRESOS'!$C$52</f>
        <v>15000000</v>
      </c>
      <c r="H57" s="86">
        <f t="shared" si="35"/>
        <v>15750000</v>
      </c>
      <c r="I57" s="86">
        <f t="shared" si="36"/>
        <v>16537500</v>
      </c>
      <c r="J57" s="86">
        <f t="shared" si="37"/>
        <v>17364375</v>
      </c>
      <c r="K57" s="86">
        <f t="shared" si="38"/>
        <v>18232593.75</v>
      </c>
      <c r="L57" s="86">
        <f t="shared" si="39"/>
        <v>19144223.4375</v>
      </c>
      <c r="M57" s="87">
        <f t="shared" si="40"/>
        <v>20101434.609375</v>
      </c>
      <c r="N57" s="87">
        <f t="shared" si="40"/>
        <v>21106506.33984375</v>
      </c>
      <c r="O57" s="87">
        <f t="shared" si="40"/>
        <v>22161831.65683594</v>
      </c>
      <c r="P57" s="87">
        <f t="shared" si="40"/>
        <v>23269923.23967774</v>
      </c>
    </row>
    <row r="58" spans="2:16" ht="15">
      <c r="B58" s="14" t="s">
        <v>234</v>
      </c>
      <c r="C58" s="77" t="s">
        <v>95</v>
      </c>
      <c r="D58" s="85">
        <v>15000000</v>
      </c>
      <c r="E58" s="85">
        <v>16887200</v>
      </c>
      <c r="F58" s="85">
        <v>15000000</v>
      </c>
      <c r="G58" s="86">
        <f>'[2]INGRESOS'!$C$53</f>
        <v>20000000</v>
      </c>
      <c r="H58" s="86">
        <f t="shared" si="35"/>
        <v>21000000</v>
      </c>
      <c r="I58" s="86">
        <f t="shared" si="36"/>
        <v>22050000</v>
      </c>
      <c r="J58" s="86">
        <f t="shared" si="37"/>
        <v>23152500</v>
      </c>
      <c r="K58" s="86">
        <f t="shared" si="38"/>
        <v>24310125</v>
      </c>
      <c r="L58" s="86">
        <f t="shared" si="39"/>
        <v>25525631.25</v>
      </c>
      <c r="M58" s="87">
        <f t="shared" si="40"/>
        <v>26801912.8125</v>
      </c>
      <c r="N58" s="87">
        <f t="shared" si="40"/>
        <v>28142008.453125</v>
      </c>
      <c r="O58" s="87">
        <f t="shared" si="40"/>
        <v>29549108.875781253</v>
      </c>
      <c r="P58" s="87">
        <f t="shared" si="40"/>
        <v>31026564.319570318</v>
      </c>
    </row>
    <row r="59" spans="2:16" ht="15">
      <c r="B59" s="14" t="s">
        <v>235</v>
      </c>
      <c r="C59" s="77" t="s">
        <v>236</v>
      </c>
      <c r="D59" s="85"/>
      <c r="E59" s="85"/>
      <c r="F59" s="85"/>
      <c r="G59" s="86">
        <f>'[2]INGRESOS'!$C$54</f>
        <v>0</v>
      </c>
      <c r="H59" s="86">
        <f t="shared" si="35"/>
        <v>0</v>
      </c>
      <c r="I59" s="86">
        <f t="shared" si="36"/>
        <v>0</v>
      </c>
      <c r="J59" s="86">
        <f t="shared" si="37"/>
        <v>0</v>
      </c>
      <c r="K59" s="86">
        <f t="shared" si="38"/>
        <v>0</v>
      </c>
      <c r="L59" s="86">
        <f t="shared" si="39"/>
        <v>0</v>
      </c>
      <c r="M59" s="87">
        <f t="shared" si="40"/>
        <v>0</v>
      </c>
      <c r="N59" s="87">
        <f t="shared" si="40"/>
        <v>0</v>
      </c>
      <c r="O59" s="87">
        <f t="shared" si="40"/>
        <v>0</v>
      </c>
      <c r="P59" s="87">
        <f t="shared" si="40"/>
        <v>0</v>
      </c>
    </row>
    <row r="60" spans="2:16" ht="15">
      <c r="B60" s="14" t="s">
        <v>237</v>
      </c>
      <c r="C60" s="18" t="s">
        <v>238</v>
      </c>
      <c r="D60" s="81">
        <f>D61+D62+D63+D66+D67+D68+D71+D75+D76</f>
        <v>1241368301</v>
      </c>
      <c r="E60" s="81">
        <f>E61+E62+E63+E66+E67+E68+E71+E75+E76</f>
        <v>2617941516</v>
      </c>
      <c r="F60" s="81">
        <f aca="true" t="shared" si="41" ref="F60:P60">F61+F62+F63+F66+F67+F68+F71+F75+F76</f>
        <v>1246677900</v>
      </c>
      <c r="G60" s="81">
        <f t="shared" si="41"/>
        <v>1739338462</v>
      </c>
      <c r="H60" s="81">
        <f t="shared" si="41"/>
        <v>1826305385.1</v>
      </c>
      <c r="I60" s="81">
        <f t="shared" si="41"/>
        <v>1917620654.355</v>
      </c>
      <c r="J60" s="81">
        <f t="shared" si="41"/>
        <v>2013501687.07275</v>
      </c>
      <c r="K60" s="81">
        <f t="shared" si="41"/>
        <v>2114176771.4263878</v>
      </c>
      <c r="L60" s="81">
        <f t="shared" si="41"/>
        <v>2219885609.9977074</v>
      </c>
      <c r="M60" s="81">
        <f t="shared" si="41"/>
        <v>2330879890.497593</v>
      </c>
      <c r="N60" s="81">
        <f t="shared" si="41"/>
        <v>2447423885.0224724</v>
      </c>
      <c r="O60" s="81">
        <f t="shared" si="41"/>
        <v>2569795079.273596</v>
      </c>
      <c r="P60" s="81">
        <f t="shared" si="41"/>
        <v>2698284833.2372766</v>
      </c>
    </row>
    <row r="61" spans="2:16" ht="22.5">
      <c r="B61" s="14" t="s">
        <v>239</v>
      </c>
      <c r="C61" s="19" t="s">
        <v>240</v>
      </c>
      <c r="D61" s="85">
        <v>330179552</v>
      </c>
      <c r="E61" s="85">
        <v>456919622</v>
      </c>
      <c r="F61" s="85">
        <v>362583645</v>
      </c>
      <c r="G61" s="86">
        <f>'[2]INGRESOS'!$C$56+178412180</f>
        <v>537036825</v>
      </c>
      <c r="H61" s="86">
        <f>G61*$H$3</f>
        <v>563888666.25</v>
      </c>
      <c r="I61" s="86">
        <f>H61*$I$3</f>
        <v>592083099.5625</v>
      </c>
      <c r="J61" s="86">
        <f>I61*$J$3</f>
        <v>621687254.540625</v>
      </c>
      <c r="K61" s="86">
        <f>J61*$K$3</f>
        <v>652771617.2676562</v>
      </c>
      <c r="L61" s="86">
        <f>K61*$L$3</f>
        <v>685410198.131039</v>
      </c>
      <c r="M61" s="87">
        <f>L61*$M$3</f>
        <v>719680708.037591</v>
      </c>
      <c r="N61" s="87">
        <f>M61*$M$3</f>
        <v>755664743.4394705</v>
      </c>
      <c r="O61" s="87">
        <f>N61*$M$3</f>
        <v>793447980.6114441</v>
      </c>
      <c r="P61" s="87">
        <f>O61*$M$3</f>
        <v>833120379.6420164</v>
      </c>
    </row>
    <row r="62" spans="2:16" ht="15">
      <c r="B62" s="14" t="s">
        <v>241</v>
      </c>
      <c r="C62" s="19" t="s">
        <v>242</v>
      </c>
      <c r="D62" s="85">
        <v>3150000</v>
      </c>
      <c r="E62" s="85">
        <v>6343690</v>
      </c>
      <c r="F62" s="85">
        <v>4000000</v>
      </c>
      <c r="G62" s="86">
        <f>'[2]INGRESOS'!$C$57</f>
        <v>6000000</v>
      </c>
      <c r="H62" s="86">
        <f t="shared" si="35"/>
        <v>6300000</v>
      </c>
      <c r="I62" s="86">
        <f t="shared" si="36"/>
        <v>6615000</v>
      </c>
      <c r="J62" s="86">
        <f t="shared" si="37"/>
        <v>6945750</v>
      </c>
      <c r="K62" s="86">
        <f t="shared" si="38"/>
        <v>7293037.5</v>
      </c>
      <c r="L62" s="86">
        <f t="shared" si="39"/>
        <v>7657689.375</v>
      </c>
      <c r="M62" s="87">
        <f t="shared" si="40"/>
        <v>8040573.84375</v>
      </c>
      <c r="N62" s="87">
        <f>M62*$M$3</f>
        <v>8442602.535937501</v>
      </c>
      <c r="O62" s="87">
        <f>N62*$M$3</f>
        <v>8864732.662734376</v>
      </c>
      <c r="P62" s="87">
        <f>O62*$M$3</f>
        <v>9307969.295871096</v>
      </c>
    </row>
    <row r="63" spans="2:16" s="25" customFormat="1" ht="12.75">
      <c r="B63" s="23" t="s">
        <v>243</v>
      </c>
      <c r="C63" s="16" t="s">
        <v>244</v>
      </c>
      <c r="D63" s="84">
        <f>SUM(D64:D65)</f>
        <v>152307909</v>
      </c>
      <c r="E63" s="84">
        <f>SUM(E64:E65)</f>
        <v>166576388</v>
      </c>
      <c r="F63" s="84">
        <f aca="true" t="shared" si="42" ref="F63:P63">SUM(F64:F65)</f>
        <v>153922910</v>
      </c>
      <c r="G63" s="84">
        <f t="shared" si="42"/>
        <v>171607158</v>
      </c>
      <c r="H63" s="84">
        <f t="shared" si="42"/>
        <v>180187515.9</v>
      </c>
      <c r="I63" s="84">
        <f t="shared" si="42"/>
        <v>189196891.695</v>
      </c>
      <c r="J63" s="84">
        <f t="shared" si="42"/>
        <v>198656736.27975002</v>
      </c>
      <c r="K63" s="84">
        <f t="shared" si="42"/>
        <v>208589573.09373754</v>
      </c>
      <c r="L63" s="84">
        <f t="shared" si="42"/>
        <v>219019051.7484244</v>
      </c>
      <c r="M63" s="84">
        <f t="shared" si="42"/>
        <v>229970004.33584565</v>
      </c>
      <c r="N63" s="84">
        <f t="shared" si="42"/>
        <v>241468504.55263793</v>
      </c>
      <c r="O63" s="84">
        <f t="shared" si="42"/>
        <v>253541929.78026986</v>
      </c>
      <c r="P63" s="84">
        <f t="shared" si="42"/>
        <v>266219026.26928335</v>
      </c>
    </row>
    <row r="64" spans="2:16" s="25" customFormat="1" ht="12.75">
      <c r="B64" s="23" t="s">
        <v>245</v>
      </c>
      <c r="C64" s="17" t="s">
        <v>246</v>
      </c>
      <c r="D64" s="85">
        <v>104898909</v>
      </c>
      <c r="E64" s="85">
        <v>117552388</v>
      </c>
      <c r="F64" s="85">
        <v>104898910</v>
      </c>
      <c r="G64" s="86">
        <f>'[2]INGRESOS'!$C$59</f>
        <v>114470158</v>
      </c>
      <c r="H64" s="86">
        <f>G64*$H$3</f>
        <v>120193665.9</v>
      </c>
      <c r="I64" s="86">
        <f>H64*$I$3</f>
        <v>126203349.19500001</v>
      </c>
      <c r="J64" s="86">
        <f>I64*$J$3</f>
        <v>132513516.65475002</v>
      </c>
      <c r="K64" s="86">
        <f>J64*$K$3</f>
        <v>139139192.48748752</v>
      </c>
      <c r="L64" s="86">
        <f>K64*$L$3</f>
        <v>146096152.1118619</v>
      </c>
      <c r="M64" s="87">
        <f aca="true" t="shared" si="43" ref="M64:P67">L64*$M$3</f>
        <v>153400959.71745503</v>
      </c>
      <c r="N64" s="87">
        <f t="shared" si="43"/>
        <v>161071007.70332778</v>
      </c>
      <c r="O64" s="87">
        <f t="shared" si="43"/>
        <v>169124558.08849418</v>
      </c>
      <c r="P64" s="87">
        <f t="shared" si="43"/>
        <v>177580785.9929189</v>
      </c>
    </row>
    <row r="65" spans="2:16" s="25" customFormat="1" ht="12.75">
      <c r="B65" s="23" t="s">
        <v>247</v>
      </c>
      <c r="C65" s="17" t="s">
        <v>248</v>
      </c>
      <c r="D65" s="85">
        <v>47409000</v>
      </c>
      <c r="E65" s="85">
        <v>49024000</v>
      </c>
      <c r="F65" s="85">
        <v>49024000</v>
      </c>
      <c r="G65" s="86">
        <f>'[2]INGRESOS'!$C$60</f>
        <v>57137000</v>
      </c>
      <c r="H65" s="86">
        <f>G65*$H$3</f>
        <v>59993850</v>
      </c>
      <c r="I65" s="86">
        <f>H65*$I$3</f>
        <v>62993542.5</v>
      </c>
      <c r="J65" s="86">
        <f>I65*$J$3</f>
        <v>66143219.625</v>
      </c>
      <c r="K65" s="86">
        <f>J65*$K$3</f>
        <v>69450380.60625</v>
      </c>
      <c r="L65" s="86">
        <f>K65*$L$3</f>
        <v>72922899.63656251</v>
      </c>
      <c r="M65" s="87">
        <f t="shared" si="43"/>
        <v>76569044.61839063</v>
      </c>
      <c r="N65" s="87">
        <f t="shared" si="43"/>
        <v>80397496.84931017</v>
      </c>
      <c r="O65" s="87">
        <f t="shared" si="43"/>
        <v>84417371.69177568</v>
      </c>
      <c r="P65" s="87">
        <f t="shared" si="43"/>
        <v>88638240.27636446</v>
      </c>
    </row>
    <row r="66" spans="2:16" s="25" customFormat="1" ht="12.75">
      <c r="B66" s="23" t="s">
        <v>249</v>
      </c>
      <c r="C66" s="17" t="s">
        <v>250</v>
      </c>
      <c r="D66" s="85">
        <v>15549241</v>
      </c>
      <c r="E66" s="85">
        <v>18024283</v>
      </c>
      <c r="F66" s="85">
        <v>16513172</v>
      </c>
      <c r="G66" s="86">
        <f>'[2]INGRESOS'!$C$61</f>
        <v>15635382</v>
      </c>
      <c r="H66" s="86">
        <f>G66*$H$3</f>
        <v>16417151.100000001</v>
      </c>
      <c r="I66" s="86">
        <f>H66*$I$3</f>
        <v>17238008.655</v>
      </c>
      <c r="J66" s="86">
        <f>I66*$J$3</f>
        <v>18099909.087750003</v>
      </c>
      <c r="K66" s="86">
        <f>J66*$K$3</f>
        <v>19004904.542137504</v>
      </c>
      <c r="L66" s="86">
        <f>K66*$L$3</f>
        <v>19955149.76924438</v>
      </c>
      <c r="M66" s="87">
        <f t="shared" si="43"/>
        <v>20952907.2577066</v>
      </c>
      <c r="N66" s="87">
        <f t="shared" si="43"/>
        <v>22000552.62059193</v>
      </c>
      <c r="O66" s="87">
        <f t="shared" si="43"/>
        <v>23100580.25162153</v>
      </c>
      <c r="P66" s="87">
        <f t="shared" si="43"/>
        <v>24255609.264202606</v>
      </c>
    </row>
    <row r="67" spans="2:16" s="25" customFormat="1" ht="12.75">
      <c r="B67" s="23" t="s">
        <v>251</v>
      </c>
      <c r="C67" s="17" t="s">
        <v>252</v>
      </c>
      <c r="D67" s="85">
        <v>214729019</v>
      </c>
      <c r="E67" s="85">
        <v>271635977</v>
      </c>
      <c r="F67" s="85">
        <v>245276864</v>
      </c>
      <c r="G67" s="86">
        <f>'[2]INGRESOS'!$C$62+21196762</f>
        <v>248585387</v>
      </c>
      <c r="H67" s="86">
        <f>G67*$H$3</f>
        <v>261014656.35000002</v>
      </c>
      <c r="I67" s="86">
        <f>H67*$I$3</f>
        <v>274065389.1675</v>
      </c>
      <c r="J67" s="86">
        <f>I67*$J$3</f>
        <v>287768658.62587506</v>
      </c>
      <c r="K67" s="86">
        <f>J67*$K$3</f>
        <v>302157091.55716884</v>
      </c>
      <c r="L67" s="86">
        <f>K67*$L$3</f>
        <v>317264946.1350273</v>
      </c>
      <c r="M67" s="87">
        <f t="shared" si="43"/>
        <v>333128193.44177866</v>
      </c>
      <c r="N67" s="87">
        <f t="shared" si="43"/>
        <v>349784603.1138676</v>
      </c>
      <c r="O67" s="87">
        <f t="shared" si="43"/>
        <v>367273833.269561</v>
      </c>
      <c r="P67" s="87">
        <f t="shared" si="43"/>
        <v>385637524.93303907</v>
      </c>
    </row>
    <row r="68" spans="1:16" ht="15">
      <c r="A68" s="10"/>
      <c r="B68" s="23" t="s">
        <v>253</v>
      </c>
      <c r="C68" s="16" t="s">
        <v>254</v>
      </c>
      <c r="D68" s="84">
        <f>SUM(D69:D70)</f>
        <v>0</v>
      </c>
      <c r="E68" s="84">
        <f>SUM(E69:E70)</f>
        <v>0</v>
      </c>
      <c r="F68" s="84">
        <f aca="true" t="shared" si="44" ref="F68:P68">SUM(F69:F70)</f>
        <v>0</v>
      </c>
      <c r="G68" s="84">
        <f t="shared" si="44"/>
        <v>0</v>
      </c>
      <c r="H68" s="84">
        <f t="shared" si="44"/>
        <v>0</v>
      </c>
      <c r="I68" s="84">
        <f t="shared" si="44"/>
        <v>0</v>
      </c>
      <c r="J68" s="84">
        <f t="shared" si="44"/>
        <v>0</v>
      </c>
      <c r="K68" s="84">
        <f t="shared" si="44"/>
        <v>0</v>
      </c>
      <c r="L68" s="84">
        <f t="shared" si="44"/>
        <v>0</v>
      </c>
      <c r="M68" s="84">
        <f t="shared" si="44"/>
        <v>0</v>
      </c>
      <c r="N68" s="84">
        <f t="shared" si="44"/>
        <v>0</v>
      </c>
      <c r="O68" s="84">
        <f t="shared" si="44"/>
        <v>0</v>
      </c>
      <c r="P68" s="84">
        <f t="shared" si="44"/>
        <v>0</v>
      </c>
    </row>
    <row r="69" spans="1:16" ht="15">
      <c r="A69" s="10"/>
      <c r="B69" s="23" t="s">
        <v>255</v>
      </c>
      <c r="C69" s="17" t="s">
        <v>256</v>
      </c>
      <c r="D69" s="92"/>
      <c r="E69" s="92"/>
      <c r="F69" s="92"/>
      <c r="G69" s="86">
        <f>'[1]INGRESOS'!$C$63</f>
        <v>0</v>
      </c>
      <c r="H69" s="86">
        <f aca="true" t="shared" si="45" ref="H69:P69">G69*$G$3</f>
        <v>0</v>
      </c>
      <c r="I69" s="86">
        <f t="shared" si="45"/>
        <v>0</v>
      </c>
      <c r="J69" s="86">
        <f t="shared" si="45"/>
        <v>0</v>
      </c>
      <c r="K69" s="86">
        <f t="shared" si="45"/>
        <v>0</v>
      </c>
      <c r="L69" s="86">
        <f t="shared" si="45"/>
        <v>0</v>
      </c>
      <c r="M69" s="86">
        <f t="shared" si="45"/>
        <v>0</v>
      </c>
      <c r="N69" s="86">
        <f t="shared" si="45"/>
        <v>0</v>
      </c>
      <c r="O69" s="86">
        <f t="shared" si="45"/>
        <v>0</v>
      </c>
      <c r="P69" s="86">
        <f t="shared" si="45"/>
        <v>0</v>
      </c>
    </row>
    <row r="70" spans="1:16" ht="15">
      <c r="A70" s="10"/>
      <c r="B70" s="23" t="s">
        <v>257</v>
      </c>
      <c r="C70" s="17" t="s">
        <v>258</v>
      </c>
      <c r="D70" s="85"/>
      <c r="E70" s="85"/>
      <c r="F70" s="85"/>
      <c r="G70" s="86">
        <f>'[1]INGRESOS'!$C$64</f>
        <v>0</v>
      </c>
      <c r="H70" s="86">
        <f aca="true" t="shared" si="46" ref="H70:P70">G70*$G$3</f>
        <v>0</v>
      </c>
      <c r="I70" s="86">
        <f t="shared" si="46"/>
        <v>0</v>
      </c>
      <c r="J70" s="86">
        <f t="shared" si="46"/>
        <v>0</v>
      </c>
      <c r="K70" s="86">
        <f t="shared" si="46"/>
        <v>0</v>
      </c>
      <c r="L70" s="86">
        <f t="shared" si="46"/>
        <v>0</v>
      </c>
      <c r="M70" s="86">
        <f t="shared" si="46"/>
        <v>0</v>
      </c>
      <c r="N70" s="86">
        <f t="shared" si="46"/>
        <v>0</v>
      </c>
      <c r="O70" s="86">
        <f t="shared" si="46"/>
        <v>0</v>
      </c>
      <c r="P70" s="86">
        <f t="shared" si="46"/>
        <v>0</v>
      </c>
    </row>
    <row r="71" spans="2:16" ht="15">
      <c r="B71" s="23" t="s">
        <v>259</v>
      </c>
      <c r="C71" s="16" t="s">
        <v>260</v>
      </c>
      <c r="D71" s="90">
        <f>SUM(D72:D74)</f>
        <v>472952580</v>
      </c>
      <c r="E71" s="90">
        <f>SUM(E72:E74)</f>
        <v>669417741</v>
      </c>
      <c r="F71" s="90">
        <f aca="true" t="shared" si="47" ref="F71:P71">SUM(F72:F74)</f>
        <v>414381309</v>
      </c>
      <c r="G71" s="90">
        <f t="shared" si="47"/>
        <v>710473710</v>
      </c>
      <c r="H71" s="90">
        <f t="shared" si="47"/>
        <v>745997395.5</v>
      </c>
      <c r="I71" s="90">
        <f t="shared" si="47"/>
        <v>783297265.2750001</v>
      </c>
      <c r="J71" s="90">
        <f t="shared" si="47"/>
        <v>822462128.53875</v>
      </c>
      <c r="K71" s="90">
        <f t="shared" si="47"/>
        <v>863585234.9656876</v>
      </c>
      <c r="L71" s="90">
        <f t="shared" si="47"/>
        <v>906764496.7139721</v>
      </c>
      <c r="M71" s="90">
        <f t="shared" si="47"/>
        <v>952102721.5496707</v>
      </c>
      <c r="N71" s="90">
        <f t="shared" si="47"/>
        <v>999707857.6271544</v>
      </c>
      <c r="O71" s="90">
        <f t="shared" si="47"/>
        <v>1049693250.508512</v>
      </c>
      <c r="P71" s="90">
        <f t="shared" si="47"/>
        <v>1102177913.0339377</v>
      </c>
    </row>
    <row r="72" spans="2:16" s="25" customFormat="1" ht="12.75">
      <c r="B72" s="23" t="s">
        <v>261</v>
      </c>
      <c r="C72" s="17" t="s">
        <v>97</v>
      </c>
      <c r="D72" s="85">
        <v>26399417</v>
      </c>
      <c r="E72" s="85">
        <v>34878270</v>
      </c>
      <c r="F72" s="85">
        <v>25898832</v>
      </c>
      <c r="G72" s="86">
        <f>'[2]INGRESOS'!$C$67+7235303</f>
        <v>28659262</v>
      </c>
      <c r="H72" s="86">
        <f>G72*$H$3</f>
        <v>30092225.1</v>
      </c>
      <c r="I72" s="86">
        <f>H72*$I$3</f>
        <v>31596836.355000004</v>
      </c>
      <c r="J72" s="86">
        <f>I72*$J$3</f>
        <v>33176678.172750007</v>
      </c>
      <c r="K72" s="86">
        <f>J72*$K$3</f>
        <v>34835512.08138751</v>
      </c>
      <c r="L72" s="86">
        <f>K72*$L$3</f>
        <v>36577287.68545689</v>
      </c>
      <c r="M72" s="87">
        <f aca="true" t="shared" si="48" ref="M72:P73">L72*$M$3</f>
        <v>38406152.06972973</v>
      </c>
      <c r="N72" s="87">
        <f t="shared" si="48"/>
        <v>40326459.673216216</v>
      </c>
      <c r="O72" s="87">
        <f>N72*$M$3</f>
        <v>42342782.656877026</v>
      </c>
      <c r="P72" s="87">
        <f t="shared" si="48"/>
        <v>44459921.78972088</v>
      </c>
    </row>
    <row r="73" spans="2:16" s="25" customFormat="1" ht="12.75">
      <c r="B73" s="23" t="s">
        <v>262</v>
      </c>
      <c r="C73" s="17" t="s">
        <v>98</v>
      </c>
      <c r="D73" s="85">
        <v>19799562</v>
      </c>
      <c r="E73" s="85">
        <v>26158703</v>
      </c>
      <c r="F73" s="85">
        <v>17265888</v>
      </c>
      <c r="G73" s="86">
        <f>'[2]INGRESOS'!$C$68+5426477</f>
        <v>21494446</v>
      </c>
      <c r="H73" s="86">
        <f>G73*$H$3</f>
        <v>22569168.3</v>
      </c>
      <c r="I73" s="86">
        <f>H73*$I$3</f>
        <v>23697626.715000004</v>
      </c>
      <c r="J73" s="86">
        <f>I73*$J$3</f>
        <v>24882508.050750006</v>
      </c>
      <c r="K73" s="86">
        <f>J73*$K$3</f>
        <v>26126633.45328751</v>
      </c>
      <c r="L73" s="86">
        <f>K73*$L$3</f>
        <v>27432965.125951886</v>
      </c>
      <c r="M73" s="87">
        <f t="shared" si="48"/>
        <v>28804613.382249482</v>
      </c>
      <c r="N73" s="87">
        <f t="shared" si="48"/>
        <v>30244844.051361956</v>
      </c>
      <c r="O73" s="87">
        <f>N73*$M$3</f>
        <v>31757086.253930055</v>
      </c>
      <c r="P73" s="87">
        <f t="shared" si="48"/>
        <v>33344940.56662656</v>
      </c>
    </row>
    <row r="74" spans="2:16" ht="15">
      <c r="B74" s="23" t="s">
        <v>263</v>
      </c>
      <c r="C74" s="17" t="s">
        <v>264</v>
      </c>
      <c r="D74" s="87">
        <v>426753601</v>
      </c>
      <c r="E74" s="87">
        <v>608380768</v>
      </c>
      <c r="F74" s="93">
        <v>371216589</v>
      </c>
      <c r="G74" s="86">
        <f>'[2]INGRESOS'!$C$69+204144610</f>
        <v>660320002</v>
      </c>
      <c r="H74" s="86">
        <f>G74*$H$3</f>
        <v>693336002.1</v>
      </c>
      <c r="I74" s="86">
        <f>H74*$I$3</f>
        <v>728002802.205</v>
      </c>
      <c r="J74" s="86">
        <f>I74*$J$3</f>
        <v>764402942.31525</v>
      </c>
      <c r="K74" s="86">
        <f>J74*$K$3</f>
        <v>802623089.4310126</v>
      </c>
      <c r="L74" s="86">
        <f>K74*$L$3</f>
        <v>842754243.9025633</v>
      </c>
      <c r="M74" s="87">
        <f>L74*$M$3</f>
        <v>884891956.0976915</v>
      </c>
      <c r="N74" s="87">
        <f>M74*$M$3</f>
        <v>929136553.9025762</v>
      </c>
      <c r="O74" s="87">
        <f>N74*$M$3</f>
        <v>975593381.597705</v>
      </c>
      <c r="P74" s="87">
        <f>O74*$M$3</f>
        <v>1024373050.6775903</v>
      </c>
    </row>
    <row r="75" spans="2:16" ht="15">
      <c r="B75" s="23" t="s">
        <v>265</v>
      </c>
      <c r="C75" s="17" t="s">
        <v>266</v>
      </c>
      <c r="D75" s="85">
        <v>52500000</v>
      </c>
      <c r="E75" s="85">
        <v>55364749</v>
      </c>
      <c r="F75" s="85">
        <v>50000000</v>
      </c>
      <c r="G75" s="86">
        <f>'[2]INGRESOS'!$C$71</f>
        <v>50000000</v>
      </c>
      <c r="H75" s="86">
        <f>G75*$H$3</f>
        <v>52500000</v>
      </c>
      <c r="I75" s="86">
        <f>H75*$I$3</f>
        <v>55125000</v>
      </c>
      <c r="J75" s="86">
        <f>I75*$J$3</f>
        <v>57881250</v>
      </c>
      <c r="K75" s="86">
        <f>J75*$K$3</f>
        <v>60775312.5</v>
      </c>
      <c r="L75" s="86">
        <f>K75*$L$3</f>
        <v>63814078.125</v>
      </c>
      <c r="M75" s="87">
        <f>L75*$M$3</f>
        <v>67004782.03125</v>
      </c>
      <c r="N75" s="87">
        <f>M75*$M$3</f>
        <v>70355021.1328125</v>
      </c>
      <c r="O75" s="87">
        <f>N75*$M$3</f>
        <v>73872772.18945312</v>
      </c>
      <c r="P75" s="87">
        <f>O75*$M$3</f>
        <v>77566410.79892579</v>
      </c>
    </row>
    <row r="76" spans="2:16" ht="15">
      <c r="B76" s="23" t="s">
        <v>267</v>
      </c>
      <c r="C76" s="22" t="s">
        <v>268</v>
      </c>
      <c r="D76" s="90"/>
      <c r="E76" s="90">
        <v>973659066</v>
      </c>
      <c r="F76" s="90"/>
      <c r="G76" s="91"/>
      <c r="H76" s="91"/>
      <c r="I76" s="91"/>
      <c r="J76" s="91"/>
      <c r="K76" s="91"/>
      <c r="L76" s="91"/>
      <c r="M76" s="82"/>
      <c r="N76" s="82"/>
      <c r="O76" s="82"/>
      <c r="P76" s="82"/>
    </row>
    <row r="77" spans="2:16" ht="15">
      <c r="B77" s="23" t="s">
        <v>269</v>
      </c>
      <c r="C77" s="16" t="s">
        <v>270</v>
      </c>
      <c r="D77" s="81">
        <f>D78</f>
        <v>0</v>
      </c>
      <c r="E77" s="81">
        <f>E78</f>
        <v>0</v>
      </c>
      <c r="F77" s="81">
        <f aca="true" t="shared" si="49" ref="F77:P77">F78</f>
        <v>600000000</v>
      </c>
      <c r="G77" s="81">
        <f t="shared" si="49"/>
        <v>640000000</v>
      </c>
      <c r="H77" s="81">
        <f t="shared" si="49"/>
        <v>672000000</v>
      </c>
      <c r="I77" s="81">
        <f t="shared" si="49"/>
        <v>705600000</v>
      </c>
      <c r="J77" s="81">
        <f t="shared" si="49"/>
        <v>740880000</v>
      </c>
      <c r="K77" s="81">
        <f t="shared" si="49"/>
        <v>777924000</v>
      </c>
      <c r="L77" s="81">
        <f t="shared" si="49"/>
        <v>816820200</v>
      </c>
      <c r="M77" s="81">
        <f t="shared" si="49"/>
        <v>857661210</v>
      </c>
      <c r="N77" s="81">
        <f t="shared" si="49"/>
        <v>900544270.5</v>
      </c>
      <c r="O77" s="81">
        <f t="shared" si="49"/>
        <v>945571484.0250001</v>
      </c>
      <c r="P77" s="81">
        <f t="shared" si="49"/>
        <v>992850058.2262502</v>
      </c>
    </row>
    <row r="78" spans="2:16" ht="15">
      <c r="B78" s="23" t="s">
        <v>271</v>
      </c>
      <c r="C78" s="17" t="s">
        <v>272</v>
      </c>
      <c r="D78" s="92"/>
      <c r="E78" s="92"/>
      <c r="F78" s="92">
        <v>600000000</v>
      </c>
      <c r="G78" s="86">
        <f>'[2]INGRESOS'!$C$74</f>
        <v>640000000</v>
      </c>
      <c r="H78" s="86">
        <f aca="true" t="shared" si="50" ref="H78:P78">G78*$G$3</f>
        <v>672000000</v>
      </c>
      <c r="I78" s="86">
        <f t="shared" si="50"/>
        <v>705600000</v>
      </c>
      <c r="J78" s="86">
        <f t="shared" si="50"/>
        <v>740880000</v>
      </c>
      <c r="K78" s="86">
        <f t="shared" si="50"/>
        <v>777924000</v>
      </c>
      <c r="L78" s="86">
        <f t="shared" si="50"/>
        <v>816820200</v>
      </c>
      <c r="M78" s="86">
        <f t="shared" si="50"/>
        <v>857661210</v>
      </c>
      <c r="N78" s="86">
        <f t="shared" si="50"/>
        <v>900544270.5</v>
      </c>
      <c r="O78" s="86">
        <f t="shared" si="50"/>
        <v>945571484.0250001</v>
      </c>
      <c r="P78" s="86">
        <f t="shared" si="50"/>
        <v>992850058.2262502</v>
      </c>
    </row>
    <row r="79" spans="2:16" ht="15">
      <c r="B79" s="23" t="s">
        <v>273</v>
      </c>
      <c r="C79" s="16" t="s">
        <v>274</v>
      </c>
      <c r="D79" s="88">
        <f>D80+D88+D103+D106</f>
        <v>29050000</v>
      </c>
      <c r="E79" s="88">
        <f>E80+E88+E103+E106</f>
        <v>2710769753.08</v>
      </c>
      <c r="F79" s="88">
        <f aca="true" t="shared" si="51" ref="F79:P79">F80+F88+F103+F106</f>
        <v>29050000</v>
      </c>
      <c r="G79" s="88">
        <f t="shared" si="51"/>
        <v>28050000</v>
      </c>
      <c r="H79" s="88">
        <f t="shared" si="51"/>
        <v>29452500</v>
      </c>
      <c r="I79" s="88">
        <f t="shared" si="51"/>
        <v>30925125</v>
      </c>
      <c r="J79" s="88">
        <f t="shared" si="51"/>
        <v>32471381.25</v>
      </c>
      <c r="K79" s="88">
        <f t="shared" si="51"/>
        <v>34094950.3125</v>
      </c>
      <c r="L79" s="88">
        <f t="shared" si="51"/>
        <v>35799697.828125</v>
      </c>
      <c r="M79" s="88">
        <f t="shared" si="51"/>
        <v>37589682.71953125</v>
      </c>
      <c r="N79" s="88">
        <f t="shared" si="51"/>
        <v>39469166.85550781</v>
      </c>
      <c r="O79" s="88">
        <f t="shared" si="51"/>
        <v>41442625.1982832</v>
      </c>
      <c r="P79" s="88">
        <f t="shared" si="51"/>
        <v>43514756.45819737</v>
      </c>
    </row>
    <row r="80" spans="2:16" ht="15">
      <c r="B80" s="23" t="s">
        <v>275</v>
      </c>
      <c r="C80" s="18" t="s">
        <v>276</v>
      </c>
      <c r="D80" s="88">
        <f>D81+D84</f>
        <v>0</v>
      </c>
      <c r="E80" s="88">
        <f>E81+E84</f>
        <v>0</v>
      </c>
      <c r="F80" s="88">
        <f aca="true" t="shared" si="52" ref="F80:P80">F81+F84</f>
        <v>0</v>
      </c>
      <c r="G80" s="88">
        <f t="shared" si="52"/>
        <v>0</v>
      </c>
      <c r="H80" s="88">
        <f t="shared" si="52"/>
        <v>0</v>
      </c>
      <c r="I80" s="88">
        <f t="shared" si="52"/>
        <v>0</v>
      </c>
      <c r="J80" s="88">
        <f t="shared" si="52"/>
        <v>0</v>
      </c>
      <c r="K80" s="88">
        <f t="shared" si="52"/>
        <v>0</v>
      </c>
      <c r="L80" s="88">
        <f t="shared" si="52"/>
        <v>0</v>
      </c>
      <c r="M80" s="88">
        <f t="shared" si="52"/>
        <v>0</v>
      </c>
      <c r="N80" s="88">
        <f t="shared" si="52"/>
        <v>0</v>
      </c>
      <c r="O80" s="88">
        <f t="shared" si="52"/>
        <v>0</v>
      </c>
      <c r="P80" s="88">
        <f t="shared" si="52"/>
        <v>0</v>
      </c>
    </row>
    <row r="81" spans="2:16" ht="15">
      <c r="B81" s="23" t="s">
        <v>277</v>
      </c>
      <c r="C81" s="18" t="s">
        <v>278</v>
      </c>
      <c r="D81" s="88">
        <f>SUM(D82:D84)</f>
        <v>0</v>
      </c>
      <c r="E81" s="88">
        <f>SUM(E82:E84)</f>
        <v>0</v>
      </c>
      <c r="F81" s="88">
        <f aca="true" t="shared" si="53" ref="F81:P81">SUM(F82:F84)</f>
        <v>0</v>
      </c>
      <c r="G81" s="88">
        <f t="shared" si="53"/>
        <v>0</v>
      </c>
      <c r="H81" s="88">
        <f t="shared" si="53"/>
        <v>0</v>
      </c>
      <c r="I81" s="88">
        <f t="shared" si="53"/>
        <v>0</v>
      </c>
      <c r="J81" s="88">
        <f t="shared" si="53"/>
        <v>0</v>
      </c>
      <c r="K81" s="88">
        <f t="shared" si="53"/>
        <v>0</v>
      </c>
      <c r="L81" s="88">
        <f t="shared" si="53"/>
        <v>0</v>
      </c>
      <c r="M81" s="88">
        <f t="shared" si="53"/>
        <v>0</v>
      </c>
      <c r="N81" s="88">
        <f t="shared" si="53"/>
        <v>0</v>
      </c>
      <c r="O81" s="88">
        <f t="shared" si="53"/>
        <v>0</v>
      </c>
      <c r="P81" s="88">
        <f t="shared" si="53"/>
        <v>0</v>
      </c>
    </row>
    <row r="82" spans="2:16" ht="15">
      <c r="B82" s="23" t="s">
        <v>279</v>
      </c>
      <c r="C82" s="20" t="s">
        <v>280</v>
      </c>
      <c r="D82" s="85"/>
      <c r="E82" s="85"/>
      <c r="F82" s="85"/>
      <c r="G82" s="86">
        <f>F82*$G$3</f>
        <v>0</v>
      </c>
      <c r="H82" s="86">
        <f>G82*$H$3</f>
        <v>0</v>
      </c>
      <c r="I82" s="86">
        <f>H82*$I$3</f>
        <v>0</v>
      </c>
      <c r="J82" s="86">
        <f>I82*$J$3</f>
        <v>0</v>
      </c>
      <c r="K82" s="86">
        <f>J82*$K$3</f>
        <v>0</v>
      </c>
      <c r="L82" s="86">
        <f>K82*$L$3</f>
        <v>0</v>
      </c>
      <c r="M82" s="87">
        <f aca="true" t="shared" si="54" ref="M82:P84">L82*$M$3</f>
        <v>0</v>
      </c>
      <c r="N82" s="87">
        <f t="shared" si="54"/>
        <v>0</v>
      </c>
      <c r="O82" s="87">
        <f t="shared" si="54"/>
        <v>0</v>
      </c>
      <c r="P82" s="87">
        <f t="shared" si="54"/>
        <v>0</v>
      </c>
    </row>
    <row r="83" spans="2:19" s="25" customFormat="1" ht="12.75">
      <c r="B83" s="23" t="s">
        <v>281</v>
      </c>
      <c r="C83" s="20" t="s">
        <v>282</v>
      </c>
      <c r="D83" s="94"/>
      <c r="E83" s="94"/>
      <c r="F83" s="94"/>
      <c r="G83" s="86">
        <f>F83*$G$3</f>
        <v>0</v>
      </c>
      <c r="H83" s="86">
        <f>G83*$H$3</f>
        <v>0</v>
      </c>
      <c r="I83" s="86">
        <f>H83*$I$3</f>
        <v>0</v>
      </c>
      <c r="J83" s="86">
        <f>I83*$J$3</f>
        <v>0</v>
      </c>
      <c r="K83" s="86">
        <f>J83*$K$3</f>
        <v>0</v>
      </c>
      <c r="L83" s="86">
        <f>K83*$L$3</f>
        <v>0</v>
      </c>
      <c r="M83" s="87">
        <f t="shared" si="54"/>
        <v>0</v>
      </c>
      <c r="N83" s="87">
        <f t="shared" si="54"/>
        <v>0</v>
      </c>
      <c r="O83" s="87">
        <f t="shared" si="54"/>
        <v>0</v>
      </c>
      <c r="P83" s="87">
        <f t="shared" si="54"/>
        <v>0</v>
      </c>
      <c r="Q83" s="27"/>
      <c r="S83" s="28"/>
    </row>
    <row r="84" spans="2:16" ht="15">
      <c r="B84" s="23" t="s">
        <v>283</v>
      </c>
      <c r="C84" s="19" t="s">
        <v>284</v>
      </c>
      <c r="D84" s="95"/>
      <c r="E84" s="95"/>
      <c r="F84" s="92"/>
      <c r="G84" s="86">
        <f>F84*$G$3</f>
        <v>0</v>
      </c>
      <c r="H84" s="86">
        <f>G84*$H$3</f>
        <v>0</v>
      </c>
      <c r="I84" s="86">
        <f>H84*$I$3</f>
        <v>0</v>
      </c>
      <c r="J84" s="86">
        <f>I84*$J$3</f>
        <v>0</v>
      </c>
      <c r="K84" s="86">
        <f>J84*$K$3</f>
        <v>0</v>
      </c>
      <c r="L84" s="86">
        <f>K84*$L$3</f>
        <v>0</v>
      </c>
      <c r="M84" s="87">
        <f t="shared" si="54"/>
        <v>0</v>
      </c>
      <c r="N84" s="87">
        <f t="shared" si="54"/>
        <v>0</v>
      </c>
      <c r="O84" s="87">
        <f t="shared" si="54"/>
        <v>0</v>
      </c>
      <c r="P84" s="87">
        <f t="shared" si="54"/>
        <v>0</v>
      </c>
    </row>
    <row r="85" spans="2:16" ht="15">
      <c r="B85" s="23" t="s">
        <v>285</v>
      </c>
      <c r="C85" s="18" t="s">
        <v>286</v>
      </c>
      <c r="D85" s="88">
        <f>SUM(D86:D87)</f>
        <v>0</v>
      </c>
      <c r="E85" s="88">
        <f>SUM(E86:E87)</f>
        <v>0</v>
      </c>
      <c r="F85" s="88">
        <f aca="true" t="shared" si="55" ref="F85:P85">SUM(F86:F87)</f>
        <v>0</v>
      </c>
      <c r="G85" s="88">
        <f t="shared" si="55"/>
        <v>0</v>
      </c>
      <c r="H85" s="88">
        <f t="shared" si="55"/>
        <v>0</v>
      </c>
      <c r="I85" s="88">
        <f t="shared" si="55"/>
        <v>0</v>
      </c>
      <c r="J85" s="88">
        <f t="shared" si="55"/>
        <v>0</v>
      </c>
      <c r="K85" s="88">
        <f t="shared" si="55"/>
        <v>0</v>
      </c>
      <c r="L85" s="88">
        <f t="shared" si="55"/>
        <v>0</v>
      </c>
      <c r="M85" s="88">
        <f t="shared" si="55"/>
        <v>0</v>
      </c>
      <c r="N85" s="88">
        <f t="shared" si="55"/>
        <v>0</v>
      </c>
      <c r="O85" s="88">
        <f t="shared" si="55"/>
        <v>0</v>
      </c>
      <c r="P85" s="88">
        <f t="shared" si="55"/>
        <v>0</v>
      </c>
    </row>
    <row r="86" spans="2:16" ht="15">
      <c r="B86" s="23" t="s">
        <v>287</v>
      </c>
      <c r="C86" s="20" t="s">
        <v>282</v>
      </c>
      <c r="D86" s="85"/>
      <c r="E86" s="85"/>
      <c r="F86" s="85"/>
      <c r="G86" s="86">
        <f>F86*$G$3</f>
        <v>0</v>
      </c>
      <c r="H86" s="86">
        <f>G86*$H$3</f>
        <v>0</v>
      </c>
      <c r="I86" s="86">
        <f>H86*$I$3</f>
        <v>0</v>
      </c>
      <c r="J86" s="86">
        <f>I86*$J$3</f>
        <v>0</v>
      </c>
      <c r="K86" s="86">
        <f>J86*$K$3</f>
        <v>0</v>
      </c>
      <c r="L86" s="86">
        <f>K86*$L$3</f>
        <v>0</v>
      </c>
      <c r="M86" s="87">
        <f aca="true" t="shared" si="56" ref="M86:P87">L86*$M$3</f>
        <v>0</v>
      </c>
      <c r="N86" s="87">
        <f t="shared" si="56"/>
        <v>0</v>
      </c>
      <c r="O86" s="87">
        <f>N86*$M$3</f>
        <v>0</v>
      </c>
      <c r="P86" s="87">
        <f t="shared" si="56"/>
        <v>0</v>
      </c>
    </row>
    <row r="87" spans="2:16" ht="15">
      <c r="B87" s="23" t="s">
        <v>288</v>
      </c>
      <c r="C87" s="20" t="s">
        <v>284</v>
      </c>
      <c r="D87" s="85"/>
      <c r="E87" s="85"/>
      <c r="F87" s="85"/>
      <c r="G87" s="86">
        <f>F87*$G$3</f>
        <v>0</v>
      </c>
      <c r="H87" s="86">
        <f>G87*$H$3</f>
        <v>0</v>
      </c>
      <c r="I87" s="86">
        <f>H87*$I$3</f>
        <v>0</v>
      </c>
      <c r="J87" s="86">
        <f>I87*$J$3</f>
        <v>0</v>
      </c>
      <c r="K87" s="86">
        <f>J87*$K$3</f>
        <v>0</v>
      </c>
      <c r="L87" s="86">
        <f>K87*$L$3</f>
        <v>0</v>
      </c>
      <c r="M87" s="87">
        <f t="shared" si="56"/>
        <v>0</v>
      </c>
      <c r="N87" s="87">
        <f t="shared" si="56"/>
        <v>0</v>
      </c>
      <c r="O87" s="87">
        <f>N87*$M$3</f>
        <v>0</v>
      </c>
      <c r="P87" s="87">
        <f t="shared" si="56"/>
        <v>0</v>
      </c>
    </row>
    <row r="88" spans="2:16" ht="15">
      <c r="B88" s="23" t="s">
        <v>289</v>
      </c>
      <c r="C88" s="18" t="s">
        <v>101</v>
      </c>
      <c r="D88" s="84">
        <f>D89+D93</f>
        <v>0</v>
      </c>
      <c r="E88" s="84">
        <f>E89+E93</f>
        <v>2678833841.95</v>
      </c>
      <c r="F88" s="84">
        <f aca="true" t="shared" si="57" ref="F88:P88">F89+F93</f>
        <v>0</v>
      </c>
      <c r="G88" s="84">
        <f t="shared" si="57"/>
        <v>0</v>
      </c>
      <c r="H88" s="84">
        <f t="shared" si="57"/>
        <v>0</v>
      </c>
      <c r="I88" s="84">
        <f t="shared" si="57"/>
        <v>0</v>
      </c>
      <c r="J88" s="84">
        <f t="shared" si="57"/>
        <v>0</v>
      </c>
      <c r="K88" s="84">
        <f t="shared" si="57"/>
        <v>0</v>
      </c>
      <c r="L88" s="84">
        <f t="shared" si="57"/>
        <v>0</v>
      </c>
      <c r="M88" s="84">
        <f t="shared" si="57"/>
        <v>0</v>
      </c>
      <c r="N88" s="84">
        <f t="shared" si="57"/>
        <v>0</v>
      </c>
      <c r="O88" s="84">
        <f t="shared" si="57"/>
        <v>0</v>
      </c>
      <c r="P88" s="84">
        <f t="shared" si="57"/>
        <v>0</v>
      </c>
    </row>
    <row r="89" spans="2:16" ht="15">
      <c r="B89" s="23" t="s">
        <v>290</v>
      </c>
      <c r="C89" s="22" t="s">
        <v>291</v>
      </c>
      <c r="D89" s="84">
        <f>SUM(D90:D92)</f>
        <v>0</v>
      </c>
      <c r="E89" s="84">
        <f>SUM(E90:E92)</f>
        <v>1641628927.95</v>
      </c>
      <c r="F89" s="84">
        <f aca="true" t="shared" si="58" ref="F89:P89">SUM(F90:F92)</f>
        <v>0</v>
      </c>
      <c r="G89" s="84">
        <f t="shared" si="58"/>
        <v>0</v>
      </c>
      <c r="H89" s="84">
        <f t="shared" si="58"/>
        <v>0</v>
      </c>
      <c r="I89" s="84">
        <f t="shared" si="58"/>
        <v>0</v>
      </c>
      <c r="J89" s="84">
        <f t="shared" si="58"/>
        <v>0</v>
      </c>
      <c r="K89" s="84">
        <f t="shared" si="58"/>
        <v>0</v>
      </c>
      <c r="L89" s="84">
        <f t="shared" si="58"/>
        <v>0</v>
      </c>
      <c r="M89" s="84">
        <f t="shared" si="58"/>
        <v>0</v>
      </c>
      <c r="N89" s="84">
        <f t="shared" si="58"/>
        <v>0</v>
      </c>
      <c r="O89" s="84">
        <f t="shared" si="58"/>
        <v>0</v>
      </c>
      <c r="P89" s="84">
        <f t="shared" si="58"/>
        <v>0</v>
      </c>
    </row>
    <row r="90" spans="2:16" ht="15">
      <c r="B90" s="23" t="s">
        <v>292</v>
      </c>
      <c r="C90" s="19" t="s">
        <v>293</v>
      </c>
      <c r="D90" s="85"/>
      <c r="E90" s="85"/>
      <c r="F90" s="85"/>
      <c r="G90" s="86">
        <f>F90*$G$3</f>
        <v>0</v>
      </c>
      <c r="H90" s="86">
        <f>G90*$H$3</f>
        <v>0</v>
      </c>
      <c r="I90" s="86">
        <f>H90*$I$3</f>
        <v>0</v>
      </c>
      <c r="J90" s="86">
        <f>I90*$J$3</f>
        <v>0</v>
      </c>
      <c r="K90" s="86">
        <f>J90*$K$3</f>
        <v>0</v>
      </c>
      <c r="L90" s="86">
        <f>K90*$L$3</f>
        <v>0</v>
      </c>
      <c r="M90" s="87">
        <f aca="true" t="shared" si="59" ref="M90:P92">L90*$M$3</f>
        <v>0</v>
      </c>
      <c r="N90" s="87">
        <f t="shared" si="59"/>
        <v>0</v>
      </c>
      <c r="O90" s="87">
        <f t="shared" si="59"/>
        <v>0</v>
      </c>
      <c r="P90" s="87">
        <f t="shared" si="59"/>
        <v>0</v>
      </c>
    </row>
    <row r="91" spans="2:16" ht="15">
      <c r="B91" s="23" t="s">
        <v>294</v>
      </c>
      <c r="C91" s="19" t="s">
        <v>295</v>
      </c>
      <c r="D91" s="85"/>
      <c r="E91" s="85">
        <v>142144291.43</v>
      </c>
      <c r="F91" s="89"/>
      <c r="G91" s="86">
        <f>F91*$G$3</f>
        <v>0</v>
      </c>
      <c r="H91" s="86">
        <f>G91*$H$3</f>
        <v>0</v>
      </c>
      <c r="I91" s="86">
        <f>H91*$I$3</f>
        <v>0</v>
      </c>
      <c r="J91" s="86">
        <f>I91*$J$3</f>
        <v>0</v>
      </c>
      <c r="K91" s="86">
        <f>J91*$K$3</f>
        <v>0</v>
      </c>
      <c r="L91" s="86">
        <f>K91*$L$3</f>
        <v>0</v>
      </c>
      <c r="M91" s="87">
        <f t="shared" si="59"/>
        <v>0</v>
      </c>
      <c r="N91" s="87">
        <f t="shared" si="59"/>
        <v>0</v>
      </c>
      <c r="O91" s="87">
        <f t="shared" si="59"/>
        <v>0</v>
      </c>
      <c r="P91" s="87">
        <f t="shared" si="59"/>
        <v>0</v>
      </c>
    </row>
    <row r="92" spans="2:16" ht="15">
      <c r="B92" s="23" t="s">
        <v>296</v>
      </c>
      <c r="C92" s="19" t="s">
        <v>297</v>
      </c>
      <c r="D92" s="85"/>
      <c r="E92" s="85">
        <v>1499484636.52</v>
      </c>
      <c r="F92" s="89"/>
      <c r="G92" s="86">
        <f>F92*$G$3</f>
        <v>0</v>
      </c>
      <c r="H92" s="86">
        <f>G92*$H$3</f>
        <v>0</v>
      </c>
      <c r="I92" s="86">
        <f>H92*$I$3</f>
        <v>0</v>
      </c>
      <c r="J92" s="86">
        <f>I92*$J$3</f>
        <v>0</v>
      </c>
      <c r="K92" s="86">
        <f>J92*$K$3</f>
        <v>0</v>
      </c>
      <c r="L92" s="86">
        <f>K92*$L$3</f>
        <v>0</v>
      </c>
      <c r="M92" s="87">
        <f t="shared" si="59"/>
        <v>0</v>
      </c>
      <c r="N92" s="87">
        <f t="shared" si="59"/>
        <v>0</v>
      </c>
      <c r="O92" s="87">
        <f t="shared" si="59"/>
        <v>0</v>
      </c>
      <c r="P92" s="87">
        <f t="shared" si="59"/>
        <v>0</v>
      </c>
    </row>
    <row r="93" spans="2:16" ht="15">
      <c r="B93" s="23" t="s">
        <v>298</v>
      </c>
      <c r="C93" s="22" t="s">
        <v>102</v>
      </c>
      <c r="D93" s="84">
        <f>SUM(D94:D96)+SUM(D99:D102)</f>
        <v>0</v>
      </c>
      <c r="E93" s="84">
        <f>SUM(E94:E96)+SUM(E99:E102)</f>
        <v>1037204914</v>
      </c>
      <c r="F93" s="84">
        <f aca="true" t="shared" si="60" ref="F93:P93">SUM(F94:F96)+SUM(F99:F102)</f>
        <v>0</v>
      </c>
      <c r="G93" s="84">
        <f t="shared" si="60"/>
        <v>0</v>
      </c>
      <c r="H93" s="84">
        <f t="shared" si="60"/>
        <v>0</v>
      </c>
      <c r="I93" s="84">
        <f t="shared" si="60"/>
        <v>0</v>
      </c>
      <c r="J93" s="84">
        <f t="shared" si="60"/>
        <v>0</v>
      </c>
      <c r="K93" s="84">
        <f t="shared" si="60"/>
        <v>0</v>
      </c>
      <c r="L93" s="84">
        <f t="shared" si="60"/>
        <v>0</v>
      </c>
      <c r="M93" s="84">
        <f t="shared" si="60"/>
        <v>0</v>
      </c>
      <c r="N93" s="84">
        <f t="shared" si="60"/>
        <v>0</v>
      </c>
      <c r="O93" s="84">
        <f t="shared" si="60"/>
        <v>0</v>
      </c>
      <c r="P93" s="84">
        <f t="shared" si="60"/>
        <v>0</v>
      </c>
    </row>
    <row r="94" spans="2:16" ht="15">
      <c r="B94" s="23" t="s">
        <v>299</v>
      </c>
      <c r="C94" s="20" t="s">
        <v>300</v>
      </c>
      <c r="D94" s="85"/>
      <c r="E94" s="85">
        <v>368631060</v>
      </c>
      <c r="F94" s="85"/>
      <c r="G94" s="86">
        <f>F94*$G$3</f>
        <v>0</v>
      </c>
      <c r="H94" s="86">
        <f>G94*$H$3</f>
        <v>0</v>
      </c>
      <c r="I94" s="86">
        <f>H94*$I$3</f>
        <v>0</v>
      </c>
      <c r="J94" s="86">
        <f>I94*$J$3</f>
        <v>0</v>
      </c>
      <c r="K94" s="86">
        <f>J94*$K$3</f>
        <v>0</v>
      </c>
      <c r="L94" s="86">
        <f>K94*$L$3</f>
        <v>0</v>
      </c>
      <c r="M94" s="87">
        <f aca="true" t="shared" si="61" ref="M94:P95">L94*$M$3</f>
        <v>0</v>
      </c>
      <c r="N94" s="87">
        <f t="shared" si="61"/>
        <v>0</v>
      </c>
      <c r="O94" s="87">
        <f t="shared" si="61"/>
        <v>0</v>
      </c>
      <c r="P94" s="87">
        <f t="shared" si="61"/>
        <v>0</v>
      </c>
    </row>
    <row r="95" spans="2:16" ht="15">
      <c r="B95" s="29" t="s">
        <v>301</v>
      </c>
      <c r="C95" s="19" t="s">
        <v>302</v>
      </c>
      <c r="D95" s="85"/>
      <c r="E95" s="85">
        <v>76732157</v>
      </c>
      <c r="F95" s="85"/>
      <c r="G95" s="86">
        <f>F95*$G$3</f>
        <v>0</v>
      </c>
      <c r="H95" s="86">
        <f>G95*$H$3</f>
        <v>0</v>
      </c>
      <c r="I95" s="86">
        <f>H95*$I$3</f>
        <v>0</v>
      </c>
      <c r="J95" s="86">
        <f>I95*$J$3</f>
        <v>0</v>
      </c>
      <c r="K95" s="86">
        <f>J95*$K$3</f>
        <v>0</v>
      </c>
      <c r="L95" s="86">
        <f>K95*$L$3</f>
        <v>0</v>
      </c>
      <c r="M95" s="87">
        <f t="shared" si="61"/>
        <v>0</v>
      </c>
      <c r="N95" s="87">
        <f t="shared" si="61"/>
        <v>0</v>
      </c>
      <c r="O95" s="87">
        <f t="shared" si="61"/>
        <v>0</v>
      </c>
      <c r="P95" s="87">
        <f t="shared" si="61"/>
        <v>0</v>
      </c>
    </row>
    <row r="96" spans="2:16" ht="15">
      <c r="B96" s="29" t="s">
        <v>303</v>
      </c>
      <c r="C96" s="18" t="s">
        <v>304</v>
      </c>
      <c r="D96" s="84">
        <f>SUM(D97:D98)</f>
        <v>0</v>
      </c>
      <c r="E96" s="84">
        <f>SUM(E97:E98)</f>
        <v>0</v>
      </c>
      <c r="F96" s="84">
        <f aca="true" t="shared" si="62" ref="F96:P96">SUM(F97:F98)</f>
        <v>0</v>
      </c>
      <c r="G96" s="84">
        <f t="shared" si="62"/>
        <v>0</v>
      </c>
      <c r="H96" s="84">
        <f t="shared" si="62"/>
        <v>0</v>
      </c>
      <c r="I96" s="84">
        <f t="shared" si="62"/>
        <v>0</v>
      </c>
      <c r="J96" s="84">
        <f t="shared" si="62"/>
        <v>0</v>
      </c>
      <c r="K96" s="84">
        <f t="shared" si="62"/>
        <v>0</v>
      </c>
      <c r="L96" s="84">
        <f t="shared" si="62"/>
        <v>0</v>
      </c>
      <c r="M96" s="84">
        <f t="shared" si="62"/>
        <v>0</v>
      </c>
      <c r="N96" s="84">
        <f t="shared" si="62"/>
        <v>0</v>
      </c>
      <c r="O96" s="84">
        <f t="shared" si="62"/>
        <v>0</v>
      </c>
      <c r="P96" s="84">
        <f t="shared" si="62"/>
        <v>0</v>
      </c>
    </row>
    <row r="97" spans="2:16" ht="15">
      <c r="B97" s="29" t="s">
        <v>305</v>
      </c>
      <c r="C97" s="19" t="s">
        <v>306</v>
      </c>
      <c r="D97" s="85"/>
      <c r="E97" s="85"/>
      <c r="F97" s="85"/>
      <c r="G97" s="86">
        <f aca="true" t="shared" si="63" ref="G97:G105">F97*$G$3</f>
        <v>0</v>
      </c>
      <c r="H97" s="86">
        <f aca="true" t="shared" si="64" ref="H97:H112">G97*$H$3</f>
        <v>0</v>
      </c>
      <c r="I97" s="86">
        <f aca="true" t="shared" si="65" ref="I97:I112">H97*$I$3</f>
        <v>0</v>
      </c>
      <c r="J97" s="86">
        <f aca="true" t="shared" si="66" ref="J97:J112">I97*$J$3</f>
        <v>0</v>
      </c>
      <c r="K97" s="86">
        <f aca="true" t="shared" si="67" ref="K97:K112">J97*$K$3</f>
        <v>0</v>
      </c>
      <c r="L97" s="86">
        <f aca="true" t="shared" si="68" ref="L97:L112">K97*$L$3</f>
        <v>0</v>
      </c>
      <c r="M97" s="87">
        <f aca="true" t="shared" si="69" ref="M97:M102">L97*$M$3</f>
        <v>0</v>
      </c>
      <c r="N97" s="87">
        <f aca="true" t="shared" si="70" ref="N97:N102">M97*$M$3</f>
        <v>0</v>
      </c>
      <c r="O97" s="87">
        <f aca="true" t="shared" si="71" ref="O97:O112">N97*$M$3</f>
        <v>0</v>
      </c>
      <c r="P97" s="87">
        <f aca="true" t="shared" si="72" ref="P97:P102">O97*$M$3</f>
        <v>0</v>
      </c>
    </row>
    <row r="98" spans="2:16" ht="15">
      <c r="B98" s="29" t="s">
        <v>307</v>
      </c>
      <c r="C98" s="19" t="s">
        <v>308</v>
      </c>
      <c r="D98" s="85"/>
      <c r="E98" s="85"/>
      <c r="F98" s="85"/>
      <c r="G98" s="86">
        <f t="shared" si="63"/>
        <v>0</v>
      </c>
      <c r="H98" s="86">
        <f t="shared" si="64"/>
        <v>0</v>
      </c>
      <c r="I98" s="86">
        <f t="shared" si="65"/>
        <v>0</v>
      </c>
      <c r="J98" s="86">
        <f t="shared" si="66"/>
        <v>0</v>
      </c>
      <c r="K98" s="86">
        <f t="shared" si="67"/>
        <v>0</v>
      </c>
      <c r="L98" s="86">
        <f t="shared" si="68"/>
        <v>0</v>
      </c>
      <c r="M98" s="87">
        <f t="shared" si="69"/>
        <v>0</v>
      </c>
      <c r="N98" s="87">
        <f t="shared" si="70"/>
        <v>0</v>
      </c>
      <c r="O98" s="87">
        <f t="shared" si="71"/>
        <v>0</v>
      </c>
      <c r="P98" s="87">
        <f t="shared" si="72"/>
        <v>0</v>
      </c>
    </row>
    <row r="99" spans="2:16" ht="15">
      <c r="B99" s="29" t="s">
        <v>309</v>
      </c>
      <c r="C99" s="19" t="s">
        <v>310</v>
      </c>
      <c r="D99" s="85"/>
      <c r="E99" s="85"/>
      <c r="F99" s="85"/>
      <c r="G99" s="86">
        <f t="shared" si="63"/>
        <v>0</v>
      </c>
      <c r="H99" s="86">
        <f t="shared" si="64"/>
        <v>0</v>
      </c>
      <c r="I99" s="86">
        <f t="shared" si="65"/>
        <v>0</v>
      </c>
      <c r="J99" s="86">
        <f t="shared" si="66"/>
        <v>0</v>
      </c>
      <c r="K99" s="86">
        <f t="shared" si="67"/>
        <v>0</v>
      </c>
      <c r="L99" s="86">
        <f t="shared" si="68"/>
        <v>0</v>
      </c>
      <c r="M99" s="87">
        <f t="shared" si="69"/>
        <v>0</v>
      </c>
      <c r="N99" s="87">
        <f t="shared" si="70"/>
        <v>0</v>
      </c>
      <c r="O99" s="87">
        <f t="shared" si="71"/>
        <v>0</v>
      </c>
      <c r="P99" s="87">
        <f t="shared" si="72"/>
        <v>0</v>
      </c>
    </row>
    <row r="100" spans="2:16" ht="15">
      <c r="B100" s="29" t="s">
        <v>311</v>
      </c>
      <c r="C100" s="19" t="s">
        <v>312</v>
      </c>
      <c r="D100" s="85"/>
      <c r="E100" s="85">
        <v>152838493</v>
      </c>
      <c r="F100" s="85"/>
      <c r="G100" s="86">
        <f t="shared" si="63"/>
        <v>0</v>
      </c>
      <c r="H100" s="86">
        <f t="shared" si="64"/>
        <v>0</v>
      </c>
      <c r="I100" s="86">
        <f t="shared" si="65"/>
        <v>0</v>
      </c>
      <c r="J100" s="86">
        <f t="shared" si="66"/>
        <v>0</v>
      </c>
      <c r="K100" s="86">
        <f t="shared" si="67"/>
        <v>0</v>
      </c>
      <c r="L100" s="86">
        <f t="shared" si="68"/>
        <v>0</v>
      </c>
      <c r="M100" s="87">
        <f t="shared" si="69"/>
        <v>0</v>
      </c>
      <c r="N100" s="87">
        <f t="shared" si="70"/>
        <v>0</v>
      </c>
      <c r="O100" s="87">
        <f t="shared" si="71"/>
        <v>0</v>
      </c>
      <c r="P100" s="87">
        <f t="shared" si="72"/>
        <v>0</v>
      </c>
    </row>
    <row r="101" spans="2:16" ht="15">
      <c r="B101" s="29" t="s">
        <v>313</v>
      </c>
      <c r="C101" s="19" t="s">
        <v>314</v>
      </c>
      <c r="D101" s="85"/>
      <c r="E101" s="85">
        <v>5973423</v>
      </c>
      <c r="F101" s="85"/>
      <c r="G101" s="86">
        <f t="shared" si="63"/>
        <v>0</v>
      </c>
      <c r="H101" s="86">
        <f t="shared" si="64"/>
        <v>0</v>
      </c>
      <c r="I101" s="86">
        <f t="shared" si="65"/>
        <v>0</v>
      </c>
      <c r="J101" s="86">
        <f t="shared" si="66"/>
        <v>0</v>
      </c>
      <c r="K101" s="86">
        <f t="shared" si="67"/>
        <v>0</v>
      </c>
      <c r="L101" s="86">
        <f t="shared" si="68"/>
        <v>0</v>
      </c>
      <c r="M101" s="87">
        <f t="shared" si="69"/>
        <v>0</v>
      </c>
      <c r="N101" s="87">
        <f t="shared" si="70"/>
        <v>0</v>
      </c>
      <c r="O101" s="87">
        <f t="shared" si="71"/>
        <v>0</v>
      </c>
      <c r="P101" s="87">
        <f t="shared" si="72"/>
        <v>0</v>
      </c>
    </row>
    <row r="102" spans="2:16" ht="22.5">
      <c r="B102" s="29" t="s">
        <v>315</v>
      </c>
      <c r="C102" s="19" t="s">
        <v>316</v>
      </c>
      <c r="D102" s="85"/>
      <c r="E102" s="85">
        <v>433029781</v>
      </c>
      <c r="F102" s="85"/>
      <c r="G102" s="86">
        <f t="shared" si="63"/>
        <v>0</v>
      </c>
      <c r="H102" s="86">
        <f t="shared" si="64"/>
        <v>0</v>
      </c>
      <c r="I102" s="86">
        <f t="shared" si="65"/>
        <v>0</v>
      </c>
      <c r="J102" s="86">
        <f t="shared" si="66"/>
        <v>0</v>
      </c>
      <c r="K102" s="86">
        <f t="shared" si="67"/>
        <v>0</v>
      </c>
      <c r="L102" s="86">
        <f t="shared" si="68"/>
        <v>0</v>
      </c>
      <c r="M102" s="87">
        <f t="shared" si="69"/>
        <v>0</v>
      </c>
      <c r="N102" s="87">
        <f t="shared" si="70"/>
        <v>0</v>
      </c>
      <c r="O102" s="87">
        <f t="shared" si="71"/>
        <v>0</v>
      </c>
      <c r="P102" s="87">
        <f t="shared" si="72"/>
        <v>0</v>
      </c>
    </row>
    <row r="103" spans="2:16" ht="15">
      <c r="B103" s="29" t="s">
        <v>317</v>
      </c>
      <c r="C103" s="18" t="s">
        <v>99</v>
      </c>
      <c r="D103" s="84">
        <f>SUM(D104:D105)</f>
        <v>0</v>
      </c>
      <c r="E103" s="84">
        <f>SUM(E104:E105)</f>
        <v>0</v>
      </c>
      <c r="F103" s="84">
        <f aca="true" t="shared" si="73" ref="F103:P103">SUM(F104:F105)</f>
        <v>0</v>
      </c>
      <c r="G103" s="84">
        <f t="shared" si="73"/>
        <v>0</v>
      </c>
      <c r="H103" s="84">
        <f t="shared" si="73"/>
        <v>0</v>
      </c>
      <c r="I103" s="84">
        <f t="shared" si="73"/>
        <v>0</v>
      </c>
      <c r="J103" s="84">
        <f t="shared" si="73"/>
        <v>0</v>
      </c>
      <c r="K103" s="84">
        <f t="shared" si="73"/>
        <v>0</v>
      </c>
      <c r="L103" s="84">
        <f t="shared" si="73"/>
        <v>0</v>
      </c>
      <c r="M103" s="84">
        <f t="shared" si="73"/>
        <v>0</v>
      </c>
      <c r="N103" s="84">
        <f t="shared" si="73"/>
        <v>0</v>
      </c>
      <c r="O103" s="84">
        <f t="shared" si="73"/>
        <v>0</v>
      </c>
      <c r="P103" s="84">
        <f t="shared" si="73"/>
        <v>0</v>
      </c>
    </row>
    <row r="104" spans="2:16" ht="15">
      <c r="B104" s="29" t="s">
        <v>318</v>
      </c>
      <c r="C104" s="19" t="s">
        <v>319</v>
      </c>
      <c r="D104" s="85"/>
      <c r="E104" s="85"/>
      <c r="F104" s="85"/>
      <c r="G104" s="86">
        <f t="shared" si="63"/>
        <v>0</v>
      </c>
      <c r="H104" s="86">
        <f t="shared" si="64"/>
        <v>0</v>
      </c>
      <c r="I104" s="86">
        <f t="shared" si="65"/>
        <v>0</v>
      </c>
      <c r="J104" s="86">
        <f t="shared" si="66"/>
        <v>0</v>
      </c>
      <c r="K104" s="86">
        <f t="shared" si="67"/>
        <v>0</v>
      </c>
      <c r="L104" s="86">
        <f t="shared" si="68"/>
        <v>0</v>
      </c>
      <c r="M104" s="87">
        <f>L104*$M$3</f>
        <v>0</v>
      </c>
      <c r="N104" s="87">
        <f>M104*$M$3</f>
        <v>0</v>
      </c>
      <c r="O104" s="87">
        <f t="shared" si="71"/>
        <v>0</v>
      </c>
      <c r="P104" s="87">
        <f>O104*$M$3</f>
        <v>0</v>
      </c>
    </row>
    <row r="105" spans="2:16" ht="15">
      <c r="B105" s="29" t="s">
        <v>320</v>
      </c>
      <c r="C105" s="19" t="s">
        <v>321</v>
      </c>
      <c r="D105" s="85"/>
      <c r="E105" s="85"/>
      <c r="F105" s="85"/>
      <c r="G105" s="86">
        <f t="shared" si="63"/>
        <v>0</v>
      </c>
      <c r="H105" s="86">
        <f t="shared" si="64"/>
        <v>0</v>
      </c>
      <c r="I105" s="86">
        <f t="shared" si="65"/>
        <v>0</v>
      </c>
      <c r="J105" s="86">
        <f t="shared" si="66"/>
        <v>0</v>
      </c>
      <c r="K105" s="86">
        <f t="shared" si="67"/>
        <v>0</v>
      </c>
      <c r="L105" s="86">
        <f t="shared" si="68"/>
        <v>0</v>
      </c>
      <c r="M105" s="87">
        <f>L105*$M$3</f>
        <v>0</v>
      </c>
      <c r="N105" s="87">
        <f>M105*$M$3</f>
        <v>0</v>
      </c>
      <c r="O105" s="87">
        <f t="shared" si="71"/>
        <v>0</v>
      </c>
      <c r="P105" s="87">
        <f>O105*$M$3</f>
        <v>0</v>
      </c>
    </row>
    <row r="106" spans="2:16" ht="15">
      <c r="B106" s="29" t="s">
        <v>322</v>
      </c>
      <c r="C106" s="18" t="s">
        <v>100</v>
      </c>
      <c r="D106" s="84">
        <f>D107+D108</f>
        <v>29050000</v>
      </c>
      <c r="E106" s="84">
        <f aca="true" t="shared" si="74" ref="E106:P106">E107+E108</f>
        <v>31935911.13</v>
      </c>
      <c r="F106" s="84">
        <f t="shared" si="74"/>
        <v>29050000</v>
      </c>
      <c r="G106" s="84">
        <f t="shared" si="74"/>
        <v>28050000</v>
      </c>
      <c r="H106" s="84">
        <f t="shared" si="74"/>
        <v>29452500</v>
      </c>
      <c r="I106" s="84">
        <f t="shared" si="74"/>
        <v>30925125</v>
      </c>
      <c r="J106" s="84">
        <f t="shared" si="74"/>
        <v>32471381.25</v>
      </c>
      <c r="K106" s="84">
        <f t="shared" si="74"/>
        <v>34094950.3125</v>
      </c>
      <c r="L106" s="84">
        <f t="shared" si="74"/>
        <v>35799697.828125</v>
      </c>
      <c r="M106" s="84">
        <f t="shared" si="74"/>
        <v>37589682.71953125</v>
      </c>
      <c r="N106" s="84">
        <f t="shared" si="74"/>
        <v>39469166.85550781</v>
      </c>
      <c r="O106" s="84">
        <f t="shared" si="74"/>
        <v>41442625.1982832</v>
      </c>
      <c r="P106" s="84">
        <f t="shared" si="74"/>
        <v>43514756.45819737</v>
      </c>
    </row>
    <row r="107" spans="2:16" ht="15">
      <c r="B107" s="29" t="s">
        <v>323</v>
      </c>
      <c r="C107" s="19" t="s">
        <v>324</v>
      </c>
      <c r="D107" s="85">
        <v>13000000</v>
      </c>
      <c r="E107" s="85">
        <v>18644997.63</v>
      </c>
      <c r="F107" s="85">
        <v>13000000</v>
      </c>
      <c r="G107" s="86">
        <f>'[2]INGRESOS'!$C$103</f>
        <v>13000000</v>
      </c>
      <c r="H107" s="86">
        <f t="shared" si="64"/>
        <v>13650000</v>
      </c>
      <c r="I107" s="86">
        <f t="shared" si="65"/>
        <v>14332500</v>
      </c>
      <c r="J107" s="86">
        <f t="shared" si="66"/>
        <v>15049125</v>
      </c>
      <c r="K107" s="86">
        <f t="shared" si="67"/>
        <v>15801581.25</v>
      </c>
      <c r="L107" s="86">
        <f t="shared" si="68"/>
        <v>16591660.3125</v>
      </c>
      <c r="M107" s="87">
        <f>L107*$M$3</f>
        <v>17421243.328125</v>
      </c>
      <c r="N107" s="87">
        <f>M107*$M$3</f>
        <v>18292305.49453125</v>
      </c>
      <c r="O107" s="87">
        <f t="shared" si="71"/>
        <v>19206920.769257814</v>
      </c>
      <c r="P107" s="87">
        <f>O107*$M$3</f>
        <v>20167266.807720706</v>
      </c>
    </row>
    <row r="108" spans="2:16" ht="22.5">
      <c r="B108" s="29" t="s">
        <v>325</v>
      </c>
      <c r="C108" s="18" t="s">
        <v>326</v>
      </c>
      <c r="D108" s="84">
        <f>SUM(D109:D112)</f>
        <v>16050000</v>
      </c>
      <c r="E108" s="84">
        <f>SUM(E109:E112)</f>
        <v>13290913.5</v>
      </c>
      <c r="F108" s="84">
        <f>SUM(F109:F112)</f>
        <v>16050000</v>
      </c>
      <c r="G108" s="84">
        <f aca="true" t="shared" si="75" ref="G108:P108">SUM(G109:G112)</f>
        <v>15050000</v>
      </c>
      <c r="H108" s="84">
        <f t="shared" si="75"/>
        <v>15802500</v>
      </c>
      <c r="I108" s="84">
        <f t="shared" si="75"/>
        <v>16592625</v>
      </c>
      <c r="J108" s="84">
        <f t="shared" si="75"/>
        <v>17422256.25</v>
      </c>
      <c r="K108" s="84">
        <f t="shared" si="75"/>
        <v>18293369.0625</v>
      </c>
      <c r="L108" s="84">
        <f t="shared" si="75"/>
        <v>19208037.515625</v>
      </c>
      <c r="M108" s="84">
        <f t="shared" si="75"/>
        <v>20168439.39140625</v>
      </c>
      <c r="N108" s="84">
        <f t="shared" si="75"/>
        <v>21176861.360976562</v>
      </c>
      <c r="O108" s="84">
        <f t="shared" si="75"/>
        <v>22235704.42902539</v>
      </c>
      <c r="P108" s="84">
        <f t="shared" si="75"/>
        <v>23347489.65047666</v>
      </c>
    </row>
    <row r="109" spans="2:16" ht="22.5">
      <c r="B109" s="29" t="s">
        <v>327</v>
      </c>
      <c r="C109" s="19" t="s">
        <v>328</v>
      </c>
      <c r="D109" s="85">
        <v>1000000</v>
      </c>
      <c r="E109" s="85">
        <v>1591143.61</v>
      </c>
      <c r="F109" s="85">
        <v>1000000</v>
      </c>
      <c r="G109" s="86">
        <f>'[2]INGRESOS'!$C$105</f>
        <v>1000000</v>
      </c>
      <c r="H109" s="86">
        <f t="shared" si="64"/>
        <v>1050000</v>
      </c>
      <c r="I109" s="86">
        <f t="shared" si="65"/>
        <v>1102500</v>
      </c>
      <c r="J109" s="86">
        <f t="shared" si="66"/>
        <v>1157625</v>
      </c>
      <c r="K109" s="86">
        <f t="shared" si="67"/>
        <v>1215506.25</v>
      </c>
      <c r="L109" s="86">
        <f t="shared" si="68"/>
        <v>1276281.5625</v>
      </c>
      <c r="M109" s="87">
        <f aca="true" t="shared" si="76" ref="M109:N112">L109*$M$3</f>
        <v>1340095.640625</v>
      </c>
      <c r="N109" s="87">
        <f t="shared" si="76"/>
        <v>1407100.42265625</v>
      </c>
      <c r="O109" s="87">
        <f t="shared" si="71"/>
        <v>1477455.4437890626</v>
      </c>
      <c r="P109" s="87">
        <f>O109*$M$3</f>
        <v>1551328.2159785158</v>
      </c>
    </row>
    <row r="110" spans="2:16" ht="22.5">
      <c r="B110" s="29" t="s">
        <v>329</v>
      </c>
      <c r="C110" s="19" t="s">
        <v>330</v>
      </c>
      <c r="D110" s="85">
        <v>50000</v>
      </c>
      <c r="E110" s="85">
        <v>50000</v>
      </c>
      <c r="F110" s="85">
        <v>50000</v>
      </c>
      <c r="G110" s="86">
        <f>'[2]INGRESOS'!$C$106</f>
        <v>50000</v>
      </c>
      <c r="H110" s="86">
        <f t="shared" si="64"/>
        <v>52500</v>
      </c>
      <c r="I110" s="86">
        <f t="shared" si="65"/>
        <v>55125</v>
      </c>
      <c r="J110" s="86">
        <f t="shared" si="66"/>
        <v>57881.25</v>
      </c>
      <c r="K110" s="86">
        <f t="shared" si="67"/>
        <v>60775.3125</v>
      </c>
      <c r="L110" s="86">
        <f t="shared" si="68"/>
        <v>63814.078125</v>
      </c>
      <c r="M110" s="87">
        <f t="shared" si="76"/>
        <v>67004.78203125</v>
      </c>
      <c r="N110" s="87">
        <f t="shared" si="76"/>
        <v>70355.0211328125</v>
      </c>
      <c r="O110" s="87">
        <f t="shared" si="71"/>
        <v>73872.77218945313</v>
      </c>
      <c r="P110" s="87">
        <f>O110*$M$3</f>
        <v>77566.41079892579</v>
      </c>
    </row>
    <row r="111" spans="2:16" ht="22.5">
      <c r="B111" s="29" t="s">
        <v>331</v>
      </c>
      <c r="C111" s="19" t="s">
        <v>332</v>
      </c>
      <c r="D111" s="85">
        <v>13000000</v>
      </c>
      <c r="E111" s="85">
        <v>9232234.65</v>
      </c>
      <c r="F111" s="85">
        <v>13000000</v>
      </c>
      <c r="G111" s="86">
        <f>'[2]INGRESOS'!$C$107</f>
        <v>13000000</v>
      </c>
      <c r="H111" s="86">
        <f t="shared" si="64"/>
        <v>13650000</v>
      </c>
      <c r="I111" s="86">
        <f t="shared" si="65"/>
        <v>14332500</v>
      </c>
      <c r="J111" s="86">
        <f t="shared" si="66"/>
        <v>15049125</v>
      </c>
      <c r="K111" s="86">
        <f t="shared" si="67"/>
        <v>15801581.25</v>
      </c>
      <c r="L111" s="86">
        <f t="shared" si="68"/>
        <v>16591660.3125</v>
      </c>
      <c r="M111" s="87">
        <f t="shared" si="76"/>
        <v>17421243.328125</v>
      </c>
      <c r="N111" s="87">
        <f t="shared" si="76"/>
        <v>18292305.49453125</v>
      </c>
      <c r="O111" s="87">
        <f t="shared" si="71"/>
        <v>19206920.769257814</v>
      </c>
      <c r="P111" s="87">
        <f>O111*$M$3</f>
        <v>20167266.807720706</v>
      </c>
    </row>
    <row r="112" spans="2:16" ht="22.5">
      <c r="B112" s="29" t="s">
        <v>333</v>
      </c>
      <c r="C112" s="19" t="s">
        <v>334</v>
      </c>
      <c r="D112" s="85">
        <v>2000000</v>
      </c>
      <c r="E112" s="85">
        <v>2417535.24</v>
      </c>
      <c r="F112" s="85">
        <v>2000000</v>
      </c>
      <c r="G112" s="86">
        <f>'[2]INGRESOS'!$C$108</f>
        <v>1000000</v>
      </c>
      <c r="H112" s="86">
        <f t="shared" si="64"/>
        <v>1050000</v>
      </c>
      <c r="I112" s="86">
        <f t="shared" si="65"/>
        <v>1102500</v>
      </c>
      <c r="J112" s="86">
        <f t="shared" si="66"/>
        <v>1157625</v>
      </c>
      <c r="K112" s="86">
        <f t="shared" si="67"/>
        <v>1215506.25</v>
      </c>
      <c r="L112" s="86">
        <f t="shared" si="68"/>
        <v>1276281.5625</v>
      </c>
      <c r="M112" s="87">
        <f t="shared" si="76"/>
        <v>1340095.640625</v>
      </c>
      <c r="N112" s="87">
        <f t="shared" si="76"/>
        <v>1407100.42265625</v>
      </c>
      <c r="O112" s="87">
        <f t="shared" si="71"/>
        <v>1477455.4437890626</v>
      </c>
      <c r="P112" s="87">
        <f>O112*$M$3</f>
        <v>1551328.2159785158</v>
      </c>
    </row>
    <row r="113" spans="2:16" ht="15">
      <c r="B113" s="29" t="s">
        <v>335</v>
      </c>
      <c r="C113" s="18" t="s">
        <v>103</v>
      </c>
      <c r="D113" s="84">
        <f>D114+D145+D148+D150</f>
        <v>1275459719</v>
      </c>
      <c r="E113" s="84">
        <f>E114+E145+E148+E150</f>
        <v>1904587844.24</v>
      </c>
      <c r="F113" s="84">
        <f aca="true" t="shared" si="77" ref="F113:P113">F114+F145+F148+F150</f>
        <v>1210485594</v>
      </c>
      <c r="G113" s="84">
        <f t="shared" si="77"/>
        <v>1088522314</v>
      </c>
      <c r="H113" s="84">
        <f t="shared" si="77"/>
        <v>1142948429.7</v>
      </c>
      <c r="I113" s="84">
        <f t="shared" si="77"/>
        <v>1200095851.185</v>
      </c>
      <c r="J113" s="84">
        <f t="shared" si="77"/>
        <v>1260100643.74425</v>
      </c>
      <c r="K113" s="84">
        <f t="shared" si="77"/>
        <v>1323105675.9314628</v>
      </c>
      <c r="L113" s="84">
        <f t="shared" si="77"/>
        <v>1389260959.728036</v>
      </c>
      <c r="M113" s="84">
        <f t="shared" si="77"/>
        <v>1458724007.7144375</v>
      </c>
      <c r="N113" s="84">
        <f t="shared" si="77"/>
        <v>1531660208.1001596</v>
      </c>
      <c r="O113" s="84">
        <f t="shared" si="77"/>
        <v>1608243218.5051675</v>
      </c>
      <c r="P113" s="84">
        <f t="shared" si="77"/>
        <v>1688655379.4304264</v>
      </c>
    </row>
    <row r="114" spans="2:16" ht="15">
      <c r="B114" s="29" t="s">
        <v>336</v>
      </c>
      <c r="C114" s="18" t="s">
        <v>337</v>
      </c>
      <c r="D114" s="84">
        <f>D115+D122+D124</f>
        <v>915459719</v>
      </c>
      <c r="E114" s="84">
        <f>E115+E122+E124</f>
        <v>1489528000.24</v>
      </c>
      <c r="F114" s="84">
        <f aca="true" t="shared" si="78" ref="F114:P114">F115+F122+F124</f>
        <v>760485594</v>
      </c>
      <c r="G114" s="84">
        <f t="shared" si="78"/>
        <v>720022314</v>
      </c>
      <c r="H114" s="84">
        <f t="shared" si="78"/>
        <v>756023429.7</v>
      </c>
      <c r="I114" s="84">
        <f t="shared" si="78"/>
        <v>793824601.1850001</v>
      </c>
      <c r="J114" s="84">
        <f t="shared" si="78"/>
        <v>833515831.24425</v>
      </c>
      <c r="K114" s="84">
        <f t="shared" si="78"/>
        <v>875191622.8064626</v>
      </c>
      <c r="L114" s="84">
        <f t="shared" si="78"/>
        <v>918951203.9467858</v>
      </c>
      <c r="M114" s="84">
        <f t="shared" si="78"/>
        <v>964898764.144125</v>
      </c>
      <c r="N114" s="84">
        <f t="shared" si="78"/>
        <v>1013143702.3513315</v>
      </c>
      <c r="O114" s="84">
        <f t="shared" si="78"/>
        <v>1063800887.468898</v>
      </c>
      <c r="P114" s="84">
        <f t="shared" si="78"/>
        <v>1116990931.842343</v>
      </c>
    </row>
    <row r="115" spans="2:16" ht="15">
      <c r="B115" s="29" t="s">
        <v>338</v>
      </c>
      <c r="C115" s="18" t="s">
        <v>339</v>
      </c>
      <c r="D115" s="84">
        <f>SUM(D116:D121)</f>
        <v>872907816</v>
      </c>
      <c r="E115" s="84">
        <f>SUM(E116:E121)</f>
        <v>708214880.99</v>
      </c>
      <c r="F115" s="84">
        <f aca="true" t="shared" si="79" ref="F115:P115">SUM(F116:F121)</f>
        <v>714884604</v>
      </c>
      <c r="G115" s="84">
        <f t="shared" si="79"/>
        <v>670757670</v>
      </c>
      <c r="H115" s="84">
        <f t="shared" si="79"/>
        <v>704295553.5</v>
      </c>
      <c r="I115" s="84">
        <f t="shared" si="79"/>
        <v>739510331.1750001</v>
      </c>
      <c r="J115" s="84">
        <f t="shared" si="79"/>
        <v>776485847.7337501</v>
      </c>
      <c r="K115" s="84">
        <f t="shared" si="79"/>
        <v>815310140.1204376</v>
      </c>
      <c r="L115" s="84">
        <f t="shared" si="79"/>
        <v>856075647.1264596</v>
      </c>
      <c r="M115" s="84">
        <f t="shared" si="79"/>
        <v>898879429.4827825</v>
      </c>
      <c r="N115" s="84">
        <f t="shared" si="79"/>
        <v>943823400.9569217</v>
      </c>
      <c r="O115" s="84">
        <f t="shared" si="79"/>
        <v>991014571.0047679</v>
      </c>
      <c r="P115" s="84">
        <f t="shared" si="79"/>
        <v>1040565299.5550064</v>
      </c>
    </row>
    <row r="116" spans="2:16" ht="15">
      <c r="B116" s="29" t="s">
        <v>340</v>
      </c>
      <c r="C116" s="19" t="s">
        <v>341</v>
      </c>
      <c r="D116" s="85">
        <v>403535181</v>
      </c>
      <c r="E116" s="85">
        <f>441919776+40396568</f>
        <v>482316344</v>
      </c>
      <c r="F116" s="85">
        <v>444362255</v>
      </c>
      <c r="G116" s="86">
        <f>'[2]INGRESOS'!$C$112+50924992</f>
        <v>400235321</v>
      </c>
      <c r="H116" s="86">
        <f aca="true" t="shared" si="80" ref="H116:H123">G116*$H$3</f>
        <v>420247087.05</v>
      </c>
      <c r="I116" s="86">
        <f aca="true" t="shared" si="81" ref="I116:I123">H116*$I$3</f>
        <v>441259441.40250003</v>
      </c>
      <c r="J116" s="86">
        <f aca="true" t="shared" si="82" ref="J116:J123">I116*$J$3</f>
        <v>463322413.4726251</v>
      </c>
      <c r="K116" s="86">
        <f aca="true" t="shared" si="83" ref="K116:K123">J116*$K$3</f>
        <v>486488534.1462563</v>
      </c>
      <c r="L116" s="86">
        <f aca="true" t="shared" si="84" ref="L116:L123">K116*$L$3</f>
        <v>510812960.85356915</v>
      </c>
      <c r="M116" s="87">
        <f aca="true" t="shared" si="85" ref="M116:M121">L116*$M$3</f>
        <v>536353608.8962476</v>
      </c>
      <c r="N116" s="87">
        <f aca="true" t="shared" si="86" ref="N116:O121">M116*$M$3</f>
        <v>563171289.34106</v>
      </c>
      <c r="O116" s="87">
        <f t="shared" si="86"/>
        <v>591329853.8081131</v>
      </c>
      <c r="P116" s="87">
        <f aca="true" t="shared" si="87" ref="P116:P121">O116*$M$3</f>
        <v>620896346.4985188</v>
      </c>
    </row>
    <row r="117" spans="2:16" ht="15">
      <c r="B117" s="29" t="s">
        <v>342</v>
      </c>
      <c r="C117" s="19" t="s">
        <v>343</v>
      </c>
      <c r="D117" s="85">
        <v>3934982</v>
      </c>
      <c r="E117" s="85">
        <v>4351267</v>
      </c>
      <c r="F117" s="85"/>
      <c r="G117" s="86">
        <f>'[2]INGRESOS'!$C$113</f>
        <v>0</v>
      </c>
      <c r="H117" s="86">
        <f t="shared" si="80"/>
        <v>0</v>
      </c>
      <c r="I117" s="86">
        <f t="shared" si="81"/>
        <v>0</v>
      </c>
      <c r="J117" s="86">
        <f t="shared" si="82"/>
        <v>0</v>
      </c>
      <c r="K117" s="86">
        <f t="shared" si="83"/>
        <v>0</v>
      </c>
      <c r="L117" s="86">
        <f t="shared" si="84"/>
        <v>0</v>
      </c>
      <c r="M117" s="87">
        <f t="shared" si="85"/>
        <v>0</v>
      </c>
      <c r="N117" s="87">
        <f t="shared" si="86"/>
        <v>0</v>
      </c>
      <c r="O117" s="87">
        <f t="shared" si="86"/>
        <v>0</v>
      </c>
      <c r="P117" s="87">
        <f t="shared" si="87"/>
        <v>0</v>
      </c>
    </row>
    <row r="118" spans="2:16" ht="15">
      <c r="B118" s="29" t="s">
        <v>344</v>
      </c>
      <c r="C118" s="19" t="s">
        <v>345</v>
      </c>
      <c r="D118" s="85">
        <v>200000000</v>
      </c>
      <c r="E118" s="85">
        <f>73654742.2+37932900</f>
        <v>111587642.2</v>
      </c>
      <c r="F118" s="85"/>
      <c r="G118" s="86">
        <f>'[2]INGRESOS'!$C$114</f>
        <v>0</v>
      </c>
      <c r="H118" s="86">
        <f t="shared" si="80"/>
        <v>0</v>
      </c>
      <c r="I118" s="86">
        <f t="shared" si="81"/>
        <v>0</v>
      </c>
      <c r="J118" s="86">
        <f t="shared" si="82"/>
        <v>0</v>
      </c>
      <c r="K118" s="86">
        <f t="shared" si="83"/>
        <v>0</v>
      </c>
      <c r="L118" s="86">
        <f t="shared" si="84"/>
        <v>0</v>
      </c>
      <c r="M118" s="87">
        <f t="shared" si="85"/>
        <v>0</v>
      </c>
      <c r="N118" s="87">
        <f t="shared" si="86"/>
        <v>0</v>
      </c>
      <c r="O118" s="87">
        <f t="shared" si="86"/>
        <v>0</v>
      </c>
      <c r="P118" s="87">
        <f t="shared" si="87"/>
        <v>0</v>
      </c>
    </row>
    <row r="119" spans="2:16" ht="15">
      <c r="B119" s="29" t="s">
        <v>346</v>
      </c>
      <c r="C119" s="19" t="s">
        <v>347</v>
      </c>
      <c r="D119" s="85">
        <v>112491533</v>
      </c>
      <c r="E119" s="85">
        <v>57833618</v>
      </c>
      <c r="F119" s="85">
        <v>112491533</v>
      </c>
      <c r="G119" s="86">
        <f>'[2]INGRESOS'!$C$115</f>
        <v>112491533</v>
      </c>
      <c r="H119" s="86">
        <f t="shared" si="80"/>
        <v>118116109.65</v>
      </c>
      <c r="I119" s="86">
        <f t="shared" si="81"/>
        <v>124021915.13250001</v>
      </c>
      <c r="J119" s="86">
        <f t="shared" si="82"/>
        <v>130223010.88912502</v>
      </c>
      <c r="K119" s="86">
        <f t="shared" si="83"/>
        <v>136734161.43358126</v>
      </c>
      <c r="L119" s="86">
        <f t="shared" si="84"/>
        <v>143570869.50526032</v>
      </c>
      <c r="M119" s="87">
        <f t="shared" si="85"/>
        <v>150749412.98052335</v>
      </c>
      <c r="N119" s="87">
        <f t="shared" si="86"/>
        <v>158286883.62954953</v>
      </c>
      <c r="O119" s="87">
        <f t="shared" si="86"/>
        <v>166201227.81102702</v>
      </c>
      <c r="P119" s="87">
        <f t="shared" si="87"/>
        <v>174511289.20157838</v>
      </c>
    </row>
    <row r="120" spans="2:16" ht="15">
      <c r="B120" s="29" t="s">
        <v>348</v>
      </c>
      <c r="C120" s="19" t="s">
        <v>349</v>
      </c>
      <c r="D120" s="85">
        <v>8400000</v>
      </c>
      <c r="E120" s="85">
        <v>7676905.79</v>
      </c>
      <c r="F120" s="85">
        <v>8000000</v>
      </c>
      <c r="G120" s="86">
        <f>'[2]INGRESOS'!$C$116</f>
        <v>8000000</v>
      </c>
      <c r="H120" s="86">
        <f t="shared" si="80"/>
        <v>8400000</v>
      </c>
      <c r="I120" s="86">
        <f t="shared" si="81"/>
        <v>8820000</v>
      </c>
      <c r="J120" s="86">
        <f t="shared" si="82"/>
        <v>9261000</v>
      </c>
      <c r="K120" s="86">
        <f t="shared" si="83"/>
        <v>9724050</v>
      </c>
      <c r="L120" s="86">
        <f t="shared" si="84"/>
        <v>10210252.5</v>
      </c>
      <c r="M120" s="87">
        <f t="shared" si="85"/>
        <v>10720765.125</v>
      </c>
      <c r="N120" s="87">
        <f t="shared" si="86"/>
        <v>11256803.38125</v>
      </c>
      <c r="O120" s="87">
        <f t="shared" si="86"/>
        <v>11819643.5503125</v>
      </c>
      <c r="P120" s="87">
        <f t="shared" si="87"/>
        <v>12410625.727828126</v>
      </c>
    </row>
    <row r="121" spans="2:16" ht="15">
      <c r="B121" s="29" t="s">
        <v>350</v>
      </c>
      <c r="C121" s="19" t="s">
        <v>351</v>
      </c>
      <c r="D121" s="85">
        <v>144546120</v>
      </c>
      <c r="E121" s="85">
        <v>44449104</v>
      </c>
      <c r="F121" s="85">
        <v>150030816</v>
      </c>
      <c r="G121" s="86">
        <f>'[2]INGRESOS'!$C$117</f>
        <v>150030816</v>
      </c>
      <c r="H121" s="86">
        <f t="shared" si="80"/>
        <v>157532356.8</v>
      </c>
      <c r="I121" s="86">
        <f t="shared" si="81"/>
        <v>165408974.64000002</v>
      </c>
      <c r="J121" s="86">
        <f t="shared" si="82"/>
        <v>173679423.372</v>
      </c>
      <c r="K121" s="86">
        <f t="shared" si="83"/>
        <v>182363394.54060003</v>
      </c>
      <c r="L121" s="86">
        <f t="shared" si="84"/>
        <v>191481564.26763004</v>
      </c>
      <c r="M121" s="87">
        <f t="shared" si="85"/>
        <v>201055642.48101154</v>
      </c>
      <c r="N121" s="87">
        <f t="shared" si="86"/>
        <v>211108424.60506213</v>
      </c>
      <c r="O121" s="87">
        <f t="shared" si="86"/>
        <v>221663845.83531526</v>
      </c>
      <c r="P121" s="87">
        <f t="shared" si="87"/>
        <v>232747038.12708104</v>
      </c>
    </row>
    <row r="122" spans="2:16" ht="15">
      <c r="B122" s="29" t="s">
        <v>352</v>
      </c>
      <c r="C122" s="18" t="s">
        <v>353</v>
      </c>
      <c r="D122" s="84">
        <f>D123</f>
        <v>32251903</v>
      </c>
      <c r="E122" s="84">
        <f>E123</f>
        <v>38879802</v>
      </c>
      <c r="F122" s="84">
        <f aca="true" t="shared" si="88" ref="F122:P122">F123</f>
        <v>35300990</v>
      </c>
      <c r="G122" s="84">
        <f t="shared" si="88"/>
        <v>44064644</v>
      </c>
      <c r="H122" s="84">
        <f t="shared" si="88"/>
        <v>46267876.2</v>
      </c>
      <c r="I122" s="84">
        <f t="shared" si="88"/>
        <v>48581270.010000005</v>
      </c>
      <c r="J122" s="84">
        <f t="shared" si="88"/>
        <v>51010333.51050001</v>
      </c>
      <c r="K122" s="84">
        <f t="shared" si="88"/>
        <v>53560850.18602501</v>
      </c>
      <c r="L122" s="84">
        <f t="shared" si="88"/>
        <v>56238892.69532626</v>
      </c>
      <c r="M122" s="84">
        <f t="shared" si="88"/>
        <v>59050837.33009258</v>
      </c>
      <c r="N122" s="84">
        <f t="shared" si="88"/>
        <v>62003379.19659721</v>
      </c>
      <c r="O122" s="84">
        <f t="shared" si="88"/>
        <v>65103548.15642708</v>
      </c>
      <c r="P122" s="84">
        <f t="shared" si="88"/>
        <v>68358725.56424843</v>
      </c>
    </row>
    <row r="123" spans="2:16" ht="15">
      <c r="B123" s="29" t="s">
        <v>354</v>
      </c>
      <c r="C123" s="19" t="s">
        <v>355</v>
      </c>
      <c r="D123" s="85">
        <v>32251903</v>
      </c>
      <c r="E123" s="85">
        <v>38879802</v>
      </c>
      <c r="F123" s="85">
        <v>35300990</v>
      </c>
      <c r="G123" s="86">
        <f>'[2]INGRESOS'!$C$119+6470063</f>
        <v>44064644</v>
      </c>
      <c r="H123" s="86">
        <f t="shared" si="80"/>
        <v>46267876.2</v>
      </c>
      <c r="I123" s="86">
        <f t="shared" si="81"/>
        <v>48581270.010000005</v>
      </c>
      <c r="J123" s="86">
        <f t="shared" si="82"/>
        <v>51010333.51050001</v>
      </c>
      <c r="K123" s="86">
        <f t="shared" si="83"/>
        <v>53560850.18602501</v>
      </c>
      <c r="L123" s="86">
        <f t="shared" si="84"/>
        <v>56238892.69532626</v>
      </c>
      <c r="M123" s="87">
        <f>L123*$M$3</f>
        <v>59050837.33009258</v>
      </c>
      <c r="N123" s="87">
        <f>M123*$M$3</f>
        <v>62003379.19659721</v>
      </c>
      <c r="O123" s="87">
        <f>N123*$M$3</f>
        <v>65103548.15642708</v>
      </c>
      <c r="P123" s="87">
        <f>O123*$M$3</f>
        <v>68358725.56424843</v>
      </c>
    </row>
    <row r="124" spans="2:16" ht="15">
      <c r="B124" s="29" t="s">
        <v>356</v>
      </c>
      <c r="C124" s="18" t="s">
        <v>357</v>
      </c>
      <c r="D124" s="84">
        <f>D125+D133+D142</f>
        <v>10300000</v>
      </c>
      <c r="E124" s="84">
        <f>E125+E133+E142</f>
        <v>742433317.25</v>
      </c>
      <c r="F124" s="84">
        <f aca="true" t="shared" si="89" ref="F124:P124">F125+F133+F142</f>
        <v>10300000</v>
      </c>
      <c r="G124" s="84">
        <f t="shared" si="89"/>
        <v>5200000</v>
      </c>
      <c r="H124" s="84">
        <f t="shared" si="89"/>
        <v>5460000</v>
      </c>
      <c r="I124" s="84">
        <f t="shared" si="89"/>
        <v>5733000</v>
      </c>
      <c r="J124" s="84">
        <f t="shared" si="89"/>
        <v>6019650</v>
      </c>
      <c r="K124" s="84">
        <f t="shared" si="89"/>
        <v>6320632.5</v>
      </c>
      <c r="L124" s="84">
        <f t="shared" si="89"/>
        <v>6636664.125</v>
      </c>
      <c r="M124" s="84">
        <f t="shared" si="89"/>
        <v>6968497.33125</v>
      </c>
      <c r="N124" s="84">
        <f t="shared" si="89"/>
        <v>7316922.1978125</v>
      </c>
      <c r="O124" s="84">
        <f t="shared" si="89"/>
        <v>7682768.307703126</v>
      </c>
      <c r="P124" s="84">
        <f t="shared" si="89"/>
        <v>8066906.723088283</v>
      </c>
    </row>
    <row r="125" spans="2:16" ht="15">
      <c r="B125" s="29" t="s">
        <v>358</v>
      </c>
      <c r="C125" s="18" t="s">
        <v>359</v>
      </c>
      <c r="D125" s="84">
        <f>SUM(D126:D132)</f>
        <v>0</v>
      </c>
      <c r="E125" s="84">
        <f>SUM(E126:E132)</f>
        <v>197328824</v>
      </c>
      <c r="F125" s="84">
        <f aca="true" t="shared" si="90" ref="F125:P125">SUM(F126:F132)</f>
        <v>0</v>
      </c>
      <c r="G125" s="84">
        <f t="shared" si="90"/>
        <v>0</v>
      </c>
      <c r="H125" s="84">
        <f t="shared" si="90"/>
        <v>0</v>
      </c>
      <c r="I125" s="84">
        <f t="shared" si="90"/>
        <v>0</v>
      </c>
      <c r="J125" s="84">
        <f t="shared" si="90"/>
        <v>0</v>
      </c>
      <c r="K125" s="84">
        <f t="shared" si="90"/>
        <v>0</v>
      </c>
      <c r="L125" s="84">
        <f t="shared" si="90"/>
        <v>0</v>
      </c>
      <c r="M125" s="84">
        <f t="shared" si="90"/>
        <v>0</v>
      </c>
      <c r="N125" s="84">
        <f t="shared" si="90"/>
        <v>0</v>
      </c>
      <c r="O125" s="84">
        <f t="shared" si="90"/>
        <v>0</v>
      </c>
      <c r="P125" s="84">
        <f t="shared" si="90"/>
        <v>0</v>
      </c>
    </row>
    <row r="126" spans="2:16" ht="15">
      <c r="B126" s="29" t="s">
        <v>360</v>
      </c>
      <c r="C126" s="19" t="s">
        <v>361</v>
      </c>
      <c r="D126" s="85"/>
      <c r="E126" s="85">
        <v>256930</v>
      </c>
      <c r="F126" s="85"/>
      <c r="G126" s="86">
        <f aca="true" t="shared" si="91" ref="G126:G149">F126*$G$3</f>
        <v>0</v>
      </c>
      <c r="H126" s="86">
        <f aca="true" t="shared" si="92" ref="H126:H149">G126*$H$3</f>
        <v>0</v>
      </c>
      <c r="I126" s="86">
        <f aca="true" t="shared" si="93" ref="I126:I149">H126*$I$3</f>
        <v>0</v>
      </c>
      <c r="J126" s="86">
        <f aca="true" t="shared" si="94" ref="J126:J149">I126*$J$3</f>
        <v>0</v>
      </c>
      <c r="K126" s="86">
        <f aca="true" t="shared" si="95" ref="K126:K149">J126*$K$3</f>
        <v>0</v>
      </c>
      <c r="L126" s="86">
        <f aca="true" t="shared" si="96" ref="L126:L149">K126*$L$3</f>
        <v>0</v>
      </c>
      <c r="M126" s="87">
        <f aca="true" t="shared" si="97" ref="M126:M132">L126*$M$3</f>
        <v>0</v>
      </c>
      <c r="N126" s="87">
        <f aca="true" t="shared" si="98" ref="N126:N132">M126*$M$3</f>
        <v>0</v>
      </c>
      <c r="O126" s="87">
        <f aca="true" t="shared" si="99" ref="O126:O132">N126*$M$3</f>
        <v>0</v>
      </c>
      <c r="P126" s="87">
        <f aca="true" t="shared" si="100" ref="P126:P132">O126*$M$3</f>
        <v>0</v>
      </c>
    </row>
    <row r="127" spans="2:16" ht="15">
      <c r="B127" s="29" t="s">
        <v>362</v>
      </c>
      <c r="C127" s="19" t="s">
        <v>363</v>
      </c>
      <c r="D127" s="85"/>
      <c r="E127" s="85"/>
      <c r="F127" s="85"/>
      <c r="G127" s="86">
        <f t="shared" si="91"/>
        <v>0</v>
      </c>
      <c r="H127" s="86">
        <f t="shared" si="92"/>
        <v>0</v>
      </c>
      <c r="I127" s="86">
        <f t="shared" si="93"/>
        <v>0</v>
      </c>
      <c r="J127" s="86">
        <f t="shared" si="94"/>
        <v>0</v>
      </c>
      <c r="K127" s="86">
        <f t="shared" si="95"/>
        <v>0</v>
      </c>
      <c r="L127" s="86">
        <f t="shared" si="96"/>
        <v>0</v>
      </c>
      <c r="M127" s="87">
        <f t="shared" si="97"/>
        <v>0</v>
      </c>
      <c r="N127" s="87">
        <f t="shared" si="98"/>
        <v>0</v>
      </c>
      <c r="O127" s="87">
        <f t="shared" si="99"/>
        <v>0</v>
      </c>
      <c r="P127" s="87">
        <f t="shared" si="100"/>
        <v>0</v>
      </c>
    </row>
    <row r="128" spans="2:16" ht="15">
      <c r="B128" s="29" t="s">
        <v>364</v>
      </c>
      <c r="C128" s="19" t="s">
        <v>365</v>
      </c>
      <c r="D128" s="85"/>
      <c r="E128" s="85">
        <v>1897143</v>
      </c>
      <c r="F128" s="85"/>
      <c r="G128" s="86">
        <f t="shared" si="91"/>
        <v>0</v>
      </c>
      <c r="H128" s="86">
        <f t="shared" si="92"/>
        <v>0</v>
      </c>
      <c r="I128" s="86">
        <f t="shared" si="93"/>
        <v>0</v>
      </c>
      <c r="J128" s="86">
        <f t="shared" si="94"/>
        <v>0</v>
      </c>
      <c r="K128" s="86">
        <f t="shared" si="95"/>
        <v>0</v>
      </c>
      <c r="L128" s="86">
        <f t="shared" si="96"/>
        <v>0</v>
      </c>
      <c r="M128" s="87">
        <f t="shared" si="97"/>
        <v>0</v>
      </c>
      <c r="N128" s="87">
        <f t="shared" si="98"/>
        <v>0</v>
      </c>
      <c r="O128" s="87">
        <f t="shared" si="99"/>
        <v>0</v>
      </c>
      <c r="P128" s="87">
        <f t="shared" si="100"/>
        <v>0</v>
      </c>
    </row>
    <row r="129" spans="2:16" ht="15">
      <c r="B129" s="29" t="s">
        <v>366</v>
      </c>
      <c r="C129" s="19" t="s">
        <v>367</v>
      </c>
      <c r="D129" s="85"/>
      <c r="E129" s="85"/>
      <c r="F129" s="85"/>
      <c r="G129" s="86">
        <f t="shared" si="91"/>
        <v>0</v>
      </c>
      <c r="H129" s="86">
        <f t="shared" si="92"/>
        <v>0</v>
      </c>
      <c r="I129" s="86">
        <f t="shared" si="93"/>
        <v>0</v>
      </c>
      <c r="J129" s="86">
        <f t="shared" si="94"/>
        <v>0</v>
      </c>
      <c r="K129" s="86">
        <f t="shared" si="95"/>
        <v>0</v>
      </c>
      <c r="L129" s="86">
        <f t="shared" si="96"/>
        <v>0</v>
      </c>
      <c r="M129" s="87">
        <f t="shared" si="97"/>
        <v>0</v>
      </c>
      <c r="N129" s="87">
        <f t="shared" si="98"/>
        <v>0</v>
      </c>
      <c r="O129" s="87">
        <f t="shared" si="99"/>
        <v>0</v>
      </c>
      <c r="P129" s="87">
        <f t="shared" si="100"/>
        <v>0</v>
      </c>
    </row>
    <row r="130" spans="2:16" ht="15">
      <c r="B130" s="29" t="s">
        <v>368</v>
      </c>
      <c r="C130" s="19" t="s">
        <v>369</v>
      </c>
      <c r="D130" s="85"/>
      <c r="E130" s="85">
        <v>53207005</v>
      </c>
      <c r="F130" s="85"/>
      <c r="G130" s="86">
        <f t="shared" si="91"/>
        <v>0</v>
      </c>
      <c r="H130" s="86">
        <f t="shared" si="92"/>
        <v>0</v>
      </c>
      <c r="I130" s="86">
        <f t="shared" si="93"/>
        <v>0</v>
      </c>
      <c r="J130" s="86">
        <f t="shared" si="94"/>
        <v>0</v>
      </c>
      <c r="K130" s="86">
        <f t="shared" si="95"/>
        <v>0</v>
      </c>
      <c r="L130" s="86">
        <f t="shared" si="96"/>
        <v>0</v>
      </c>
      <c r="M130" s="87">
        <f t="shared" si="97"/>
        <v>0</v>
      </c>
      <c r="N130" s="87">
        <f t="shared" si="98"/>
        <v>0</v>
      </c>
      <c r="O130" s="87">
        <f t="shared" si="99"/>
        <v>0</v>
      </c>
      <c r="P130" s="87">
        <f t="shared" si="100"/>
        <v>0</v>
      </c>
    </row>
    <row r="131" spans="2:16" ht="15">
      <c r="B131" s="29" t="s">
        <v>370</v>
      </c>
      <c r="C131" s="19" t="s">
        <v>371</v>
      </c>
      <c r="D131" s="85"/>
      <c r="E131" s="85">
        <v>133666485</v>
      </c>
      <c r="F131" s="85"/>
      <c r="G131" s="86">
        <f t="shared" si="91"/>
        <v>0</v>
      </c>
      <c r="H131" s="86">
        <f t="shared" si="92"/>
        <v>0</v>
      </c>
      <c r="I131" s="86">
        <f t="shared" si="93"/>
        <v>0</v>
      </c>
      <c r="J131" s="86">
        <f t="shared" si="94"/>
        <v>0</v>
      </c>
      <c r="K131" s="86">
        <f t="shared" si="95"/>
        <v>0</v>
      </c>
      <c r="L131" s="86">
        <f t="shared" si="96"/>
        <v>0</v>
      </c>
      <c r="M131" s="87">
        <f t="shared" si="97"/>
        <v>0</v>
      </c>
      <c r="N131" s="87">
        <f t="shared" si="98"/>
        <v>0</v>
      </c>
      <c r="O131" s="87">
        <f t="shared" si="99"/>
        <v>0</v>
      </c>
      <c r="P131" s="87">
        <f t="shared" si="100"/>
        <v>0</v>
      </c>
    </row>
    <row r="132" spans="2:16" ht="15">
      <c r="B132" s="29" t="s">
        <v>372</v>
      </c>
      <c r="C132" s="19" t="s">
        <v>373</v>
      </c>
      <c r="D132" s="85"/>
      <c r="E132" s="85">
        <v>8301261</v>
      </c>
      <c r="F132" s="85"/>
      <c r="G132" s="86">
        <f t="shared" si="91"/>
        <v>0</v>
      </c>
      <c r="H132" s="86">
        <f t="shared" si="92"/>
        <v>0</v>
      </c>
      <c r="I132" s="86">
        <f t="shared" si="93"/>
        <v>0</v>
      </c>
      <c r="J132" s="86">
        <f t="shared" si="94"/>
        <v>0</v>
      </c>
      <c r="K132" s="86">
        <f t="shared" si="95"/>
        <v>0</v>
      </c>
      <c r="L132" s="86">
        <f t="shared" si="96"/>
        <v>0</v>
      </c>
      <c r="M132" s="87">
        <f t="shared" si="97"/>
        <v>0</v>
      </c>
      <c r="N132" s="87">
        <f t="shared" si="98"/>
        <v>0</v>
      </c>
      <c r="O132" s="87">
        <f t="shared" si="99"/>
        <v>0</v>
      </c>
      <c r="P132" s="87">
        <f t="shared" si="100"/>
        <v>0</v>
      </c>
    </row>
    <row r="133" spans="2:16" ht="22.5">
      <c r="B133" s="29" t="s">
        <v>374</v>
      </c>
      <c r="C133" s="18" t="s">
        <v>375</v>
      </c>
      <c r="D133" s="84">
        <f>SUM(D134:D141)</f>
        <v>0</v>
      </c>
      <c r="E133" s="84">
        <f>SUM(E134:E141)</f>
        <v>532831364.46</v>
      </c>
      <c r="F133" s="84">
        <f aca="true" t="shared" si="101" ref="F133:P133">SUM(F134:F141)</f>
        <v>0</v>
      </c>
      <c r="G133" s="84">
        <f t="shared" si="101"/>
        <v>0</v>
      </c>
      <c r="H133" s="84">
        <f t="shared" si="101"/>
        <v>0</v>
      </c>
      <c r="I133" s="84">
        <f t="shared" si="101"/>
        <v>0</v>
      </c>
      <c r="J133" s="84">
        <f t="shared" si="101"/>
        <v>0</v>
      </c>
      <c r="K133" s="84">
        <f t="shared" si="101"/>
        <v>0</v>
      </c>
      <c r="L133" s="84">
        <f t="shared" si="101"/>
        <v>0</v>
      </c>
      <c r="M133" s="84">
        <f t="shared" si="101"/>
        <v>0</v>
      </c>
      <c r="N133" s="84">
        <f t="shared" si="101"/>
        <v>0</v>
      </c>
      <c r="O133" s="84">
        <f t="shared" si="101"/>
        <v>0</v>
      </c>
      <c r="P133" s="84">
        <f t="shared" si="101"/>
        <v>0</v>
      </c>
    </row>
    <row r="134" spans="2:16" ht="15">
      <c r="B134" s="29" t="s">
        <v>376</v>
      </c>
      <c r="C134" s="19" t="s">
        <v>361</v>
      </c>
      <c r="D134" s="85"/>
      <c r="E134" s="85">
        <v>410916134.4</v>
      </c>
      <c r="F134" s="85"/>
      <c r="G134" s="86">
        <f t="shared" si="91"/>
        <v>0</v>
      </c>
      <c r="H134" s="86">
        <f t="shared" si="92"/>
        <v>0</v>
      </c>
      <c r="I134" s="86">
        <f t="shared" si="93"/>
        <v>0</v>
      </c>
      <c r="J134" s="86">
        <f t="shared" si="94"/>
        <v>0</v>
      </c>
      <c r="K134" s="86">
        <f t="shared" si="95"/>
        <v>0</v>
      </c>
      <c r="L134" s="86">
        <f t="shared" si="96"/>
        <v>0</v>
      </c>
      <c r="M134" s="87">
        <f aca="true" t="shared" si="102" ref="M134:M141">L134*$M$3</f>
        <v>0</v>
      </c>
      <c r="N134" s="87">
        <f aca="true" t="shared" si="103" ref="N134:N141">M134*$M$3</f>
        <v>0</v>
      </c>
      <c r="O134" s="87">
        <f aca="true" t="shared" si="104" ref="O134:O141">N134*$M$3</f>
        <v>0</v>
      </c>
      <c r="P134" s="87">
        <f aca="true" t="shared" si="105" ref="P134:P141">O134*$M$3</f>
        <v>0</v>
      </c>
    </row>
    <row r="135" spans="2:16" ht="15">
      <c r="B135" s="29" t="s">
        <v>377</v>
      </c>
      <c r="C135" s="19" t="s">
        <v>363</v>
      </c>
      <c r="D135" s="85"/>
      <c r="E135" s="85"/>
      <c r="F135" s="85"/>
      <c r="G135" s="86">
        <f t="shared" si="91"/>
        <v>0</v>
      </c>
      <c r="H135" s="86">
        <f t="shared" si="92"/>
        <v>0</v>
      </c>
      <c r="I135" s="86">
        <f t="shared" si="93"/>
        <v>0</v>
      </c>
      <c r="J135" s="86">
        <f t="shared" si="94"/>
        <v>0</v>
      </c>
      <c r="K135" s="86">
        <f t="shared" si="95"/>
        <v>0</v>
      </c>
      <c r="L135" s="86">
        <f t="shared" si="96"/>
        <v>0</v>
      </c>
      <c r="M135" s="87">
        <f t="shared" si="102"/>
        <v>0</v>
      </c>
      <c r="N135" s="87">
        <f t="shared" si="103"/>
        <v>0</v>
      </c>
      <c r="O135" s="87">
        <f t="shared" si="104"/>
        <v>0</v>
      </c>
      <c r="P135" s="87">
        <f t="shared" si="105"/>
        <v>0</v>
      </c>
    </row>
    <row r="136" spans="2:16" ht="15">
      <c r="B136" s="29" t="s">
        <v>378</v>
      </c>
      <c r="C136" s="19" t="s">
        <v>365</v>
      </c>
      <c r="D136" s="85"/>
      <c r="E136" s="85"/>
      <c r="F136" s="85"/>
      <c r="G136" s="86">
        <f t="shared" si="91"/>
        <v>0</v>
      </c>
      <c r="H136" s="86">
        <f t="shared" si="92"/>
        <v>0</v>
      </c>
      <c r="I136" s="86">
        <f t="shared" si="93"/>
        <v>0</v>
      </c>
      <c r="J136" s="86">
        <f t="shared" si="94"/>
        <v>0</v>
      </c>
      <c r="K136" s="86">
        <f t="shared" si="95"/>
        <v>0</v>
      </c>
      <c r="L136" s="86">
        <f t="shared" si="96"/>
        <v>0</v>
      </c>
      <c r="M136" s="87">
        <f t="shared" si="102"/>
        <v>0</v>
      </c>
      <c r="N136" s="87">
        <f t="shared" si="103"/>
        <v>0</v>
      </c>
      <c r="O136" s="87">
        <f t="shared" si="104"/>
        <v>0</v>
      </c>
      <c r="P136" s="87">
        <f t="shared" si="105"/>
        <v>0</v>
      </c>
    </row>
    <row r="137" spans="2:16" ht="15">
      <c r="B137" s="29" t="s">
        <v>379</v>
      </c>
      <c r="C137" s="19" t="s">
        <v>367</v>
      </c>
      <c r="D137" s="85"/>
      <c r="E137" s="85">
        <v>121915230.06</v>
      </c>
      <c r="F137" s="85"/>
      <c r="G137" s="86">
        <f t="shared" si="91"/>
        <v>0</v>
      </c>
      <c r="H137" s="86">
        <f t="shared" si="92"/>
        <v>0</v>
      </c>
      <c r="I137" s="86">
        <f t="shared" si="93"/>
        <v>0</v>
      </c>
      <c r="J137" s="86">
        <f t="shared" si="94"/>
        <v>0</v>
      </c>
      <c r="K137" s="86">
        <f t="shared" si="95"/>
        <v>0</v>
      </c>
      <c r="L137" s="86">
        <f t="shared" si="96"/>
        <v>0</v>
      </c>
      <c r="M137" s="87">
        <f t="shared" si="102"/>
        <v>0</v>
      </c>
      <c r="N137" s="87">
        <f t="shared" si="103"/>
        <v>0</v>
      </c>
      <c r="O137" s="87">
        <f t="shared" si="104"/>
        <v>0</v>
      </c>
      <c r="P137" s="87">
        <f t="shared" si="105"/>
        <v>0</v>
      </c>
    </row>
    <row r="138" spans="2:16" ht="15">
      <c r="B138" s="29" t="s">
        <v>380</v>
      </c>
      <c r="C138" s="19" t="s">
        <v>369</v>
      </c>
      <c r="D138" s="85"/>
      <c r="E138" s="85"/>
      <c r="F138" s="85"/>
      <c r="G138" s="86">
        <f t="shared" si="91"/>
        <v>0</v>
      </c>
      <c r="H138" s="86">
        <f t="shared" si="92"/>
        <v>0</v>
      </c>
      <c r="I138" s="86">
        <f t="shared" si="93"/>
        <v>0</v>
      </c>
      <c r="J138" s="86">
        <f t="shared" si="94"/>
        <v>0</v>
      </c>
      <c r="K138" s="86">
        <f t="shared" si="95"/>
        <v>0</v>
      </c>
      <c r="L138" s="86">
        <f t="shared" si="96"/>
        <v>0</v>
      </c>
      <c r="M138" s="87">
        <f t="shared" si="102"/>
        <v>0</v>
      </c>
      <c r="N138" s="87">
        <f t="shared" si="103"/>
        <v>0</v>
      </c>
      <c r="O138" s="87">
        <f t="shared" si="104"/>
        <v>0</v>
      </c>
      <c r="P138" s="87">
        <f t="shared" si="105"/>
        <v>0</v>
      </c>
    </row>
    <row r="139" spans="2:16" ht="15">
      <c r="B139" s="29" t="s">
        <v>381</v>
      </c>
      <c r="C139" s="19" t="s">
        <v>382</v>
      </c>
      <c r="D139" s="85"/>
      <c r="E139" s="85"/>
      <c r="F139" s="85"/>
      <c r="G139" s="86">
        <f t="shared" si="91"/>
        <v>0</v>
      </c>
      <c r="H139" s="86">
        <f t="shared" si="92"/>
        <v>0</v>
      </c>
      <c r="I139" s="86">
        <f t="shared" si="93"/>
        <v>0</v>
      </c>
      <c r="J139" s="86">
        <f t="shared" si="94"/>
        <v>0</v>
      </c>
      <c r="K139" s="86">
        <f t="shared" si="95"/>
        <v>0</v>
      </c>
      <c r="L139" s="86">
        <f t="shared" si="96"/>
        <v>0</v>
      </c>
      <c r="M139" s="87">
        <f t="shared" si="102"/>
        <v>0</v>
      </c>
      <c r="N139" s="87">
        <f t="shared" si="103"/>
        <v>0</v>
      </c>
      <c r="O139" s="87">
        <f t="shared" si="104"/>
        <v>0</v>
      </c>
      <c r="P139" s="87">
        <f t="shared" si="105"/>
        <v>0</v>
      </c>
    </row>
    <row r="140" spans="2:16" ht="15">
      <c r="B140" s="29" t="s">
        <v>383</v>
      </c>
      <c r="C140" s="19" t="s">
        <v>384</v>
      </c>
      <c r="D140" s="85"/>
      <c r="E140" s="85"/>
      <c r="F140" s="85"/>
      <c r="G140" s="86">
        <f t="shared" si="91"/>
        <v>0</v>
      </c>
      <c r="H140" s="86">
        <f t="shared" si="92"/>
        <v>0</v>
      </c>
      <c r="I140" s="86">
        <f t="shared" si="93"/>
        <v>0</v>
      </c>
      <c r="J140" s="86">
        <f t="shared" si="94"/>
        <v>0</v>
      </c>
      <c r="K140" s="86">
        <f t="shared" si="95"/>
        <v>0</v>
      </c>
      <c r="L140" s="86">
        <f t="shared" si="96"/>
        <v>0</v>
      </c>
      <c r="M140" s="87">
        <f t="shared" si="102"/>
        <v>0</v>
      </c>
      <c r="N140" s="87">
        <f t="shared" si="103"/>
        <v>0</v>
      </c>
      <c r="O140" s="87">
        <f t="shared" si="104"/>
        <v>0</v>
      </c>
      <c r="P140" s="87">
        <f t="shared" si="105"/>
        <v>0</v>
      </c>
    </row>
    <row r="141" spans="2:16" ht="15">
      <c r="B141" s="29" t="s">
        <v>385</v>
      </c>
      <c r="C141" s="19" t="s">
        <v>297</v>
      </c>
      <c r="D141" s="85"/>
      <c r="E141" s="85"/>
      <c r="F141" s="85"/>
      <c r="G141" s="86">
        <f t="shared" si="91"/>
        <v>0</v>
      </c>
      <c r="H141" s="86">
        <f t="shared" si="92"/>
        <v>0</v>
      </c>
      <c r="I141" s="86">
        <f t="shared" si="93"/>
        <v>0</v>
      </c>
      <c r="J141" s="86">
        <f t="shared" si="94"/>
        <v>0</v>
      </c>
      <c r="K141" s="86">
        <f t="shared" si="95"/>
        <v>0</v>
      </c>
      <c r="L141" s="86">
        <f t="shared" si="96"/>
        <v>0</v>
      </c>
      <c r="M141" s="87">
        <f t="shared" si="102"/>
        <v>0</v>
      </c>
      <c r="N141" s="87">
        <f t="shared" si="103"/>
        <v>0</v>
      </c>
      <c r="O141" s="87">
        <f t="shared" si="104"/>
        <v>0</v>
      </c>
      <c r="P141" s="87">
        <f t="shared" si="105"/>
        <v>0</v>
      </c>
    </row>
    <row r="142" spans="2:16" ht="15">
      <c r="B142" s="29" t="s">
        <v>386</v>
      </c>
      <c r="C142" s="18" t="s">
        <v>387</v>
      </c>
      <c r="D142" s="84">
        <f>SUM(D143:D144)</f>
        <v>10300000</v>
      </c>
      <c r="E142" s="84">
        <f>SUM(E143:E144)</f>
        <v>12273128.79</v>
      </c>
      <c r="F142" s="84">
        <f>SUM(F143:F144)</f>
        <v>10300000</v>
      </c>
      <c r="G142" s="84">
        <f aca="true" t="shared" si="106" ref="G142:P142">SUM(G143:G144)</f>
        <v>5200000</v>
      </c>
      <c r="H142" s="84">
        <f t="shared" si="106"/>
        <v>5460000</v>
      </c>
      <c r="I142" s="84">
        <f t="shared" si="106"/>
        <v>5733000</v>
      </c>
      <c r="J142" s="84">
        <f t="shared" si="106"/>
        <v>6019650</v>
      </c>
      <c r="K142" s="84">
        <f t="shared" si="106"/>
        <v>6320632.5</v>
      </c>
      <c r="L142" s="84">
        <f t="shared" si="106"/>
        <v>6636664.125</v>
      </c>
      <c r="M142" s="84">
        <f t="shared" si="106"/>
        <v>6968497.33125</v>
      </c>
      <c r="N142" s="84">
        <f t="shared" si="106"/>
        <v>7316922.1978125</v>
      </c>
      <c r="O142" s="84">
        <f t="shared" si="106"/>
        <v>7682768.307703126</v>
      </c>
      <c r="P142" s="84">
        <f t="shared" si="106"/>
        <v>8066906.723088283</v>
      </c>
    </row>
    <row r="143" spans="2:16" ht="15">
      <c r="B143" s="29" t="s">
        <v>388</v>
      </c>
      <c r="C143" s="19" t="s">
        <v>389</v>
      </c>
      <c r="D143" s="85">
        <v>10000000</v>
      </c>
      <c r="E143" s="85">
        <v>12016298.77</v>
      </c>
      <c r="F143" s="85">
        <v>10000000</v>
      </c>
      <c r="G143" s="86">
        <f>'[2]INGRESOS'!$C$134</f>
        <v>5000000</v>
      </c>
      <c r="H143" s="86">
        <f t="shared" si="92"/>
        <v>5250000</v>
      </c>
      <c r="I143" s="86">
        <f t="shared" si="93"/>
        <v>5512500</v>
      </c>
      <c r="J143" s="86">
        <f t="shared" si="94"/>
        <v>5788125</v>
      </c>
      <c r="K143" s="86">
        <f t="shared" si="95"/>
        <v>6077531.25</v>
      </c>
      <c r="L143" s="86">
        <f t="shared" si="96"/>
        <v>6381407.8125</v>
      </c>
      <c r="M143" s="87">
        <f aca="true" t="shared" si="107" ref="M143:P144">L143*$M$3</f>
        <v>6700478.203125</v>
      </c>
      <c r="N143" s="87">
        <f t="shared" si="107"/>
        <v>7035502.11328125</v>
      </c>
      <c r="O143" s="87">
        <f t="shared" si="107"/>
        <v>7387277.218945313</v>
      </c>
      <c r="P143" s="87">
        <f t="shared" si="107"/>
        <v>7756641.0798925795</v>
      </c>
    </row>
    <row r="144" spans="2:16" ht="15">
      <c r="B144" s="29" t="s">
        <v>390</v>
      </c>
      <c r="C144" s="19" t="s">
        <v>365</v>
      </c>
      <c r="D144" s="85">
        <v>300000</v>
      </c>
      <c r="E144" s="85">
        <v>256830.01999999955</v>
      </c>
      <c r="F144" s="85">
        <v>300000</v>
      </c>
      <c r="G144" s="86">
        <f>'[2]INGRESOS'!$C$135</f>
        <v>200000</v>
      </c>
      <c r="H144" s="86">
        <f t="shared" si="92"/>
        <v>210000</v>
      </c>
      <c r="I144" s="86">
        <f t="shared" si="93"/>
        <v>220500</v>
      </c>
      <c r="J144" s="86">
        <f t="shared" si="94"/>
        <v>231525</v>
      </c>
      <c r="K144" s="86">
        <f t="shared" si="95"/>
        <v>243101.25</v>
      </c>
      <c r="L144" s="86">
        <f t="shared" si="96"/>
        <v>255256.3125</v>
      </c>
      <c r="M144" s="87">
        <f t="shared" si="107"/>
        <v>268019.128125</v>
      </c>
      <c r="N144" s="87">
        <f t="shared" si="107"/>
        <v>281420.08453125</v>
      </c>
      <c r="O144" s="87">
        <f t="shared" si="107"/>
        <v>295491.0887578125</v>
      </c>
      <c r="P144" s="87">
        <f t="shared" si="107"/>
        <v>310265.64319570316</v>
      </c>
    </row>
    <row r="145" spans="2:16" ht="15">
      <c r="B145" s="29" t="s">
        <v>391</v>
      </c>
      <c r="C145" s="18" t="s">
        <v>104</v>
      </c>
      <c r="D145" s="84">
        <f>SUM(D146:D147)</f>
        <v>20000000</v>
      </c>
      <c r="E145" s="84">
        <f>SUM(E146:E147)</f>
        <v>22308000</v>
      </c>
      <c r="F145" s="84">
        <f aca="true" t="shared" si="108" ref="F145:P145">SUM(F146:F147)</f>
        <v>100000000</v>
      </c>
      <c r="G145" s="84">
        <f t="shared" si="108"/>
        <v>10000000</v>
      </c>
      <c r="H145" s="84">
        <f t="shared" si="108"/>
        <v>10500000</v>
      </c>
      <c r="I145" s="84">
        <f t="shared" si="108"/>
        <v>11025000</v>
      </c>
      <c r="J145" s="84">
        <f t="shared" si="108"/>
        <v>11576250</v>
      </c>
      <c r="K145" s="84">
        <f t="shared" si="108"/>
        <v>12155062.5</v>
      </c>
      <c r="L145" s="84">
        <f t="shared" si="108"/>
        <v>12762815.625</v>
      </c>
      <c r="M145" s="84">
        <f t="shared" si="108"/>
        <v>13400956.40625</v>
      </c>
      <c r="N145" s="84">
        <f t="shared" si="108"/>
        <v>14071004.2265625</v>
      </c>
      <c r="O145" s="84">
        <f t="shared" si="108"/>
        <v>14774554.437890626</v>
      </c>
      <c r="P145" s="84">
        <f t="shared" si="108"/>
        <v>15513282.159785159</v>
      </c>
    </row>
    <row r="146" spans="2:16" ht="15">
      <c r="B146" s="29" t="s">
        <v>392</v>
      </c>
      <c r="C146" s="19" t="s">
        <v>393</v>
      </c>
      <c r="D146" s="85">
        <v>20000000</v>
      </c>
      <c r="E146" s="85">
        <v>22308000</v>
      </c>
      <c r="F146" s="85">
        <v>100000000</v>
      </c>
      <c r="G146" s="86">
        <f>'[2]INGRESOS'!$C$137</f>
        <v>10000000</v>
      </c>
      <c r="H146" s="86">
        <f t="shared" si="92"/>
        <v>10500000</v>
      </c>
      <c r="I146" s="86">
        <f t="shared" si="93"/>
        <v>11025000</v>
      </c>
      <c r="J146" s="86">
        <f t="shared" si="94"/>
        <v>11576250</v>
      </c>
      <c r="K146" s="86">
        <f t="shared" si="95"/>
        <v>12155062.5</v>
      </c>
      <c r="L146" s="86">
        <f t="shared" si="96"/>
        <v>12762815.625</v>
      </c>
      <c r="M146" s="87">
        <f aca="true" t="shared" si="109" ref="M146:P147">L146*$M$3</f>
        <v>13400956.40625</v>
      </c>
      <c r="N146" s="87">
        <f t="shared" si="109"/>
        <v>14071004.2265625</v>
      </c>
      <c r="O146" s="87">
        <f t="shared" si="109"/>
        <v>14774554.437890626</v>
      </c>
      <c r="P146" s="87">
        <f t="shared" si="109"/>
        <v>15513282.159785159</v>
      </c>
    </row>
    <row r="147" spans="2:16" ht="15">
      <c r="B147" s="29" t="s">
        <v>394</v>
      </c>
      <c r="C147" s="19" t="s">
        <v>395</v>
      </c>
      <c r="D147" s="85"/>
      <c r="E147" s="85"/>
      <c r="F147" s="85"/>
      <c r="G147" s="86">
        <f t="shared" si="91"/>
        <v>0</v>
      </c>
      <c r="H147" s="86">
        <f t="shared" si="92"/>
        <v>0</v>
      </c>
      <c r="I147" s="86">
        <f t="shared" si="93"/>
        <v>0</v>
      </c>
      <c r="J147" s="86">
        <f t="shared" si="94"/>
        <v>0</v>
      </c>
      <c r="K147" s="86">
        <f t="shared" si="95"/>
        <v>0</v>
      </c>
      <c r="L147" s="86">
        <f t="shared" si="96"/>
        <v>0</v>
      </c>
      <c r="M147" s="87">
        <f t="shared" si="109"/>
        <v>0</v>
      </c>
      <c r="N147" s="87">
        <f t="shared" si="109"/>
        <v>0</v>
      </c>
      <c r="O147" s="87">
        <f t="shared" si="109"/>
        <v>0</v>
      </c>
      <c r="P147" s="87">
        <f t="shared" si="109"/>
        <v>0</v>
      </c>
    </row>
    <row r="148" spans="2:16" ht="15">
      <c r="B148" s="29" t="s">
        <v>396</v>
      </c>
      <c r="C148" s="18" t="s">
        <v>397</v>
      </c>
      <c r="D148" s="84">
        <f>D149</f>
        <v>0</v>
      </c>
      <c r="E148" s="84">
        <f>E149</f>
        <v>0</v>
      </c>
      <c r="F148" s="84">
        <f aca="true" t="shared" si="110" ref="F148:P148">F149</f>
        <v>0</v>
      </c>
      <c r="G148" s="84">
        <f t="shared" si="110"/>
        <v>0</v>
      </c>
      <c r="H148" s="84">
        <f t="shared" si="110"/>
        <v>0</v>
      </c>
      <c r="I148" s="84">
        <f t="shared" si="110"/>
        <v>0</v>
      </c>
      <c r="J148" s="84">
        <f t="shared" si="110"/>
        <v>0</v>
      </c>
      <c r="K148" s="84">
        <f t="shared" si="110"/>
        <v>0</v>
      </c>
      <c r="L148" s="84">
        <f t="shared" si="110"/>
        <v>0</v>
      </c>
      <c r="M148" s="84">
        <f t="shared" si="110"/>
        <v>0</v>
      </c>
      <c r="N148" s="84">
        <f t="shared" si="110"/>
        <v>0</v>
      </c>
      <c r="O148" s="84">
        <f t="shared" si="110"/>
        <v>0</v>
      </c>
      <c r="P148" s="84">
        <f t="shared" si="110"/>
        <v>0</v>
      </c>
    </row>
    <row r="149" spans="2:19" ht="15">
      <c r="B149" s="29" t="s">
        <v>398</v>
      </c>
      <c r="C149" s="19" t="s">
        <v>399</v>
      </c>
      <c r="D149" s="85"/>
      <c r="E149" s="85"/>
      <c r="F149" s="85"/>
      <c r="G149" s="86">
        <f t="shared" si="91"/>
        <v>0</v>
      </c>
      <c r="H149" s="86">
        <f t="shared" si="92"/>
        <v>0</v>
      </c>
      <c r="I149" s="86">
        <f t="shared" si="93"/>
        <v>0</v>
      </c>
      <c r="J149" s="86">
        <f t="shared" si="94"/>
        <v>0</v>
      </c>
      <c r="K149" s="86">
        <f t="shared" si="95"/>
        <v>0</v>
      </c>
      <c r="L149" s="86">
        <f t="shared" si="96"/>
        <v>0</v>
      </c>
      <c r="M149" s="87">
        <f>L149*$M$3</f>
        <v>0</v>
      </c>
      <c r="N149" s="87">
        <f>M149*$M$3</f>
        <v>0</v>
      </c>
      <c r="O149" s="87">
        <f>N149*$M$3</f>
        <v>0</v>
      </c>
      <c r="P149" s="87">
        <f>O149*$M$3</f>
        <v>0</v>
      </c>
      <c r="S149"/>
    </row>
    <row r="150" spans="2:19" ht="15">
      <c r="B150" s="29" t="s">
        <v>400</v>
      </c>
      <c r="C150" s="18" t="s">
        <v>401</v>
      </c>
      <c r="D150" s="84">
        <f>D151+D160+D163+D165</f>
        <v>340000000</v>
      </c>
      <c r="E150" s="84">
        <f>E151+E160+E163+E165</f>
        <v>392751844</v>
      </c>
      <c r="F150" s="84">
        <f aca="true" t="shared" si="111" ref="F150:P150">F151+F160+F163+F165</f>
        <v>350000000</v>
      </c>
      <c r="G150" s="84">
        <f t="shared" si="111"/>
        <v>358500000</v>
      </c>
      <c r="H150" s="84">
        <f t="shared" si="111"/>
        <v>376425000</v>
      </c>
      <c r="I150" s="84">
        <f t="shared" si="111"/>
        <v>395246250</v>
      </c>
      <c r="J150" s="84">
        <f t="shared" si="111"/>
        <v>415008562.5</v>
      </c>
      <c r="K150" s="84">
        <f t="shared" si="111"/>
        <v>435758990.625</v>
      </c>
      <c r="L150" s="84">
        <f t="shared" si="111"/>
        <v>457546940.15625</v>
      </c>
      <c r="M150" s="84">
        <f t="shared" si="111"/>
        <v>480424287.1640625</v>
      </c>
      <c r="N150" s="84">
        <f t="shared" si="111"/>
        <v>504445501.5222657</v>
      </c>
      <c r="O150" s="84">
        <f t="shared" si="111"/>
        <v>529667776.598379</v>
      </c>
      <c r="P150" s="84">
        <f t="shared" si="111"/>
        <v>556151165.428298</v>
      </c>
      <c r="S150"/>
    </row>
    <row r="151" spans="2:19" ht="15">
      <c r="B151" s="29" t="s">
        <v>402</v>
      </c>
      <c r="C151" s="18" t="s">
        <v>403</v>
      </c>
      <c r="D151" s="84">
        <f>SUM(D152:D159)</f>
        <v>237100000</v>
      </c>
      <c r="E151" s="84">
        <f>SUM(E152:E159)</f>
        <v>233368304</v>
      </c>
      <c r="F151" s="84">
        <f aca="true" t="shared" si="112" ref="F151:P151">SUM(F152:F159)</f>
        <v>241100000</v>
      </c>
      <c r="G151" s="84">
        <f t="shared" si="112"/>
        <v>246500000</v>
      </c>
      <c r="H151" s="84">
        <f t="shared" si="112"/>
        <v>258825000</v>
      </c>
      <c r="I151" s="84">
        <f t="shared" si="112"/>
        <v>271766250</v>
      </c>
      <c r="J151" s="84">
        <f t="shared" si="112"/>
        <v>285354562.5</v>
      </c>
      <c r="K151" s="84">
        <f t="shared" si="112"/>
        <v>299622290.625</v>
      </c>
      <c r="L151" s="84">
        <f t="shared" si="112"/>
        <v>314603405.15625</v>
      </c>
      <c r="M151" s="84">
        <f t="shared" si="112"/>
        <v>330333575.4140625</v>
      </c>
      <c r="N151" s="84">
        <f t="shared" si="112"/>
        <v>346850254.18476564</v>
      </c>
      <c r="O151" s="84">
        <f t="shared" si="112"/>
        <v>364192766.894004</v>
      </c>
      <c r="P151" s="84">
        <f t="shared" si="112"/>
        <v>382402405.23870426</v>
      </c>
      <c r="S151"/>
    </row>
    <row r="152" spans="2:19" ht="15">
      <c r="B152" s="29" t="s">
        <v>404</v>
      </c>
      <c r="C152" s="19" t="s">
        <v>405</v>
      </c>
      <c r="D152" s="85">
        <v>40792500</v>
      </c>
      <c r="E152" s="85">
        <v>35449661</v>
      </c>
      <c r="F152" s="85">
        <v>41792500</v>
      </c>
      <c r="G152" s="86">
        <f>'[2]INGRESOS'!$C$143</f>
        <v>43792500</v>
      </c>
      <c r="H152" s="86">
        <f aca="true" t="shared" si="113" ref="H152:H166">G152*$H$3</f>
        <v>45982125</v>
      </c>
      <c r="I152" s="86">
        <f aca="true" t="shared" si="114" ref="I152:I166">H152*$I$3</f>
        <v>48281231.25</v>
      </c>
      <c r="J152" s="86">
        <f aca="true" t="shared" si="115" ref="J152:J166">I152*$J$3</f>
        <v>50695292.8125</v>
      </c>
      <c r="K152" s="86">
        <f aca="true" t="shared" si="116" ref="K152:K166">J152*$K$3</f>
        <v>53230057.453125</v>
      </c>
      <c r="L152" s="86">
        <f aca="true" t="shared" si="117" ref="L152:L166">K152*$L$3</f>
        <v>55891560.325781256</v>
      </c>
      <c r="M152" s="87">
        <f aca="true" t="shared" si="118" ref="M152:M159">L152*$M$3</f>
        <v>58686138.34207032</v>
      </c>
      <c r="N152" s="87">
        <f aca="true" t="shared" si="119" ref="N152:N159">M152*$M$3</f>
        <v>61620445.25917384</v>
      </c>
      <c r="O152" s="87">
        <f aca="true" t="shared" si="120" ref="O152:O159">N152*$M$3</f>
        <v>64701467.52213254</v>
      </c>
      <c r="P152" s="87">
        <f aca="true" t="shared" si="121" ref="P152:P159">O152*$M$3</f>
        <v>67936540.89823917</v>
      </c>
      <c r="S152"/>
    </row>
    <row r="153" spans="2:19" ht="15">
      <c r="B153" s="23" t="s">
        <v>406</v>
      </c>
      <c r="C153" s="20" t="s">
        <v>106</v>
      </c>
      <c r="D153" s="85">
        <v>146632500</v>
      </c>
      <c r="E153" s="85">
        <v>136025901</v>
      </c>
      <c r="F153" s="85">
        <v>149632500</v>
      </c>
      <c r="G153" s="86">
        <f>'[2]INGRESOS'!$C$144</f>
        <v>151032500</v>
      </c>
      <c r="H153" s="86">
        <f t="shared" si="113"/>
        <v>158584125</v>
      </c>
      <c r="I153" s="86">
        <f t="shared" si="114"/>
        <v>166513331.25</v>
      </c>
      <c r="J153" s="86">
        <f t="shared" si="115"/>
        <v>174838997.8125</v>
      </c>
      <c r="K153" s="86">
        <f t="shared" si="116"/>
        <v>183580947.703125</v>
      </c>
      <c r="L153" s="86">
        <f t="shared" si="117"/>
        <v>192759995.08828124</v>
      </c>
      <c r="M153" s="87">
        <f t="shared" si="118"/>
        <v>202397994.84269533</v>
      </c>
      <c r="N153" s="87">
        <f t="shared" si="119"/>
        <v>212517894.5848301</v>
      </c>
      <c r="O153" s="87">
        <f t="shared" si="120"/>
        <v>223143789.31407163</v>
      </c>
      <c r="P153" s="87">
        <f t="shared" si="121"/>
        <v>234300978.7797752</v>
      </c>
      <c r="S153"/>
    </row>
    <row r="154" spans="2:20" s="25" customFormat="1" ht="15">
      <c r="B154" s="23" t="s">
        <v>407</v>
      </c>
      <c r="C154" s="17" t="s">
        <v>408</v>
      </c>
      <c r="D154" s="85">
        <v>3150000</v>
      </c>
      <c r="E154" s="85">
        <v>8060388</v>
      </c>
      <c r="F154" s="85">
        <v>3150000</v>
      </c>
      <c r="G154" s="86">
        <f>'[2]INGRESOS'!$C$145</f>
        <v>3150000</v>
      </c>
      <c r="H154" s="86">
        <f t="shared" si="113"/>
        <v>3307500</v>
      </c>
      <c r="I154" s="86">
        <f t="shared" si="114"/>
        <v>3472875</v>
      </c>
      <c r="J154" s="86">
        <f t="shared" si="115"/>
        <v>3646518.75</v>
      </c>
      <c r="K154" s="86">
        <f t="shared" si="116"/>
        <v>3828844.6875</v>
      </c>
      <c r="L154" s="86">
        <f t="shared" si="117"/>
        <v>4020286.921875</v>
      </c>
      <c r="M154" s="87">
        <f t="shared" si="118"/>
        <v>4221301.267968751</v>
      </c>
      <c r="N154" s="87">
        <f t="shared" si="119"/>
        <v>4432366.331367188</v>
      </c>
      <c r="O154" s="87">
        <f t="shared" si="120"/>
        <v>4653984.647935548</v>
      </c>
      <c r="P154" s="87">
        <f t="shared" si="121"/>
        <v>4886683.880332326</v>
      </c>
      <c r="Q154" s="27"/>
      <c r="R154"/>
      <c r="S154"/>
      <c r="T154"/>
    </row>
    <row r="155" spans="2:20" s="25" customFormat="1" ht="15">
      <c r="B155" s="23" t="s">
        <v>409</v>
      </c>
      <c r="C155" s="17" t="s">
        <v>410</v>
      </c>
      <c r="D155" s="85">
        <v>210000</v>
      </c>
      <c r="E155" s="85"/>
      <c r="F155" s="85">
        <v>210000</v>
      </c>
      <c r="G155" s="86">
        <f>'[2]INGRESOS'!$C$146</f>
        <v>210000</v>
      </c>
      <c r="H155" s="86">
        <f t="shared" si="113"/>
        <v>220500</v>
      </c>
      <c r="I155" s="86">
        <f t="shared" si="114"/>
        <v>231525</v>
      </c>
      <c r="J155" s="86">
        <f t="shared" si="115"/>
        <v>243101.25</v>
      </c>
      <c r="K155" s="86">
        <f t="shared" si="116"/>
        <v>255256.3125</v>
      </c>
      <c r="L155" s="86">
        <f t="shared" si="117"/>
        <v>268019.128125</v>
      </c>
      <c r="M155" s="87">
        <f t="shared" si="118"/>
        <v>281420.08453125</v>
      </c>
      <c r="N155" s="87">
        <f t="shared" si="119"/>
        <v>295491.0887578125</v>
      </c>
      <c r="O155" s="87">
        <f t="shared" si="120"/>
        <v>310265.64319570316</v>
      </c>
      <c r="P155" s="87">
        <f t="shared" si="121"/>
        <v>325778.9253554883</v>
      </c>
      <c r="Q155" s="27"/>
      <c r="R155"/>
      <c r="S155"/>
      <c r="T155"/>
    </row>
    <row r="156" spans="2:19" ht="15">
      <c r="B156" s="23" t="s">
        <v>411</v>
      </c>
      <c r="C156" s="20" t="s">
        <v>107</v>
      </c>
      <c r="D156" s="85">
        <v>1575000</v>
      </c>
      <c r="E156" s="85">
        <v>1962600</v>
      </c>
      <c r="F156" s="85">
        <v>1575000</v>
      </c>
      <c r="G156" s="86">
        <f>'[2]INGRESOS'!$C$147</f>
        <v>1575000</v>
      </c>
      <c r="H156" s="86">
        <f t="shared" si="113"/>
        <v>1653750</v>
      </c>
      <c r="I156" s="86">
        <f t="shared" si="114"/>
        <v>1736437.5</v>
      </c>
      <c r="J156" s="86">
        <f t="shared" si="115"/>
        <v>1823259.375</v>
      </c>
      <c r="K156" s="86">
        <f t="shared" si="116"/>
        <v>1914422.34375</v>
      </c>
      <c r="L156" s="86">
        <f t="shared" si="117"/>
        <v>2010143.4609375</v>
      </c>
      <c r="M156" s="87">
        <f t="shared" si="118"/>
        <v>2110650.6339843753</v>
      </c>
      <c r="N156" s="87">
        <f t="shared" si="119"/>
        <v>2216183.165683594</v>
      </c>
      <c r="O156" s="87">
        <f t="shared" si="120"/>
        <v>2326992.323967774</v>
      </c>
      <c r="P156" s="87">
        <f t="shared" si="121"/>
        <v>2443341.940166163</v>
      </c>
      <c r="S156"/>
    </row>
    <row r="157" spans="2:19" ht="15">
      <c r="B157" s="23" t="s">
        <v>412</v>
      </c>
      <c r="C157" s="20" t="s">
        <v>413</v>
      </c>
      <c r="D157" s="85">
        <v>525000</v>
      </c>
      <c r="E157" s="85">
        <v>350000</v>
      </c>
      <c r="F157" s="85">
        <v>525000</v>
      </c>
      <c r="G157" s="86">
        <f>'[2]INGRESOS'!$C$148</f>
        <v>525000</v>
      </c>
      <c r="H157" s="86">
        <f t="shared" si="113"/>
        <v>551250</v>
      </c>
      <c r="I157" s="86">
        <f t="shared" si="114"/>
        <v>578812.5</v>
      </c>
      <c r="J157" s="86">
        <f t="shared" si="115"/>
        <v>607753.125</v>
      </c>
      <c r="K157" s="86">
        <f t="shared" si="116"/>
        <v>638140.78125</v>
      </c>
      <c r="L157" s="86">
        <f t="shared" si="117"/>
        <v>670047.8203125</v>
      </c>
      <c r="M157" s="87">
        <f t="shared" si="118"/>
        <v>703550.211328125</v>
      </c>
      <c r="N157" s="87">
        <f t="shared" si="119"/>
        <v>738727.7218945313</v>
      </c>
      <c r="O157" s="87">
        <f t="shared" si="120"/>
        <v>775664.1079892579</v>
      </c>
      <c r="P157" s="87">
        <f t="shared" si="121"/>
        <v>814447.3133887209</v>
      </c>
      <c r="S157"/>
    </row>
    <row r="158" spans="2:19" ht="15">
      <c r="B158" s="29" t="s">
        <v>414</v>
      </c>
      <c r="C158" s="19" t="s">
        <v>109</v>
      </c>
      <c r="D158" s="85">
        <v>40215000</v>
      </c>
      <c r="E158" s="85">
        <v>48167733</v>
      </c>
      <c r="F158" s="85">
        <v>40215000</v>
      </c>
      <c r="G158" s="86">
        <f>'[2]INGRESOS'!$C$149</f>
        <v>42215000</v>
      </c>
      <c r="H158" s="86">
        <f t="shared" si="113"/>
        <v>44325750</v>
      </c>
      <c r="I158" s="86">
        <f t="shared" si="114"/>
        <v>46542037.5</v>
      </c>
      <c r="J158" s="86">
        <f t="shared" si="115"/>
        <v>48869139.375</v>
      </c>
      <c r="K158" s="86">
        <f t="shared" si="116"/>
        <v>51312596.34375</v>
      </c>
      <c r="L158" s="86">
        <f t="shared" si="117"/>
        <v>53878226.1609375</v>
      </c>
      <c r="M158" s="87">
        <f t="shared" si="118"/>
        <v>56572137.46898438</v>
      </c>
      <c r="N158" s="87">
        <f t="shared" si="119"/>
        <v>59400744.3424336</v>
      </c>
      <c r="O158" s="87">
        <f t="shared" si="120"/>
        <v>62370781.559555285</v>
      </c>
      <c r="P158" s="87">
        <f t="shared" si="121"/>
        <v>65489320.637533054</v>
      </c>
      <c r="S158"/>
    </row>
    <row r="159" spans="2:19" ht="15">
      <c r="B159" s="29" t="s">
        <v>415</v>
      </c>
      <c r="C159" s="19" t="s">
        <v>416</v>
      </c>
      <c r="D159" s="85">
        <v>4000000</v>
      </c>
      <c r="E159" s="85">
        <v>3352021</v>
      </c>
      <c r="F159" s="85">
        <v>4000000</v>
      </c>
      <c r="G159" s="86">
        <f>'[2]INGRESOS'!$C$150</f>
        <v>4000000</v>
      </c>
      <c r="H159" s="86">
        <f t="shared" si="113"/>
        <v>4200000</v>
      </c>
      <c r="I159" s="86">
        <f t="shared" si="114"/>
        <v>4410000</v>
      </c>
      <c r="J159" s="86">
        <f t="shared" si="115"/>
        <v>4630500</v>
      </c>
      <c r="K159" s="86">
        <f t="shared" si="116"/>
        <v>4862025</v>
      </c>
      <c r="L159" s="86">
        <f t="shared" si="117"/>
        <v>5105126.25</v>
      </c>
      <c r="M159" s="87">
        <f t="shared" si="118"/>
        <v>5360382.5625</v>
      </c>
      <c r="N159" s="87">
        <f t="shared" si="119"/>
        <v>5628401.690625</v>
      </c>
      <c r="O159" s="87">
        <f t="shared" si="120"/>
        <v>5909821.77515625</v>
      </c>
      <c r="P159" s="87">
        <f t="shared" si="121"/>
        <v>6205312.863914063</v>
      </c>
      <c r="S159"/>
    </row>
    <row r="160" spans="2:19" ht="15">
      <c r="B160" s="29" t="s">
        <v>417</v>
      </c>
      <c r="C160" s="22" t="s">
        <v>418</v>
      </c>
      <c r="D160" s="84">
        <f>SUM(D161:D162)</f>
        <v>52500000</v>
      </c>
      <c r="E160" s="84">
        <f>SUM(E161:E162)</f>
        <v>47720166</v>
      </c>
      <c r="F160" s="84">
        <f aca="true" t="shared" si="122" ref="F160:P160">SUM(F161:F162)</f>
        <v>55500000</v>
      </c>
      <c r="G160" s="84">
        <f t="shared" si="122"/>
        <v>57000000</v>
      </c>
      <c r="H160" s="84">
        <f t="shared" si="122"/>
        <v>59850000</v>
      </c>
      <c r="I160" s="84">
        <f t="shared" si="122"/>
        <v>62842500</v>
      </c>
      <c r="J160" s="84">
        <f t="shared" si="122"/>
        <v>65984625</v>
      </c>
      <c r="K160" s="84">
        <f t="shared" si="122"/>
        <v>69283856.25</v>
      </c>
      <c r="L160" s="84">
        <f t="shared" si="122"/>
        <v>72748049.0625</v>
      </c>
      <c r="M160" s="84">
        <f t="shared" si="122"/>
        <v>76385451.515625</v>
      </c>
      <c r="N160" s="84">
        <f t="shared" si="122"/>
        <v>80204724.09140626</v>
      </c>
      <c r="O160" s="84">
        <f t="shared" si="122"/>
        <v>84214960.29597658</v>
      </c>
      <c r="P160" s="84">
        <f t="shared" si="122"/>
        <v>88425708.31077541</v>
      </c>
      <c r="S160"/>
    </row>
    <row r="161" spans="2:19" ht="15">
      <c r="B161" s="29" t="s">
        <v>419</v>
      </c>
      <c r="C161" s="20" t="s">
        <v>420</v>
      </c>
      <c r="D161" s="85">
        <v>52500000</v>
      </c>
      <c r="E161" s="85">
        <v>47720166</v>
      </c>
      <c r="F161" s="85">
        <v>55500000</v>
      </c>
      <c r="G161" s="86">
        <f>'[2]INGRESOS'!$C$152</f>
        <v>57000000</v>
      </c>
      <c r="H161" s="86">
        <f t="shared" si="113"/>
        <v>59850000</v>
      </c>
      <c r="I161" s="86">
        <f t="shared" si="114"/>
        <v>62842500</v>
      </c>
      <c r="J161" s="86">
        <f t="shared" si="115"/>
        <v>65984625</v>
      </c>
      <c r="K161" s="86">
        <f t="shared" si="116"/>
        <v>69283856.25</v>
      </c>
      <c r="L161" s="86">
        <f t="shared" si="117"/>
        <v>72748049.0625</v>
      </c>
      <c r="M161" s="87">
        <f aca="true" t="shared" si="123" ref="M161:P162">L161*$M$3</f>
        <v>76385451.515625</v>
      </c>
      <c r="N161" s="87">
        <f t="shared" si="123"/>
        <v>80204724.09140626</v>
      </c>
      <c r="O161" s="87">
        <f t="shared" si="123"/>
        <v>84214960.29597658</v>
      </c>
      <c r="P161" s="87">
        <f t="shared" si="123"/>
        <v>88425708.31077541</v>
      </c>
      <c r="S161"/>
    </row>
    <row r="162" spans="2:19" ht="15">
      <c r="B162" s="29" t="s">
        <v>421</v>
      </c>
      <c r="C162" s="20" t="s">
        <v>108</v>
      </c>
      <c r="D162" s="85"/>
      <c r="E162" s="85"/>
      <c r="F162" s="85"/>
      <c r="G162" s="86">
        <f>F162*$G$3</f>
        <v>0</v>
      </c>
      <c r="H162" s="86">
        <f t="shared" si="113"/>
        <v>0</v>
      </c>
      <c r="I162" s="86">
        <f t="shared" si="114"/>
        <v>0</v>
      </c>
      <c r="J162" s="86">
        <f t="shared" si="115"/>
        <v>0</v>
      </c>
      <c r="K162" s="86">
        <f t="shared" si="116"/>
        <v>0</v>
      </c>
      <c r="L162" s="86">
        <f t="shared" si="117"/>
        <v>0</v>
      </c>
      <c r="M162" s="87">
        <f t="shared" si="123"/>
        <v>0</v>
      </c>
      <c r="N162" s="87">
        <f t="shared" si="123"/>
        <v>0</v>
      </c>
      <c r="O162" s="87">
        <f t="shared" si="123"/>
        <v>0</v>
      </c>
      <c r="P162" s="87">
        <f t="shared" si="123"/>
        <v>0</v>
      </c>
      <c r="S162"/>
    </row>
    <row r="163" spans="2:19" ht="15">
      <c r="B163" s="29" t="s">
        <v>422</v>
      </c>
      <c r="C163" s="22" t="s">
        <v>423</v>
      </c>
      <c r="D163" s="84">
        <f>D164</f>
        <v>50400000</v>
      </c>
      <c r="E163" s="84">
        <f>E164</f>
        <v>51103490</v>
      </c>
      <c r="F163" s="84">
        <f aca="true" t="shared" si="124" ref="F163:P163">F164</f>
        <v>53400000</v>
      </c>
      <c r="G163" s="84">
        <f t="shared" si="124"/>
        <v>55000000</v>
      </c>
      <c r="H163" s="84">
        <f t="shared" si="124"/>
        <v>57750000</v>
      </c>
      <c r="I163" s="84">
        <f t="shared" si="124"/>
        <v>60637500</v>
      </c>
      <c r="J163" s="84">
        <f t="shared" si="124"/>
        <v>63669375</v>
      </c>
      <c r="K163" s="84">
        <f t="shared" si="124"/>
        <v>66852843.75</v>
      </c>
      <c r="L163" s="84">
        <f t="shared" si="124"/>
        <v>70195485.9375</v>
      </c>
      <c r="M163" s="84">
        <f t="shared" si="124"/>
        <v>73705260.234375</v>
      </c>
      <c r="N163" s="84">
        <f t="shared" si="124"/>
        <v>77390523.24609375</v>
      </c>
      <c r="O163" s="84">
        <f t="shared" si="124"/>
        <v>81260049.40839843</v>
      </c>
      <c r="P163" s="84">
        <f t="shared" si="124"/>
        <v>85323051.87881836</v>
      </c>
      <c r="S163"/>
    </row>
    <row r="164" spans="2:19" ht="15">
      <c r="B164" s="29" t="s">
        <v>424</v>
      </c>
      <c r="C164" s="20" t="s">
        <v>425</v>
      </c>
      <c r="D164" s="85">
        <v>50400000</v>
      </c>
      <c r="E164" s="85">
        <v>51103490</v>
      </c>
      <c r="F164" s="85">
        <v>53400000</v>
      </c>
      <c r="G164" s="86">
        <f>'[2]INGRESOS'!$C$155</f>
        <v>55000000</v>
      </c>
      <c r="H164" s="86">
        <f t="shared" si="113"/>
        <v>57750000</v>
      </c>
      <c r="I164" s="86">
        <f t="shared" si="114"/>
        <v>60637500</v>
      </c>
      <c r="J164" s="86">
        <f t="shared" si="115"/>
        <v>63669375</v>
      </c>
      <c r="K164" s="86">
        <f t="shared" si="116"/>
        <v>66852843.75</v>
      </c>
      <c r="L164" s="86">
        <f t="shared" si="117"/>
        <v>70195485.9375</v>
      </c>
      <c r="M164" s="87">
        <f>L164*$M$3</f>
        <v>73705260.234375</v>
      </c>
      <c r="N164" s="87">
        <f>M164*$M$3</f>
        <v>77390523.24609375</v>
      </c>
      <c r="O164" s="87">
        <f>N164*$M$3</f>
        <v>81260049.40839843</v>
      </c>
      <c r="P164" s="87">
        <f>O164*$M$3</f>
        <v>85323051.87881836</v>
      </c>
      <c r="S164"/>
    </row>
    <row r="165" spans="2:19" ht="15">
      <c r="B165" s="29" t="s">
        <v>426</v>
      </c>
      <c r="C165" s="22" t="s">
        <v>423</v>
      </c>
      <c r="D165" s="84">
        <f>D166</f>
        <v>0</v>
      </c>
      <c r="E165" s="84">
        <f>E166</f>
        <v>60559884</v>
      </c>
      <c r="F165" s="84">
        <f aca="true" t="shared" si="125" ref="F165:P165">F166</f>
        <v>0</v>
      </c>
      <c r="G165" s="84">
        <f t="shared" si="125"/>
        <v>0</v>
      </c>
      <c r="H165" s="84">
        <f t="shared" si="125"/>
        <v>0</v>
      </c>
      <c r="I165" s="84">
        <f t="shared" si="125"/>
        <v>0</v>
      </c>
      <c r="J165" s="84">
        <f t="shared" si="125"/>
        <v>0</v>
      </c>
      <c r="K165" s="84">
        <f t="shared" si="125"/>
        <v>0</v>
      </c>
      <c r="L165" s="84">
        <f t="shared" si="125"/>
        <v>0</v>
      </c>
      <c r="M165" s="84">
        <f t="shared" si="125"/>
        <v>0</v>
      </c>
      <c r="N165" s="84">
        <f t="shared" si="125"/>
        <v>0</v>
      </c>
      <c r="O165" s="84">
        <f t="shared" si="125"/>
        <v>0</v>
      </c>
      <c r="P165" s="84">
        <f t="shared" si="125"/>
        <v>0</v>
      </c>
      <c r="S165"/>
    </row>
    <row r="166" spans="2:19" s="25" customFormat="1" ht="15">
      <c r="B166" s="29" t="s">
        <v>427</v>
      </c>
      <c r="C166" s="19" t="s">
        <v>428</v>
      </c>
      <c r="D166" s="95"/>
      <c r="E166" s="95">
        <v>60559884</v>
      </c>
      <c r="F166" s="95"/>
      <c r="G166" s="86">
        <f>F166*$G$3</f>
        <v>0</v>
      </c>
      <c r="H166" s="86">
        <f t="shared" si="113"/>
        <v>0</v>
      </c>
      <c r="I166" s="86">
        <f t="shared" si="114"/>
        <v>0</v>
      </c>
      <c r="J166" s="86">
        <f t="shared" si="115"/>
        <v>0</v>
      </c>
      <c r="K166" s="86">
        <f t="shared" si="116"/>
        <v>0</v>
      </c>
      <c r="L166" s="86">
        <f t="shared" si="117"/>
        <v>0</v>
      </c>
      <c r="M166" s="87">
        <f>L166*$M$3</f>
        <v>0</v>
      </c>
      <c r="N166" s="87">
        <f>M166*$M$3</f>
        <v>0</v>
      </c>
      <c r="O166" s="87">
        <f>N166*$M$3</f>
        <v>0</v>
      </c>
      <c r="P166" s="87">
        <f>O166*$M$3</f>
        <v>0</v>
      </c>
      <c r="Q166" s="27"/>
      <c r="R166"/>
      <c r="S166"/>
    </row>
    <row r="167" ht="15">
      <c r="S167"/>
    </row>
    <row r="168" spans="6:19" ht="15">
      <c r="F168" s="97">
        <f>(F61+F63+F66+F67+F71+F116+F123)</f>
        <v>1672341145</v>
      </c>
      <c r="S168"/>
    </row>
    <row r="169" spans="5:19" ht="15">
      <c r="E169" s="98"/>
      <c r="F169" s="98"/>
      <c r="S169"/>
    </row>
    <row r="170" spans="3:19" ht="15">
      <c r="C170" s="69"/>
      <c r="D170" s="69"/>
      <c r="E170" s="98"/>
      <c r="F170" s="98">
        <f>F78/F8*100</f>
        <v>11.797105141951644</v>
      </c>
      <c r="S170"/>
    </row>
    <row r="171" spans="3:19" ht="15">
      <c r="C171" s="69"/>
      <c r="D171" s="69"/>
      <c r="E171" s="98"/>
      <c r="F171" s="98"/>
      <c r="S171"/>
    </row>
    <row r="172" spans="3:19" ht="15">
      <c r="C172" s="69"/>
      <c r="D172" s="69"/>
      <c r="E172" s="98"/>
      <c r="F172" s="98"/>
      <c r="S172"/>
    </row>
    <row r="173" spans="3:19" ht="15">
      <c r="C173" s="69"/>
      <c r="D173" s="69"/>
      <c r="E173" s="98"/>
      <c r="F173" s="98"/>
      <c r="S173"/>
    </row>
    <row r="174" spans="3:19" ht="15">
      <c r="C174" s="69"/>
      <c r="D174" s="69"/>
      <c r="E174" s="98"/>
      <c r="F174" s="98"/>
      <c r="S174"/>
    </row>
    <row r="175" spans="3:19" ht="15">
      <c r="C175" s="69"/>
      <c r="D175" s="69"/>
      <c r="E175" s="98"/>
      <c r="F175" s="98"/>
      <c r="S175"/>
    </row>
    <row r="176" spans="3:19" ht="15">
      <c r="C176" s="69"/>
      <c r="D176" s="69"/>
      <c r="E176" s="98"/>
      <c r="F176" s="98"/>
      <c r="S176"/>
    </row>
    <row r="177" spans="3:19" ht="15">
      <c r="C177" s="69"/>
      <c r="D177" s="69"/>
      <c r="E177" s="98"/>
      <c r="F177" s="98"/>
      <c r="S177"/>
    </row>
    <row r="178" spans="3:19" ht="18">
      <c r="C178" s="281" t="s">
        <v>110</v>
      </c>
      <c r="D178" s="281"/>
      <c r="E178" s="281"/>
      <c r="F178" s="281"/>
      <c r="G178" s="281"/>
      <c r="H178" s="281"/>
      <c r="I178" s="281"/>
      <c r="J178" s="281"/>
      <c r="K178" s="281"/>
      <c r="L178" s="281"/>
      <c r="M178" s="281"/>
      <c r="N178" s="281"/>
      <c r="O178" s="281"/>
      <c r="P178" s="281"/>
      <c r="S178"/>
    </row>
    <row r="179" ht="15">
      <c r="S179"/>
    </row>
    <row r="180" spans="2:19" ht="15" customHeight="1">
      <c r="B180" s="277"/>
      <c r="C180" s="278" t="s">
        <v>67</v>
      </c>
      <c r="D180" s="279">
        <v>2010</v>
      </c>
      <c r="E180" s="279">
        <v>2010</v>
      </c>
      <c r="F180" s="280">
        <v>2011</v>
      </c>
      <c r="G180" s="280">
        <v>2012</v>
      </c>
      <c r="H180" s="280">
        <v>2013</v>
      </c>
      <c r="I180" s="280">
        <v>2014</v>
      </c>
      <c r="J180" s="280">
        <v>2015</v>
      </c>
      <c r="K180" s="280">
        <v>2016</v>
      </c>
      <c r="L180" s="280">
        <v>2017</v>
      </c>
      <c r="M180" s="280">
        <v>2018</v>
      </c>
      <c r="N180" s="280">
        <v>2019</v>
      </c>
      <c r="O180" s="280">
        <v>2020</v>
      </c>
      <c r="P180" s="280">
        <v>2021</v>
      </c>
      <c r="S180"/>
    </row>
    <row r="181" spans="2:19" ht="15">
      <c r="B181" s="277"/>
      <c r="C181" s="278"/>
      <c r="D181" s="279"/>
      <c r="E181" s="279"/>
      <c r="F181" s="280"/>
      <c r="G181" s="280"/>
      <c r="H181" s="280">
        <v>2013</v>
      </c>
      <c r="I181" s="280">
        <v>2014</v>
      </c>
      <c r="J181" s="280">
        <v>2015</v>
      </c>
      <c r="K181" s="280">
        <v>2016</v>
      </c>
      <c r="L181" s="280">
        <v>2017</v>
      </c>
      <c r="M181" s="280">
        <v>2018</v>
      </c>
      <c r="N181" s="280">
        <v>2018</v>
      </c>
      <c r="O181" s="280">
        <v>2018</v>
      </c>
      <c r="P181" s="280">
        <v>2018</v>
      </c>
      <c r="S181"/>
    </row>
    <row r="182" spans="2:19" ht="15">
      <c r="B182" s="277"/>
      <c r="C182" s="278"/>
      <c r="D182" s="279"/>
      <c r="E182" s="279"/>
      <c r="F182" s="280"/>
      <c r="G182" s="280"/>
      <c r="H182" s="280">
        <v>0.03</v>
      </c>
      <c r="I182" s="280">
        <v>0.03</v>
      </c>
      <c r="J182" s="280">
        <v>0.03</v>
      </c>
      <c r="K182" s="280">
        <v>0.03</v>
      </c>
      <c r="L182" s="280">
        <v>0.03</v>
      </c>
      <c r="M182" s="280">
        <v>0.03</v>
      </c>
      <c r="N182" s="280">
        <v>0.03</v>
      </c>
      <c r="O182" s="280">
        <v>0.03</v>
      </c>
      <c r="P182" s="280">
        <v>0.03</v>
      </c>
      <c r="S182"/>
    </row>
    <row r="183" spans="3:19" ht="14.25" customHeight="1">
      <c r="C183" s="6"/>
      <c r="D183" s="99"/>
      <c r="E183" s="99"/>
      <c r="F183" s="100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S183"/>
    </row>
    <row r="184" spans="3:19" ht="15">
      <c r="C184" s="26" t="s">
        <v>110</v>
      </c>
      <c r="D184" s="99"/>
      <c r="E184" s="99"/>
      <c r="F184" s="100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S184"/>
    </row>
    <row r="185" spans="3:19" ht="15">
      <c r="C185" s="16" t="s">
        <v>79</v>
      </c>
      <c r="D185" s="84">
        <f>D10</f>
        <v>1519805000</v>
      </c>
      <c r="E185" s="84">
        <f>E10</f>
        <v>1861485233.76</v>
      </c>
      <c r="F185" s="81">
        <f>F10</f>
        <v>1776305000</v>
      </c>
      <c r="G185" s="84">
        <f aca="true" t="shared" si="126" ref="G185:P185">G10</f>
        <v>1857305000</v>
      </c>
      <c r="H185" s="84">
        <f t="shared" si="126"/>
        <v>1950170250</v>
      </c>
      <c r="I185" s="84">
        <f t="shared" si="126"/>
        <v>2047678762.5</v>
      </c>
      <c r="J185" s="84">
        <f t="shared" si="126"/>
        <v>2150062700.625</v>
      </c>
      <c r="K185" s="84">
        <f t="shared" si="126"/>
        <v>2257565835.65625</v>
      </c>
      <c r="L185" s="84">
        <f t="shared" si="126"/>
        <v>2370444127.4390626</v>
      </c>
      <c r="M185" s="84">
        <f t="shared" si="126"/>
        <v>2488966333.8110156</v>
      </c>
      <c r="N185" s="84">
        <f t="shared" si="126"/>
        <v>2613414650.5015664</v>
      </c>
      <c r="O185" s="84">
        <f t="shared" si="126"/>
        <v>2744085383.0266447</v>
      </c>
      <c r="P185" s="84">
        <f t="shared" si="126"/>
        <v>2881289652.1779776</v>
      </c>
      <c r="S185"/>
    </row>
    <row r="186" spans="3:19" ht="15">
      <c r="C186" s="6" t="s">
        <v>115</v>
      </c>
      <c r="D186" s="101">
        <f>SUM(D187:D190)</f>
        <v>31000000</v>
      </c>
      <c r="E186" s="101">
        <f>SUM(E187:E190)</f>
        <v>160538250</v>
      </c>
      <c r="F186" s="101">
        <f>SUM(F187:F190)</f>
        <v>187242904</v>
      </c>
      <c r="G186" s="101">
        <f aca="true" t="shared" si="127" ref="G186:P186">SUM(G187:G190)</f>
        <v>179354250</v>
      </c>
      <c r="H186" s="101">
        <f t="shared" si="127"/>
        <v>163878750</v>
      </c>
      <c r="I186" s="101">
        <f t="shared" si="127"/>
        <v>97236250</v>
      </c>
      <c r="J186" s="101">
        <f t="shared" si="127"/>
        <v>90675125</v>
      </c>
      <c r="K186" s="101">
        <f t="shared" si="127"/>
        <v>84199443.75</v>
      </c>
      <c r="L186" s="101">
        <f t="shared" si="127"/>
        <v>77813478.4375</v>
      </c>
      <c r="M186" s="101">
        <f t="shared" si="127"/>
        <v>71521714.859375</v>
      </c>
      <c r="N186" s="101">
        <f t="shared" si="127"/>
        <v>65328863.10234375</v>
      </c>
      <c r="O186" s="101">
        <f t="shared" si="127"/>
        <v>59239868.75746094</v>
      </c>
      <c r="P186" s="101">
        <f t="shared" si="127"/>
        <v>53259924.69533399</v>
      </c>
      <c r="S186"/>
    </row>
    <row r="187" spans="3:19" ht="12" customHeight="1">
      <c r="C187" s="17" t="s">
        <v>82</v>
      </c>
      <c r="D187" s="101">
        <f>D14</f>
        <v>1000000</v>
      </c>
      <c r="E187" s="101">
        <f aca="true" t="shared" si="128" ref="E187:P187">E14</f>
        <v>0</v>
      </c>
      <c r="F187" s="101">
        <f t="shared" si="128"/>
        <v>1000000</v>
      </c>
      <c r="G187" s="101">
        <f t="shared" si="128"/>
        <v>1000000</v>
      </c>
      <c r="H187" s="101">
        <f t="shared" si="128"/>
        <v>1050000</v>
      </c>
      <c r="I187" s="101">
        <f t="shared" si="128"/>
        <v>1102500</v>
      </c>
      <c r="J187" s="101">
        <f t="shared" si="128"/>
        <v>1157625</v>
      </c>
      <c r="K187" s="101">
        <f t="shared" si="128"/>
        <v>1215506.25</v>
      </c>
      <c r="L187" s="101">
        <f t="shared" si="128"/>
        <v>1276281.5625</v>
      </c>
      <c r="M187" s="101">
        <f t="shared" si="128"/>
        <v>1340095.640625</v>
      </c>
      <c r="N187" s="101">
        <f t="shared" si="128"/>
        <v>1407100.42265625</v>
      </c>
      <c r="O187" s="101">
        <f t="shared" si="128"/>
        <v>1477455.4437890626</v>
      </c>
      <c r="P187" s="101">
        <f t="shared" si="128"/>
        <v>1551328.2159785158</v>
      </c>
      <c r="S187"/>
    </row>
    <row r="188" spans="3:19" ht="15">
      <c r="C188" s="20" t="s">
        <v>119</v>
      </c>
      <c r="D188" s="101"/>
      <c r="E188" s="101">
        <v>93125250</v>
      </c>
      <c r="F188" s="102">
        <v>136242904</v>
      </c>
      <c r="G188" s="103">
        <f>'[2]INVERSION'!$E$12</f>
        <v>148354250</v>
      </c>
      <c r="H188" s="103">
        <f>60000000+SUM(DEUDA!D30:D33)</f>
        <v>131328750</v>
      </c>
      <c r="I188" s="103">
        <f>SUM(DEUDA!D34:D37)</f>
        <v>63058750</v>
      </c>
      <c r="J188" s="103">
        <f>SUM(DEUDA!D38:D41)</f>
        <v>54788750</v>
      </c>
      <c r="K188" s="103">
        <f>SUM(DEUDA!D42:D45)</f>
        <v>46518750</v>
      </c>
      <c r="L188" s="103">
        <f>SUM(DEUDA!D46:D49)</f>
        <v>38248750</v>
      </c>
      <c r="M188" s="103">
        <f>SUM(DEUDA!D50:D53)</f>
        <v>29978750</v>
      </c>
      <c r="N188" s="103">
        <f>SUM(DEUDA!D54:D57)</f>
        <v>21708750</v>
      </c>
      <c r="O188" s="103">
        <f>SUM(DEUDA!D58:D61)</f>
        <v>13438750</v>
      </c>
      <c r="P188" s="103">
        <f>SUM(DEUDA!D62:D65)</f>
        <v>5168750</v>
      </c>
      <c r="S188"/>
    </row>
    <row r="189" spans="3:19" ht="15">
      <c r="C189" s="20" t="s">
        <v>181</v>
      </c>
      <c r="D189" s="102">
        <f aca="true" t="shared" si="129" ref="D189:F190">D24</f>
        <v>15000000</v>
      </c>
      <c r="E189" s="102">
        <f t="shared" si="129"/>
        <v>37188000</v>
      </c>
      <c r="F189" s="102">
        <f t="shared" si="129"/>
        <v>25000000</v>
      </c>
      <c r="G189" s="102">
        <f aca="true" t="shared" si="130" ref="G189:P189">G24</f>
        <v>15000000</v>
      </c>
      <c r="H189" s="102">
        <f t="shared" si="130"/>
        <v>15750000</v>
      </c>
      <c r="I189" s="102">
        <f t="shared" si="130"/>
        <v>16537500</v>
      </c>
      <c r="J189" s="102">
        <f t="shared" si="130"/>
        <v>17364375</v>
      </c>
      <c r="K189" s="102">
        <f t="shared" si="130"/>
        <v>18232593.75</v>
      </c>
      <c r="L189" s="102">
        <f t="shared" si="130"/>
        <v>19144223.4375</v>
      </c>
      <c r="M189" s="102">
        <f t="shared" si="130"/>
        <v>20101434.609375</v>
      </c>
      <c r="N189" s="102">
        <f t="shared" si="130"/>
        <v>21106506.33984375</v>
      </c>
      <c r="O189" s="102">
        <f t="shared" si="130"/>
        <v>22161831.65683594</v>
      </c>
      <c r="P189" s="102">
        <f t="shared" si="130"/>
        <v>23269923.23967774</v>
      </c>
      <c r="S189" s="12"/>
    </row>
    <row r="190" spans="3:19" ht="15">
      <c r="C190" s="20" t="s">
        <v>183</v>
      </c>
      <c r="D190" s="102">
        <f t="shared" si="129"/>
        <v>15000000</v>
      </c>
      <c r="E190" s="102">
        <f t="shared" si="129"/>
        <v>30225000</v>
      </c>
      <c r="F190" s="102">
        <f t="shared" si="129"/>
        <v>25000000</v>
      </c>
      <c r="G190" s="102">
        <f aca="true" t="shared" si="131" ref="G190:P190">G25</f>
        <v>15000000</v>
      </c>
      <c r="H190" s="102">
        <f t="shared" si="131"/>
        <v>15750000</v>
      </c>
      <c r="I190" s="102">
        <f t="shared" si="131"/>
        <v>16537500</v>
      </c>
      <c r="J190" s="102">
        <f t="shared" si="131"/>
        <v>17364375</v>
      </c>
      <c r="K190" s="102">
        <f t="shared" si="131"/>
        <v>18232593.75</v>
      </c>
      <c r="L190" s="102">
        <f t="shared" si="131"/>
        <v>19144223.4375</v>
      </c>
      <c r="M190" s="102">
        <f t="shared" si="131"/>
        <v>20101434.609375</v>
      </c>
      <c r="N190" s="102">
        <f t="shared" si="131"/>
        <v>21106506.33984375</v>
      </c>
      <c r="O190" s="102">
        <f t="shared" si="131"/>
        <v>22161831.65683594</v>
      </c>
      <c r="P190" s="102">
        <f t="shared" si="131"/>
        <v>23269923.23967774</v>
      </c>
      <c r="S190" s="12"/>
    </row>
    <row r="191" spans="3:19" ht="15">
      <c r="C191" s="16" t="s">
        <v>121</v>
      </c>
      <c r="D191" s="81">
        <f>D185-D186</f>
        <v>1488805000</v>
      </c>
      <c r="E191" s="81">
        <f>E185-E186</f>
        <v>1700946983.76</v>
      </c>
      <c r="F191" s="81">
        <f>F185-F186</f>
        <v>1589062096</v>
      </c>
      <c r="G191" s="84">
        <f aca="true" t="shared" si="132" ref="G191:P191">G185-G186</f>
        <v>1677950750</v>
      </c>
      <c r="H191" s="84">
        <f t="shared" si="132"/>
        <v>1786291500</v>
      </c>
      <c r="I191" s="84">
        <f t="shared" si="132"/>
        <v>1950442512.5</v>
      </c>
      <c r="J191" s="84">
        <f t="shared" si="132"/>
        <v>2059387575.625</v>
      </c>
      <c r="K191" s="84">
        <f t="shared" si="132"/>
        <v>2173366391.90625</v>
      </c>
      <c r="L191" s="84">
        <f t="shared" si="132"/>
        <v>2292630649.0015626</v>
      </c>
      <c r="M191" s="84">
        <f t="shared" si="132"/>
        <v>2417444618.9516406</v>
      </c>
      <c r="N191" s="84">
        <f t="shared" si="132"/>
        <v>2548085787.399223</v>
      </c>
      <c r="O191" s="84">
        <f t="shared" si="132"/>
        <v>2684845514.2691836</v>
      </c>
      <c r="P191" s="84">
        <f t="shared" si="132"/>
        <v>2828029727.4826436</v>
      </c>
      <c r="R191" s="10"/>
      <c r="S191" s="30"/>
    </row>
    <row r="192" spans="3:16" ht="15">
      <c r="C192" s="17"/>
      <c r="D192" s="7"/>
      <c r="E192" s="7"/>
      <c r="F192" s="104"/>
      <c r="G192" s="68"/>
      <c r="H192" s="68"/>
      <c r="I192" s="68"/>
      <c r="J192" s="68"/>
      <c r="K192" s="68"/>
      <c r="L192" s="68"/>
      <c r="M192" s="68"/>
      <c r="N192" s="68"/>
      <c r="O192" s="68"/>
      <c r="P192" s="68"/>
    </row>
    <row r="193" spans="3:16" ht="15">
      <c r="C193" s="16" t="s">
        <v>122</v>
      </c>
      <c r="D193" s="84">
        <f>D26</f>
        <v>1446393301</v>
      </c>
      <c r="E193" s="84">
        <f>E26</f>
        <v>2942112669</v>
      </c>
      <c r="F193" s="81">
        <f>F26</f>
        <v>2070152900</v>
      </c>
      <c r="G193" s="84">
        <f aca="true" t="shared" si="133" ref="G193:M193">G26</f>
        <v>2611763462</v>
      </c>
      <c r="H193" s="84">
        <f t="shared" si="133"/>
        <v>2742351635.1</v>
      </c>
      <c r="I193" s="84">
        <f t="shared" si="133"/>
        <v>2879469216.855</v>
      </c>
      <c r="J193" s="84">
        <f t="shared" si="133"/>
        <v>3023442677.69775</v>
      </c>
      <c r="K193" s="84">
        <f t="shared" si="133"/>
        <v>3174614811.582638</v>
      </c>
      <c r="L193" s="84">
        <f t="shared" si="133"/>
        <v>3333345552.16177</v>
      </c>
      <c r="M193" s="84">
        <f t="shared" si="133"/>
        <v>3500012829.7698584</v>
      </c>
      <c r="N193" s="84">
        <f>N26</f>
        <v>3675013471.2583513</v>
      </c>
      <c r="O193" s="84">
        <f>O26</f>
        <v>3858764144.8212686</v>
      </c>
      <c r="P193" s="84">
        <f>P26</f>
        <v>4051702352.062333</v>
      </c>
    </row>
    <row r="194" spans="3:16" ht="15">
      <c r="C194" s="20" t="s">
        <v>123</v>
      </c>
      <c r="D194" s="104">
        <f>D52</f>
        <v>2100000</v>
      </c>
      <c r="E194" s="104">
        <f>E52</f>
        <v>3864008</v>
      </c>
      <c r="F194" s="104">
        <f>F52</f>
        <v>2100000</v>
      </c>
      <c r="G194" s="7">
        <f aca="true" t="shared" si="134" ref="G194:M194">G52</f>
        <v>3100000</v>
      </c>
      <c r="H194" s="7">
        <f t="shared" si="134"/>
        <v>3255000</v>
      </c>
      <c r="I194" s="7">
        <f t="shared" si="134"/>
        <v>3417750</v>
      </c>
      <c r="J194" s="7">
        <f t="shared" si="134"/>
        <v>3588637.5</v>
      </c>
      <c r="K194" s="7">
        <f t="shared" si="134"/>
        <v>3768069.375</v>
      </c>
      <c r="L194" s="7">
        <f t="shared" si="134"/>
        <v>3956472.84375</v>
      </c>
      <c r="M194" s="7">
        <f t="shared" si="134"/>
        <v>4154296.4859375</v>
      </c>
      <c r="N194" s="7">
        <f>N52</f>
        <v>4362011.310234375</v>
      </c>
      <c r="O194" s="7">
        <f>O52</f>
        <v>4580111.875746095</v>
      </c>
      <c r="P194" s="7">
        <f>P52</f>
        <v>4809117.4695334</v>
      </c>
    </row>
    <row r="195" spans="3:16" ht="15">
      <c r="C195" s="19" t="s">
        <v>429</v>
      </c>
      <c r="D195" s="104">
        <f>D60+D77</f>
        <v>1241368301</v>
      </c>
      <c r="E195" s="104">
        <f>E60+E77</f>
        <v>2617941516</v>
      </c>
      <c r="F195" s="104">
        <f>F60+F77</f>
        <v>1846677900</v>
      </c>
      <c r="G195" s="104">
        <f aca="true" t="shared" si="135" ref="G195:P195">G60+G77</f>
        <v>2379338462</v>
      </c>
      <c r="H195" s="104">
        <f t="shared" si="135"/>
        <v>2498305385.1</v>
      </c>
      <c r="I195" s="104">
        <f t="shared" si="135"/>
        <v>2623220654.355</v>
      </c>
      <c r="J195" s="104">
        <f t="shared" si="135"/>
        <v>2754381687.07275</v>
      </c>
      <c r="K195" s="104">
        <f t="shared" si="135"/>
        <v>2892100771.426388</v>
      </c>
      <c r="L195" s="104">
        <f t="shared" si="135"/>
        <v>3036705809.9977074</v>
      </c>
      <c r="M195" s="104">
        <f t="shared" si="135"/>
        <v>3188541100.497593</v>
      </c>
      <c r="N195" s="104">
        <f t="shared" si="135"/>
        <v>3347968155.5224724</v>
      </c>
      <c r="O195" s="104">
        <f t="shared" si="135"/>
        <v>3515366563.298596</v>
      </c>
      <c r="P195" s="104">
        <f t="shared" si="135"/>
        <v>3691134891.4635267</v>
      </c>
    </row>
    <row r="196" spans="3:16" ht="15">
      <c r="C196" s="16" t="s">
        <v>124</v>
      </c>
      <c r="D196" s="81">
        <f>D193-D194-D195</f>
        <v>202925000</v>
      </c>
      <c r="E196" s="81">
        <f>E193-E194-E195</f>
        <v>320307145</v>
      </c>
      <c r="F196" s="81">
        <f>F193-F194-F195</f>
        <v>221375000</v>
      </c>
      <c r="G196" s="81">
        <f aca="true" t="shared" si="136" ref="G196:P196">G193-G194-G195</f>
        <v>229325000</v>
      </c>
      <c r="H196" s="81">
        <f t="shared" si="136"/>
        <v>240791250</v>
      </c>
      <c r="I196" s="81">
        <f t="shared" si="136"/>
        <v>252830812.5</v>
      </c>
      <c r="J196" s="81">
        <f t="shared" si="136"/>
        <v>265472353.125</v>
      </c>
      <c r="K196" s="81">
        <f t="shared" si="136"/>
        <v>278745970.78125</v>
      </c>
      <c r="L196" s="81">
        <f t="shared" si="136"/>
        <v>292683269.3203125</v>
      </c>
      <c r="M196" s="81">
        <f t="shared" si="136"/>
        <v>307317432.78632784</v>
      </c>
      <c r="N196" s="81">
        <f t="shared" si="136"/>
        <v>322683304.4256444</v>
      </c>
      <c r="O196" s="81">
        <f t="shared" si="136"/>
        <v>338817469.6469264</v>
      </c>
      <c r="P196" s="81">
        <f t="shared" si="136"/>
        <v>355758343.12927294</v>
      </c>
    </row>
    <row r="197" spans="3:16" ht="15">
      <c r="C197" s="16"/>
      <c r="D197" s="68"/>
      <c r="E197" s="68"/>
      <c r="F197" s="103"/>
      <c r="G197" s="68"/>
      <c r="H197" s="68"/>
      <c r="I197" s="68"/>
      <c r="J197" s="68"/>
      <c r="K197" s="68"/>
      <c r="L197" s="68"/>
      <c r="M197" s="68"/>
      <c r="N197" s="68"/>
      <c r="O197" s="68"/>
      <c r="P197" s="68"/>
    </row>
    <row r="198" spans="3:16" ht="15">
      <c r="C198" s="18" t="s">
        <v>96</v>
      </c>
      <c r="D198" s="81">
        <f>D61+D62+D77</f>
        <v>333329552</v>
      </c>
      <c r="E198" s="81">
        <f>E61+E62+E77</f>
        <v>463263312</v>
      </c>
      <c r="F198" s="81">
        <f>F61+F62+F77</f>
        <v>966583645</v>
      </c>
      <c r="G198" s="81">
        <f aca="true" t="shared" si="137" ref="G198:P198">G61+G62</f>
        <v>543036825</v>
      </c>
      <c r="H198" s="81">
        <f t="shared" si="137"/>
        <v>570188666.25</v>
      </c>
      <c r="I198" s="81">
        <f t="shared" si="137"/>
        <v>598698099.5625</v>
      </c>
      <c r="J198" s="81">
        <f t="shared" si="137"/>
        <v>628633004.540625</v>
      </c>
      <c r="K198" s="81">
        <f t="shared" si="137"/>
        <v>660064654.7676562</v>
      </c>
      <c r="L198" s="81">
        <f t="shared" si="137"/>
        <v>693067887.506039</v>
      </c>
      <c r="M198" s="81">
        <f t="shared" si="137"/>
        <v>727721281.881341</v>
      </c>
      <c r="N198" s="81">
        <f t="shared" si="137"/>
        <v>764107345.9754081</v>
      </c>
      <c r="O198" s="81">
        <f t="shared" si="137"/>
        <v>802312713.2741785</v>
      </c>
      <c r="P198" s="81">
        <f t="shared" si="137"/>
        <v>842428348.9378875</v>
      </c>
    </row>
    <row r="199" spans="3:16" ht="15">
      <c r="C199" s="31" t="s">
        <v>125</v>
      </c>
      <c r="D199" s="105">
        <f>D191+D196+D198</f>
        <v>2025059552</v>
      </c>
      <c r="E199" s="105">
        <f aca="true" t="shared" si="138" ref="E199:P199">E191+E196+E198</f>
        <v>2484517440.76</v>
      </c>
      <c r="F199" s="80">
        <f t="shared" si="138"/>
        <v>2777020741</v>
      </c>
      <c r="G199" s="105">
        <f t="shared" si="138"/>
        <v>2450312575</v>
      </c>
      <c r="H199" s="105">
        <f t="shared" si="138"/>
        <v>2597271416.25</v>
      </c>
      <c r="I199" s="105">
        <f t="shared" si="138"/>
        <v>2801971424.5625</v>
      </c>
      <c r="J199" s="105">
        <f t="shared" si="138"/>
        <v>2953492933.290625</v>
      </c>
      <c r="K199" s="105">
        <f t="shared" si="138"/>
        <v>3112177017.4551563</v>
      </c>
      <c r="L199" s="105">
        <f t="shared" si="138"/>
        <v>3278381805.827914</v>
      </c>
      <c r="M199" s="105">
        <f t="shared" si="138"/>
        <v>3452483333.6193094</v>
      </c>
      <c r="N199" s="105">
        <f t="shared" si="138"/>
        <v>3634876437.8002753</v>
      </c>
      <c r="O199" s="105">
        <f t="shared" si="138"/>
        <v>3825975697.1902885</v>
      </c>
      <c r="P199" s="105">
        <f t="shared" si="138"/>
        <v>4026216419.549804</v>
      </c>
    </row>
    <row r="200" spans="3:16" ht="15">
      <c r="C200" s="32"/>
      <c r="D200" s="32"/>
      <c r="E200" s="106"/>
      <c r="F200" s="107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</row>
    <row r="201" spans="3:19" s="33" customFormat="1" ht="18">
      <c r="C201" s="281" t="s">
        <v>76</v>
      </c>
      <c r="D201" s="281"/>
      <c r="E201" s="281"/>
      <c r="F201" s="281"/>
      <c r="G201" s="281"/>
      <c r="H201" s="281"/>
      <c r="I201" s="281"/>
      <c r="J201" s="281"/>
      <c r="K201" s="281"/>
      <c r="L201" s="281"/>
      <c r="M201" s="281"/>
      <c r="N201" s="281"/>
      <c r="O201" s="281"/>
      <c r="P201" s="281"/>
      <c r="Q201" s="35"/>
      <c r="S201" s="34"/>
    </row>
    <row r="202" spans="3:19" s="33" customFormat="1" ht="18">
      <c r="C202" s="281" t="s">
        <v>501</v>
      </c>
      <c r="D202" s="281"/>
      <c r="E202" s="281"/>
      <c r="F202" s="281"/>
      <c r="G202" s="281"/>
      <c r="H202" s="281"/>
      <c r="I202" s="281"/>
      <c r="J202" s="281"/>
      <c r="K202" s="281"/>
      <c r="L202" s="281"/>
      <c r="M202" s="281"/>
      <c r="N202" s="281"/>
      <c r="O202" s="281"/>
      <c r="P202" s="281"/>
      <c r="Q202" s="35"/>
      <c r="S202" s="34"/>
    </row>
    <row r="203" spans="3:16" ht="32.25" customHeight="1">
      <c r="C203" s="36" t="s">
        <v>126</v>
      </c>
      <c r="D203" s="70" t="s">
        <v>111</v>
      </c>
      <c r="E203" s="70" t="s">
        <v>111</v>
      </c>
      <c r="F203" s="109" t="s">
        <v>112</v>
      </c>
      <c r="G203" s="109" t="s">
        <v>113</v>
      </c>
      <c r="H203" s="70" t="s">
        <v>114</v>
      </c>
      <c r="I203" s="70" t="s">
        <v>116</v>
      </c>
      <c r="J203" s="70" t="s">
        <v>117</v>
      </c>
      <c r="K203" s="70" t="s">
        <v>118</v>
      </c>
      <c r="L203" s="70" t="s">
        <v>120</v>
      </c>
      <c r="M203" s="70" t="s">
        <v>127</v>
      </c>
      <c r="N203" s="70" t="s">
        <v>128</v>
      </c>
      <c r="O203" s="70" t="s">
        <v>129</v>
      </c>
      <c r="P203" s="70" t="s">
        <v>130</v>
      </c>
    </row>
    <row r="204" spans="2:16" ht="39.75" customHeight="1">
      <c r="B204" s="37"/>
      <c r="C204" s="38" t="s">
        <v>131</v>
      </c>
      <c r="D204" s="110">
        <f>D208+D212</f>
        <v>1686225008</v>
      </c>
      <c r="E204" s="110">
        <f>E208+E212</f>
        <v>1823239308.18</v>
      </c>
      <c r="F204" s="110">
        <f aca="true" t="shared" si="139" ref="F204:P204">F208+F212</f>
        <v>1925115719</v>
      </c>
      <c r="G204" s="110">
        <f t="shared" si="139"/>
        <v>2108396716</v>
      </c>
      <c r="H204" s="110">
        <f t="shared" si="139"/>
        <v>2093816551.8</v>
      </c>
      <c r="I204" s="110">
        <f t="shared" si="139"/>
        <v>2198507379.3900003</v>
      </c>
      <c r="J204" s="110">
        <f t="shared" si="139"/>
        <v>2308432748.3595</v>
      </c>
      <c r="K204" s="110">
        <f t="shared" si="139"/>
        <v>2423854385.7774754</v>
      </c>
      <c r="L204" s="110">
        <f t="shared" si="139"/>
        <v>2545047105.066349</v>
      </c>
      <c r="M204" s="110">
        <f t="shared" si="139"/>
        <v>2672299460.3196664</v>
      </c>
      <c r="N204" s="110">
        <f t="shared" si="139"/>
        <v>2805914433.33565</v>
      </c>
      <c r="O204" s="110">
        <f t="shared" si="139"/>
        <v>2946210155.002433</v>
      </c>
      <c r="P204" s="110">
        <f t="shared" si="139"/>
        <v>3093520662.752555</v>
      </c>
    </row>
    <row r="205" spans="2:27" ht="15">
      <c r="B205" s="37"/>
      <c r="C205" s="16" t="s">
        <v>132</v>
      </c>
      <c r="D205" s="7">
        <v>98014947</v>
      </c>
      <c r="E205" s="7">
        <v>101976810</v>
      </c>
      <c r="F205" s="104">
        <v>117173761</v>
      </c>
      <c r="G205" s="86">
        <f>'[2]FUNCIONAMIENTO'!$F$5</f>
        <v>111819410</v>
      </c>
      <c r="H205" s="86">
        <f aca="true" t="shared" si="140" ref="H205:P205">G205*$G$3</f>
        <v>117410380.5</v>
      </c>
      <c r="I205" s="86">
        <f t="shared" si="140"/>
        <v>123280899.525</v>
      </c>
      <c r="J205" s="86">
        <f t="shared" si="140"/>
        <v>129444944.50125001</v>
      </c>
      <c r="K205" s="86">
        <f t="shared" si="140"/>
        <v>135917191.72631252</v>
      </c>
      <c r="L205" s="86">
        <f t="shared" si="140"/>
        <v>142713051.31262815</v>
      </c>
      <c r="M205" s="86">
        <f t="shared" si="140"/>
        <v>149848703.87825957</v>
      </c>
      <c r="N205" s="86">
        <f t="shared" si="140"/>
        <v>157341139.07217255</v>
      </c>
      <c r="O205" s="86">
        <f t="shared" si="140"/>
        <v>165208196.02578118</v>
      </c>
      <c r="P205" s="86">
        <f t="shared" si="140"/>
        <v>173468605.82707024</v>
      </c>
      <c r="R205" s="39"/>
      <c r="T205" s="39"/>
      <c r="U205" s="39"/>
      <c r="V205" s="39"/>
      <c r="W205" s="39"/>
      <c r="X205" s="39"/>
      <c r="Y205" s="39"/>
      <c r="Z205" s="39"/>
      <c r="AA205" s="39"/>
    </row>
    <row r="206" spans="2:27" ht="15">
      <c r="B206" s="37"/>
      <c r="C206" s="16" t="s">
        <v>133</v>
      </c>
      <c r="D206" s="68">
        <v>80251834</v>
      </c>
      <c r="E206" s="68">
        <v>75873085</v>
      </c>
      <c r="F206" s="103">
        <v>81000000</v>
      </c>
      <c r="G206" s="86">
        <f>'[2]FUNCIONAMIENTO'!$F$42</f>
        <v>85950000</v>
      </c>
      <c r="H206" s="86">
        <f aca="true" t="shared" si="141" ref="H206:P206">G206*$G$3</f>
        <v>90247500</v>
      </c>
      <c r="I206" s="86">
        <f t="shared" si="141"/>
        <v>94759875</v>
      </c>
      <c r="J206" s="86">
        <f t="shared" si="141"/>
        <v>99497868.75</v>
      </c>
      <c r="K206" s="86">
        <f t="shared" si="141"/>
        <v>104472762.1875</v>
      </c>
      <c r="L206" s="86">
        <f t="shared" si="141"/>
        <v>109696400.296875</v>
      </c>
      <c r="M206" s="86">
        <f t="shared" si="141"/>
        <v>115181220.31171876</v>
      </c>
      <c r="N206" s="86">
        <f t="shared" si="141"/>
        <v>120940281.3273047</v>
      </c>
      <c r="O206" s="86">
        <f t="shared" si="141"/>
        <v>126987295.39366995</v>
      </c>
      <c r="P206" s="86">
        <f t="shared" si="141"/>
        <v>133336660.16335346</v>
      </c>
      <c r="R206" s="39"/>
      <c r="T206" s="39"/>
      <c r="U206" s="39"/>
      <c r="V206" s="39"/>
      <c r="W206" s="39"/>
      <c r="X206" s="39"/>
      <c r="Y206" s="39"/>
      <c r="Z206" s="39"/>
      <c r="AA206" s="39"/>
    </row>
    <row r="207" spans="2:27" ht="15">
      <c r="B207" s="37"/>
      <c r="C207" s="16" t="s">
        <v>477</v>
      </c>
      <c r="D207" s="7">
        <v>1167958227</v>
      </c>
      <c r="E207" s="7">
        <v>1258674734.18</v>
      </c>
      <c r="F207" s="104">
        <v>1374941958</v>
      </c>
      <c r="G207" s="86">
        <f>'[2]FUNCIONAMIENTO'!$F$81+26750281+56993740</f>
        <v>1523627306</v>
      </c>
      <c r="H207" s="86">
        <f>(G207*$G$3)-120000000</f>
        <v>1479808671.3</v>
      </c>
      <c r="I207" s="86">
        <f aca="true" t="shared" si="142" ref="I207:P207">H207*$G$3</f>
        <v>1553799104.865</v>
      </c>
      <c r="J207" s="86">
        <f t="shared" si="142"/>
        <v>1631489060.1082501</v>
      </c>
      <c r="K207" s="86">
        <f t="shared" si="142"/>
        <v>1713063513.1136627</v>
      </c>
      <c r="L207" s="86">
        <f t="shared" si="142"/>
        <v>1798716688.769346</v>
      </c>
      <c r="M207" s="86">
        <f t="shared" si="142"/>
        <v>1888652523.2078133</v>
      </c>
      <c r="N207" s="86">
        <f t="shared" si="142"/>
        <v>1983085149.368204</v>
      </c>
      <c r="O207" s="86">
        <f t="shared" si="142"/>
        <v>2082239406.8366144</v>
      </c>
      <c r="P207" s="86">
        <f t="shared" si="142"/>
        <v>2186351377.1784453</v>
      </c>
      <c r="R207" s="39"/>
      <c r="T207" s="39"/>
      <c r="U207" s="39"/>
      <c r="V207" s="39"/>
      <c r="W207" s="39"/>
      <c r="X207" s="39"/>
      <c r="Y207" s="39"/>
      <c r="Z207" s="39"/>
      <c r="AA207" s="39"/>
    </row>
    <row r="208" spans="3:27" ht="15">
      <c r="C208" s="16" t="s">
        <v>478</v>
      </c>
      <c r="D208" s="111">
        <f>SUM(D205:D207)</f>
        <v>1346225008</v>
      </c>
      <c r="E208" s="111">
        <f>SUM(E205:E207)</f>
        <v>1436524629.18</v>
      </c>
      <c r="F208" s="111">
        <f aca="true" t="shared" si="143" ref="F208:P208">SUM(F205:F207)</f>
        <v>1573115719</v>
      </c>
      <c r="G208" s="111">
        <f t="shared" si="143"/>
        <v>1721396716</v>
      </c>
      <c r="H208" s="111">
        <f t="shared" si="143"/>
        <v>1687466551.8</v>
      </c>
      <c r="I208" s="111">
        <f t="shared" si="143"/>
        <v>1771839879.39</v>
      </c>
      <c r="J208" s="111">
        <f t="shared" si="143"/>
        <v>1860431873.3595002</v>
      </c>
      <c r="K208" s="111">
        <f t="shared" si="143"/>
        <v>1953453467.0274754</v>
      </c>
      <c r="L208" s="111">
        <f t="shared" si="143"/>
        <v>2051126140.378849</v>
      </c>
      <c r="M208" s="111">
        <f t="shared" si="143"/>
        <v>2153682447.3977914</v>
      </c>
      <c r="N208" s="111">
        <f t="shared" si="143"/>
        <v>2261366569.767681</v>
      </c>
      <c r="O208" s="111">
        <f t="shared" si="143"/>
        <v>2374434898.2560654</v>
      </c>
      <c r="P208" s="111">
        <f t="shared" si="143"/>
        <v>2493156643.168869</v>
      </c>
      <c r="R208" s="39"/>
      <c r="T208" s="39"/>
      <c r="U208" s="39"/>
      <c r="V208" s="39"/>
      <c r="W208" s="39"/>
      <c r="X208" s="39"/>
      <c r="Y208" s="39"/>
      <c r="Z208" s="39"/>
      <c r="AA208" s="39"/>
    </row>
    <row r="209" spans="3:27" ht="15">
      <c r="C209" s="16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R209" s="39"/>
      <c r="T209" s="39"/>
      <c r="U209" s="39"/>
      <c r="V209" s="39"/>
      <c r="W209" s="39"/>
      <c r="X209" s="39"/>
      <c r="Y209" s="39"/>
      <c r="Z209" s="39"/>
      <c r="AA209" s="39"/>
    </row>
    <row r="210" spans="3:27" ht="15">
      <c r="C210" s="16"/>
      <c r="D210" s="111"/>
      <c r="E210" s="111"/>
      <c r="F210" s="131">
        <f aca="true" t="shared" si="144" ref="F210:P210">F207/(F199-F205-F206)</f>
        <v>0.5331615131348352</v>
      </c>
      <c r="G210" s="131">
        <f t="shared" si="144"/>
        <v>0.6764031560744809</v>
      </c>
      <c r="H210" s="131">
        <f t="shared" si="144"/>
        <v>0.619266943864021</v>
      </c>
      <c r="I210" s="131">
        <f t="shared" si="144"/>
        <v>0.6013315817289641</v>
      </c>
      <c r="J210" s="131">
        <f t="shared" si="144"/>
        <v>0.5988104414407586</v>
      </c>
      <c r="K210" s="131">
        <f t="shared" si="144"/>
        <v>0.5965148094932912</v>
      </c>
      <c r="L210" s="131">
        <f t="shared" si="144"/>
        <v>0.5944260152482268</v>
      </c>
      <c r="M210" s="131">
        <f t="shared" si="144"/>
        <v>0.5925270994144352</v>
      </c>
      <c r="N210" s="131">
        <f t="shared" si="144"/>
        <v>0.5908026256035557</v>
      </c>
      <c r="O210" s="131">
        <f t="shared" si="144"/>
        <v>0.5892385167125603</v>
      </c>
      <c r="P210" s="131">
        <f t="shared" si="144"/>
        <v>0.5878219123707696</v>
      </c>
      <c r="R210" s="39"/>
      <c r="T210" s="39"/>
      <c r="U210" s="39"/>
      <c r="V210" s="39"/>
      <c r="W210" s="39"/>
      <c r="X210" s="39"/>
      <c r="Y210" s="39"/>
      <c r="Z210" s="39"/>
      <c r="AA210" s="39"/>
    </row>
    <row r="211" spans="3:27" ht="15">
      <c r="C211" s="16"/>
      <c r="D211" s="7"/>
      <c r="E211" s="7"/>
      <c r="F211" s="104"/>
      <c r="G211" s="7"/>
      <c r="H211" s="7"/>
      <c r="I211" s="7"/>
      <c r="J211" s="7"/>
      <c r="K211" s="7"/>
      <c r="L211" s="7"/>
      <c r="M211" s="7"/>
      <c r="N211" s="7"/>
      <c r="O211" s="7"/>
      <c r="P211" s="7"/>
      <c r="R211" s="39"/>
      <c r="T211" s="39"/>
      <c r="U211" s="39"/>
      <c r="V211" s="39"/>
      <c r="W211" s="39"/>
      <c r="X211" s="39"/>
      <c r="Y211" s="39"/>
      <c r="Z211" s="39"/>
      <c r="AA211" s="39"/>
    </row>
    <row r="212" spans="3:27" ht="15">
      <c r="C212" s="16" t="s">
        <v>479</v>
      </c>
      <c r="D212" s="63">
        <v>340000000</v>
      </c>
      <c r="E212" s="63">
        <v>386714679</v>
      </c>
      <c r="F212" s="112">
        <v>352000000</v>
      </c>
      <c r="G212" s="91">
        <f>'[2]FUNCIONAMIENTO'!$F$152+6500000+20000000</f>
        <v>387000000</v>
      </c>
      <c r="H212" s="91">
        <f aca="true" t="shared" si="145" ref="H212:P212">G212*$G$3</f>
        <v>406350000</v>
      </c>
      <c r="I212" s="91">
        <f t="shared" si="145"/>
        <v>426667500</v>
      </c>
      <c r="J212" s="91">
        <f t="shared" si="145"/>
        <v>448000875</v>
      </c>
      <c r="K212" s="91">
        <f t="shared" si="145"/>
        <v>470400918.75</v>
      </c>
      <c r="L212" s="91">
        <f t="shared" si="145"/>
        <v>493920964.6875</v>
      </c>
      <c r="M212" s="91">
        <f t="shared" si="145"/>
        <v>518617012.921875</v>
      </c>
      <c r="N212" s="91">
        <f t="shared" si="145"/>
        <v>544547863.5679687</v>
      </c>
      <c r="O212" s="91">
        <f t="shared" si="145"/>
        <v>571775256.7463672</v>
      </c>
      <c r="P212" s="91">
        <f t="shared" si="145"/>
        <v>600364019.5836856</v>
      </c>
      <c r="R212" s="39"/>
      <c r="T212" s="39"/>
      <c r="U212" s="39"/>
      <c r="V212" s="39"/>
      <c r="W212" s="39"/>
      <c r="X212" s="39"/>
      <c r="Y212" s="39"/>
      <c r="Z212" s="39"/>
      <c r="AA212" s="39"/>
    </row>
    <row r="213" spans="3:27" ht="15">
      <c r="C213" s="40"/>
      <c r="D213" s="40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R213" s="39"/>
      <c r="T213" s="39"/>
      <c r="U213" s="39"/>
      <c r="V213" s="39"/>
      <c r="W213" s="39"/>
      <c r="X213" s="39"/>
      <c r="Y213" s="39"/>
      <c r="Z213" s="39"/>
      <c r="AA213" s="39"/>
    </row>
    <row r="214" spans="3:27" ht="18">
      <c r="C214" s="287" t="s">
        <v>502</v>
      </c>
      <c r="D214" s="287"/>
      <c r="E214" s="287"/>
      <c r="F214" s="287"/>
      <c r="G214" s="287"/>
      <c r="H214" s="287"/>
      <c r="I214" s="287"/>
      <c r="J214" s="287"/>
      <c r="K214" s="287"/>
      <c r="L214" s="287"/>
      <c r="M214" s="287"/>
      <c r="N214" s="287"/>
      <c r="O214" s="287"/>
      <c r="P214" s="287"/>
      <c r="R214" s="39"/>
      <c r="T214" s="39"/>
      <c r="U214" s="39"/>
      <c r="V214" s="39"/>
      <c r="W214" s="39"/>
      <c r="X214" s="39"/>
      <c r="Y214" s="39"/>
      <c r="Z214" s="39"/>
      <c r="AA214" s="39"/>
    </row>
    <row r="215" spans="3:27" ht="15">
      <c r="C215" s="36" t="s">
        <v>126</v>
      </c>
      <c r="D215" s="70" t="s">
        <v>111</v>
      </c>
      <c r="E215" s="70" t="s">
        <v>111</v>
      </c>
      <c r="F215" s="70" t="s">
        <v>112</v>
      </c>
      <c r="G215" s="70" t="s">
        <v>113</v>
      </c>
      <c r="H215" s="70" t="s">
        <v>114</v>
      </c>
      <c r="I215" s="70" t="s">
        <v>116</v>
      </c>
      <c r="J215" s="70" t="s">
        <v>117</v>
      </c>
      <c r="K215" s="70" t="s">
        <v>118</v>
      </c>
      <c r="L215" s="70" t="s">
        <v>120</v>
      </c>
      <c r="M215" s="70" t="s">
        <v>127</v>
      </c>
      <c r="N215" s="70" t="s">
        <v>128</v>
      </c>
      <c r="O215" s="70" t="s">
        <v>129</v>
      </c>
      <c r="P215" s="70" t="s">
        <v>130</v>
      </c>
      <c r="R215" s="39"/>
      <c r="T215" s="39"/>
      <c r="U215" s="39"/>
      <c r="V215" s="39"/>
      <c r="W215" s="39"/>
      <c r="X215" s="39"/>
      <c r="Y215" s="39"/>
      <c r="Z215" s="39"/>
      <c r="AA215" s="39"/>
    </row>
    <row r="216" spans="3:27" ht="15">
      <c r="C216" s="43" t="s">
        <v>504</v>
      </c>
      <c r="D216" s="105">
        <f>SUM(D217:D218)</f>
        <v>221151330</v>
      </c>
      <c r="E216" s="105">
        <f>SUM(E217:E218)</f>
        <v>187542467</v>
      </c>
      <c r="F216" s="105">
        <f aca="true" t="shared" si="146" ref="F216:P216">SUM(F217:F218)</f>
        <v>263242904</v>
      </c>
      <c r="G216" s="105">
        <f t="shared" si="146"/>
        <v>248354250</v>
      </c>
      <c r="H216" s="105">
        <f t="shared" si="146"/>
        <v>234696250</v>
      </c>
      <c r="I216" s="105">
        <f t="shared" si="146"/>
        <v>163058750</v>
      </c>
      <c r="J216" s="105">
        <f t="shared" si="146"/>
        <v>154788750</v>
      </c>
      <c r="K216" s="105">
        <f t="shared" si="146"/>
        <v>146518750</v>
      </c>
      <c r="L216" s="105">
        <f t="shared" si="146"/>
        <v>138248750</v>
      </c>
      <c r="M216" s="105">
        <f t="shared" si="146"/>
        <v>129978750</v>
      </c>
      <c r="N216" s="105">
        <f t="shared" si="146"/>
        <v>121708750</v>
      </c>
      <c r="O216" s="105">
        <f t="shared" si="146"/>
        <v>113438750</v>
      </c>
      <c r="P216" s="105">
        <f t="shared" si="146"/>
        <v>105168750</v>
      </c>
      <c r="R216" s="39"/>
      <c r="T216" s="39"/>
      <c r="U216" s="39"/>
      <c r="V216" s="39"/>
      <c r="W216" s="39"/>
      <c r="X216" s="39"/>
      <c r="Y216" s="39"/>
      <c r="Z216" s="39"/>
      <c r="AA216" s="39"/>
    </row>
    <row r="217" spans="3:27" ht="15">
      <c r="C217" s="44" t="s">
        <v>505</v>
      </c>
      <c r="D217" s="95">
        <v>160000000</v>
      </c>
      <c r="E217" s="95">
        <v>160000000</v>
      </c>
      <c r="F217" s="92">
        <v>263242904</v>
      </c>
      <c r="G217" s="92">
        <f>60000000+100000000</f>
        <v>160000000</v>
      </c>
      <c r="H217" s="92">
        <f>60000000+100000000</f>
        <v>160000000</v>
      </c>
      <c r="I217" s="92">
        <f>100000000</f>
        <v>100000000</v>
      </c>
      <c r="J217" s="92">
        <f aca="true" t="shared" si="147" ref="J217:P217">100000000</f>
        <v>100000000</v>
      </c>
      <c r="K217" s="92">
        <f t="shared" si="147"/>
        <v>100000000</v>
      </c>
      <c r="L217" s="92">
        <f t="shared" si="147"/>
        <v>100000000</v>
      </c>
      <c r="M217" s="92">
        <f t="shared" si="147"/>
        <v>100000000</v>
      </c>
      <c r="N217" s="92">
        <f t="shared" si="147"/>
        <v>100000000</v>
      </c>
      <c r="O217" s="92">
        <f t="shared" si="147"/>
        <v>100000000</v>
      </c>
      <c r="P217" s="92">
        <f t="shared" si="147"/>
        <v>100000000</v>
      </c>
      <c r="R217" s="39"/>
      <c r="T217" s="39"/>
      <c r="U217" s="39"/>
      <c r="V217" s="39"/>
      <c r="W217" s="39"/>
      <c r="X217" s="39"/>
      <c r="Y217" s="39"/>
      <c r="Z217" s="39"/>
      <c r="AA217" s="39"/>
    </row>
    <row r="218" spans="3:27" ht="15">
      <c r="C218" s="44" t="s">
        <v>506</v>
      </c>
      <c r="D218" s="95">
        <v>61151330</v>
      </c>
      <c r="E218" s="95">
        <v>27542467</v>
      </c>
      <c r="F218" s="92"/>
      <c r="G218" s="92">
        <f>SUM(DEUDA!D11:D14)+SUM(DEUDA!D26:D29)</f>
        <v>88354250</v>
      </c>
      <c r="H218" s="92">
        <f>SUM(DEUDA!D15:D18)+SUM(DEUDA!D30:D33)</f>
        <v>74696250</v>
      </c>
      <c r="I218" s="92">
        <f>SUM(DEUDA!D34:D37)</f>
        <v>63058750</v>
      </c>
      <c r="J218" s="92">
        <f>SUM(DEUDA!D38:D41)</f>
        <v>54788750</v>
      </c>
      <c r="K218" s="92">
        <f>SUM(DEUDA!D42:D45)</f>
        <v>46518750</v>
      </c>
      <c r="L218" s="92">
        <f>SUM(DEUDA!D46:D49)</f>
        <v>38248750</v>
      </c>
      <c r="M218" s="92">
        <f>SUM(DEUDA!D50:D53)</f>
        <v>29978750</v>
      </c>
      <c r="N218" s="92">
        <f>SUM(DEUDA!D54:D57)</f>
        <v>21708750</v>
      </c>
      <c r="O218" s="92">
        <f>SUM(DEUDA!D58:D61)</f>
        <v>13438750</v>
      </c>
      <c r="P218" s="92">
        <f>SUM(DEUDA!D62:D65)</f>
        <v>5168750</v>
      </c>
      <c r="R218" s="39"/>
      <c r="T218" s="39"/>
      <c r="U218" s="39"/>
      <c r="V218" s="39"/>
      <c r="W218" s="39"/>
      <c r="X218" s="39"/>
      <c r="Y218" s="39"/>
      <c r="Z218" s="39"/>
      <c r="AA218" s="39"/>
    </row>
    <row r="219" spans="3:27" ht="15">
      <c r="C219" s="40"/>
      <c r="D219" s="40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R219" s="39"/>
      <c r="T219" s="39"/>
      <c r="U219" s="39"/>
      <c r="V219" s="39"/>
      <c r="W219" s="39"/>
      <c r="X219" s="39"/>
      <c r="Y219" s="39"/>
      <c r="Z219" s="39"/>
      <c r="AA219" s="39"/>
    </row>
    <row r="220" spans="3:27" ht="15">
      <c r="C220" s="40"/>
      <c r="D220" s="40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R220" s="39"/>
      <c r="T220" s="39"/>
      <c r="U220" s="39"/>
      <c r="V220" s="39"/>
      <c r="W220" s="39"/>
      <c r="X220" s="39"/>
      <c r="Y220" s="39"/>
      <c r="Z220" s="39"/>
      <c r="AA220" s="39"/>
    </row>
    <row r="221" spans="3:27" ht="15">
      <c r="C221" s="40"/>
      <c r="D221" s="40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R221" s="39"/>
      <c r="T221" s="39"/>
      <c r="U221" s="39"/>
      <c r="V221" s="39"/>
      <c r="W221" s="39"/>
      <c r="X221" s="39"/>
      <c r="Y221" s="39"/>
      <c r="Z221" s="39"/>
      <c r="AA221" s="39"/>
    </row>
    <row r="222" spans="3:27" ht="28.5">
      <c r="C222" s="40"/>
      <c r="D222" s="40"/>
      <c r="E222" s="114"/>
      <c r="F222" s="115"/>
      <c r="G222" s="114"/>
      <c r="H222" s="266" t="s">
        <v>650</v>
      </c>
      <c r="I222" s="114"/>
      <c r="J222" s="114"/>
      <c r="K222" s="114"/>
      <c r="L222" s="114"/>
      <c r="M222" s="114"/>
      <c r="N222" s="114"/>
      <c r="O222" s="114"/>
      <c r="P222" s="114"/>
      <c r="R222" s="39"/>
      <c r="T222" s="39"/>
      <c r="U222" s="39"/>
      <c r="V222" s="39"/>
      <c r="W222" s="39"/>
      <c r="X222" s="39"/>
      <c r="Y222" s="39"/>
      <c r="Z222" s="39"/>
      <c r="AA222" s="39"/>
    </row>
    <row r="223" spans="2:27" ht="18">
      <c r="B223" s="24"/>
      <c r="C223" s="287" t="s">
        <v>503</v>
      </c>
      <c r="D223" s="287"/>
      <c r="E223" s="287"/>
      <c r="F223" s="287"/>
      <c r="G223" s="287"/>
      <c r="H223" s="287"/>
      <c r="I223" s="287"/>
      <c r="J223" s="287"/>
      <c r="K223" s="287"/>
      <c r="L223" s="287"/>
      <c r="M223" s="287"/>
      <c r="N223" s="287"/>
      <c r="O223" s="287"/>
      <c r="P223" s="287"/>
      <c r="R223" s="39"/>
      <c r="T223" s="39"/>
      <c r="U223" s="39"/>
      <c r="V223" s="39"/>
      <c r="W223" s="39"/>
      <c r="X223" s="39"/>
      <c r="Y223" s="39"/>
      <c r="Z223" s="39"/>
      <c r="AA223" s="39"/>
    </row>
    <row r="224" spans="3:27" ht="23.25" customHeight="1">
      <c r="C224" s="36" t="s">
        <v>126</v>
      </c>
      <c r="D224" s="70" t="s">
        <v>111</v>
      </c>
      <c r="E224" s="70" t="s">
        <v>111</v>
      </c>
      <c r="F224" s="70" t="s">
        <v>112</v>
      </c>
      <c r="G224" s="70" t="s">
        <v>113</v>
      </c>
      <c r="H224" s="70" t="s">
        <v>114</v>
      </c>
      <c r="I224" s="70" t="s">
        <v>116</v>
      </c>
      <c r="J224" s="70" t="s">
        <v>117</v>
      </c>
      <c r="K224" s="70" t="s">
        <v>118</v>
      </c>
      <c r="L224" s="70" t="s">
        <v>120</v>
      </c>
      <c r="M224" s="70" t="s">
        <v>127</v>
      </c>
      <c r="N224" s="70" t="s">
        <v>128</v>
      </c>
      <c r="O224" s="70" t="s">
        <v>129</v>
      </c>
      <c r="P224" s="70" t="s">
        <v>130</v>
      </c>
      <c r="R224" s="39"/>
      <c r="T224" s="39"/>
      <c r="U224" s="39"/>
      <c r="V224" s="39"/>
      <c r="W224" s="39"/>
      <c r="X224" s="39"/>
      <c r="Y224" s="39"/>
      <c r="Z224" s="39"/>
      <c r="AA224" s="39"/>
    </row>
    <row r="225" spans="3:27" ht="18" customHeight="1" hidden="1">
      <c r="C225" s="38" t="s">
        <v>134</v>
      </c>
      <c r="D225" s="116" t="s">
        <v>111</v>
      </c>
      <c r="E225" s="116" t="s">
        <v>111</v>
      </c>
      <c r="F225" s="117" t="s">
        <v>112</v>
      </c>
      <c r="G225" s="116"/>
      <c r="H225" s="118"/>
      <c r="I225" s="108"/>
      <c r="J225" s="108"/>
      <c r="K225" s="108"/>
      <c r="L225" s="108"/>
      <c r="M225" s="108"/>
      <c r="N225" s="108"/>
      <c r="O225" s="108"/>
      <c r="P225" s="108"/>
      <c r="R225" s="39"/>
      <c r="T225" s="39"/>
      <c r="U225" s="39"/>
      <c r="V225" s="39"/>
      <c r="W225" s="39"/>
      <c r="X225" s="39"/>
      <c r="Y225" s="39"/>
      <c r="Z225" s="39"/>
      <c r="AA225" s="39"/>
    </row>
    <row r="226" spans="3:27" ht="17.25" customHeight="1">
      <c r="C226" s="41" t="s">
        <v>135</v>
      </c>
      <c r="D226" s="116"/>
      <c r="E226" s="116"/>
      <c r="F226" s="117"/>
      <c r="G226" s="116"/>
      <c r="H226" s="116"/>
      <c r="I226" s="108"/>
      <c r="J226" s="108"/>
      <c r="K226" s="108"/>
      <c r="L226" s="108"/>
      <c r="M226" s="108"/>
      <c r="N226" s="108"/>
      <c r="O226" s="108"/>
      <c r="P226" s="108"/>
      <c r="R226" s="39"/>
      <c r="T226" s="39"/>
      <c r="U226" s="39"/>
      <c r="V226" s="39"/>
      <c r="W226" s="39"/>
      <c r="X226" s="39"/>
      <c r="Y226" s="39"/>
      <c r="Z226" s="39"/>
      <c r="AA226" s="39"/>
    </row>
    <row r="227" spans="3:27" ht="15" customHeight="1">
      <c r="C227" s="17" t="s">
        <v>136</v>
      </c>
      <c r="D227" s="7">
        <v>270402082.9665</v>
      </c>
      <c r="E227" s="7">
        <v>527769646.25</v>
      </c>
      <c r="F227" s="104">
        <v>332864297.9665</v>
      </c>
      <c r="G227" s="86">
        <f>'[2]INVERSION'!$K$23+1440100+25395393</f>
        <v>400976686</v>
      </c>
      <c r="H227" s="86">
        <f aca="true" t="shared" si="148" ref="H227:H232">(G227*$G$3)+(G227*0.053)</f>
        <v>442277284.658</v>
      </c>
      <c r="I227" s="86">
        <f aca="true" t="shared" si="149" ref="I227:I232">(H227*$G$3)+(H227*0.029)</f>
        <v>477217190.145982</v>
      </c>
      <c r="J227" s="86">
        <f aca="true" t="shared" si="150" ref="J227:P227">(I227*$G$3)+(I227*0.005)</f>
        <v>503464135.60401106</v>
      </c>
      <c r="K227" s="86">
        <f t="shared" si="150"/>
        <v>531154663.0622317</v>
      </c>
      <c r="L227" s="86">
        <f t="shared" si="150"/>
        <v>560368169.5306545</v>
      </c>
      <c r="M227" s="86">
        <f t="shared" si="150"/>
        <v>591188418.8548405</v>
      </c>
      <c r="N227" s="86">
        <f t="shared" si="150"/>
        <v>623703781.8918568</v>
      </c>
      <c r="O227" s="86">
        <f t="shared" si="150"/>
        <v>658007489.8959088</v>
      </c>
      <c r="P227" s="86">
        <f t="shared" si="150"/>
        <v>694197901.8401839</v>
      </c>
      <c r="R227" s="39"/>
      <c r="T227" s="39"/>
      <c r="U227" s="39"/>
      <c r="V227" s="39"/>
      <c r="W227" s="39"/>
      <c r="X227" s="39"/>
      <c r="Y227" s="39"/>
      <c r="Z227" s="39"/>
      <c r="AA227" s="39"/>
    </row>
    <row r="228" spans="3:27" ht="15" customHeight="1">
      <c r="C228" s="17" t="s">
        <v>137</v>
      </c>
      <c r="D228" s="7">
        <v>949459719</v>
      </c>
      <c r="E228" s="7">
        <v>1196132523.1299999</v>
      </c>
      <c r="F228" s="104">
        <v>789485594</v>
      </c>
      <c r="G228" s="86">
        <f>'[2]INVERSION'!$K$65+35558451+2992114-1621557+16630554</f>
        <v>752186821</v>
      </c>
      <c r="H228" s="86">
        <f>(G228*$G$3)+(G228*0.053)-25055447</f>
        <v>804606616.5630001</v>
      </c>
      <c r="I228" s="86">
        <f>(H228*$G$3)+(H228*0.029)-15051235</f>
        <v>853119304.2714771</v>
      </c>
      <c r="J228" s="86">
        <f>(I228*$G$3)+(I228*0.005)-2751792</f>
        <v>897289074.0064085</v>
      </c>
      <c r="K228" s="86">
        <f>(J228*$G$3)+(J228*0.005)-2889382</f>
        <v>943750591.076761</v>
      </c>
      <c r="L228" s="86">
        <f>(K228*$G$3)+(K228*0.005)-3033851</f>
        <v>992623022.5859829</v>
      </c>
      <c r="M228" s="86">
        <f>(L228*$G$3)+(L228*0.005)-3185543</f>
        <v>1044031745.828212</v>
      </c>
      <c r="N228" s="86">
        <f>(M228*$G$3)+(M228*0.005)-3344822</f>
        <v>1098108669.8487637</v>
      </c>
      <c r="O228" s="86">
        <f>(N228*$G$3)+(N228*0.005)-3512062</f>
        <v>1154992584.690446</v>
      </c>
      <c r="P228" s="86">
        <f>(O228*$G$3)+(O228*0.005)-3687665</f>
        <v>1214829511.8484204</v>
      </c>
      <c r="R228" s="39"/>
      <c r="T228" s="39"/>
      <c r="U228" s="39"/>
      <c r="V228" s="39"/>
      <c r="W228" s="39"/>
      <c r="X228" s="39"/>
      <c r="Y228" s="39"/>
      <c r="Z228" s="39"/>
      <c r="AA228" s="39"/>
    </row>
    <row r="229" spans="3:27" ht="15" customHeight="1">
      <c r="C229" s="17" t="s">
        <v>138</v>
      </c>
      <c r="D229" s="7">
        <v>57117720</v>
      </c>
      <c r="E229" s="7">
        <v>99321409</v>
      </c>
      <c r="F229" s="104">
        <v>71206320</v>
      </c>
      <c r="G229" s="86">
        <f>'[2]INVERSION'!$K$96</f>
        <v>94201245</v>
      </c>
      <c r="H229" s="86">
        <f t="shared" si="148"/>
        <v>103903973.235</v>
      </c>
      <c r="I229" s="86">
        <f t="shared" si="149"/>
        <v>112112387.120565</v>
      </c>
      <c r="J229" s="86">
        <f aca="true" t="shared" si="151" ref="J229:K232">(I229*$G$3)+(I229*0.005)</f>
        <v>118278568.41219608</v>
      </c>
      <c r="K229" s="86">
        <f t="shared" si="151"/>
        <v>124783889.67486688</v>
      </c>
      <c r="L229" s="86">
        <f aca="true" t="shared" si="152" ref="L229:P232">(K229*$G$3)+(K229*0.005)</f>
        <v>131647003.60698457</v>
      </c>
      <c r="M229" s="86">
        <f t="shared" si="152"/>
        <v>138887588.80536875</v>
      </c>
      <c r="N229" s="86">
        <f t="shared" si="152"/>
        <v>146526406.18966407</v>
      </c>
      <c r="O229" s="86">
        <f t="shared" si="152"/>
        <v>154585358.53009558</v>
      </c>
      <c r="P229" s="86">
        <f t="shared" si="152"/>
        <v>163087553.24925086</v>
      </c>
      <c r="R229" s="39"/>
      <c r="T229" s="39"/>
      <c r="U229" s="39"/>
      <c r="V229" s="39"/>
      <c r="W229" s="39"/>
      <c r="X229" s="39"/>
      <c r="Y229" s="39"/>
      <c r="Z229" s="39"/>
      <c r="AA229" s="39"/>
    </row>
    <row r="230" spans="3:27" ht="15" customHeight="1">
      <c r="C230" s="17" t="s">
        <v>105</v>
      </c>
      <c r="D230" s="7">
        <v>71898187</v>
      </c>
      <c r="E230" s="7">
        <v>284496227</v>
      </c>
      <c r="F230" s="104">
        <v>79214818</v>
      </c>
      <c r="G230" s="86">
        <f>'[2]INVERSION'!$K$124+2293506+33500838</f>
        <v>90862313</v>
      </c>
      <c r="H230" s="86">
        <f t="shared" si="148"/>
        <v>100221131.23900001</v>
      </c>
      <c r="I230" s="86">
        <f t="shared" si="149"/>
        <v>108138600.60688101</v>
      </c>
      <c r="J230" s="86">
        <f t="shared" si="151"/>
        <v>114086223.64025946</v>
      </c>
      <c r="K230" s="86">
        <f t="shared" si="151"/>
        <v>120360965.94047374</v>
      </c>
      <c r="L230" s="86">
        <f t="shared" si="152"/>
        <v>126980819.0671998</v>
      </c>
      <c r="M230" s="86">
        <f t="shared" si="152"/>
        <v>133964764.1158958</v>
      </c>
      <c r="N230" s="86">
        <f t="shared" si="152"/>
        <v>141332826.14227006</v>
      </c>
      <c r="O230" s="86">
        <f t="shared" si="152"/>
        <v>149106131.5800949</v>
      </c>
      <c r="P230" s="86">
        <f t="shared" si="152"/>
        <v>157306968.81700015</v>
      </c>
      <c r="R230" s="39"/>
      <c r="T230" s="39"/>
      <c r="U230" s="39"/>
      <c r="V230" s="39"/>
      <c r="W230" s="39"/>
      <c r="X230" s="39"/>
      <c r="Y230" s="39"/>
      <c r="Z230" s="39"/>
      <c r="AA230" s="39"/>
    </row>
    <row r="231" spans="3:27" ht="15" customHeight="1">
      <c r="C231" s="17" t="s">
        <v>139</v>
      </c>
      <c r="D231" s="7">
        <v>151536749</v>
      </c>
      <c r="E231" s="7">
        <v>774329142.4</v>
      </c>
      <c r="F231" s="104">
        <v>183309375</v>
      </c>
      <c r="G231" s="86">
        <f>'[2]INVERSION'!$K$150+13058008+14177295</f>
        <v>142558178</v>
      </c>
      <c r="H231" s="86">
        <f t="shared" si="148"/>
        <v>157241670.334</v>
      </c>
      <c r="I231" s="86">
        <f t="shared" si="149"/>
        <v>169663762.290386</v>
      </c>
      <c r="J231" s="86">
        <f t="shared" si="151"/>
        <v>178995269.21635723</v>
      </c>
      <c r="K231" s="86">
        <f t="shared" si="151"/>
        <v>188840009.0232569</v>
      </c>
      <c r="L231" s="86">
        <f t="shared" si="152"/>
        <v>199226209.51953602</v>
      </c>
      <c r="M231" s="86">
        <f t="shared" si="152"/>
        <v>210183651.0431105</v>
      </c>
      <c r="N231" s="86">
        <f t="shared" si="152"/>
        <v>221743751.85048157</v>
      </c>
      <c r="O231" s="86">
        <f t="shared" si="152"/>
        <v>233939658.20225805</v>
      </c>
      <c r="P231" s="86">
        <f t="shared" si="152"/>
        <v>246806339.40338227</v>
      </c>
      <c r="R231" s="39"/>
      <c r="T231" s="39"/>
      <c r="U231" s="39"/>
      <c r="V231" s="39"/>
      <c r="W231" s="39"/>
      <c r="X231" s="39"/>
      <c r="Y231" s="39"/>
      <c r="Z231" s="39"/>
      <c r="AA231" s="39"/>
    </row>
    <row r="232" spans="3:27" ht="18" customHeight="1">
      <c r="C232" s="17" t="s">
        <v>140</v>
      </c>
      <c r="D232" s="7">
        <v>111500000</v>
      </c>
      <c r="E232" s="7">
        <v>84667064</v>
      </c>
      <c r="F232" s="104">
        <v>134500000</v>
      </c>
      <c r="G232" s="86">
        <f>'[2]INVERSION'!$K$172+14240000</f>
        <v>152474869</v>
      </c>
      <c r="H232" s="86">
        <f t="shared" si="148"/>
        <v>168179780.50700003</v>
      </c>
      <c r="I232" s="86">
        <f t="shared" si="149"/>
        <v>181465983.16705304</v>
      </c>
      <c r="J232" s="86">
        <f t="shared" si="151"/>
        <v>191446612.24124098</v>
      </c>
      <c r="K232" s="86">
        <f t="shared" si="151"/>
        <v>201976175.91450924</v>
      </c>
      <c r="L232" s="86">
        <f t="shared" si="152"/>
        <v>213084865.58980724</v>
      </c>
      <c r="M232" s="86">
        <f t="shared" si="152"/>
        <v>224804533.19724667</v>
      </c>
      <c r="N232" s="86">
        <f t="shared" si="152"/>
        <v>237168782.52309525</v>
      </c>
      <c r="O232" s="86">
        <f t="shared" si="152"/>
        <v>250213065.5618655</v>
      </c>
      <c r="P232" s="86">
        <f t="shared" si="152"/>
        <v>263974784.16776812</v>
      </c>
      <c r="R232" s="39"/>
      <c r="T232" s="39"/>
      <c r="U232" s="39"/>
      <c r="V232" s="39"/>
      <c r="W232" s="39"/>
      <c r="X232" s="39"/>
      <c r="Y232" s="39"/>
      <c r="Z232" s="39"/>
      <c r="AA232" s="39"/>
    </row>
    <row r="233" spans="3:16" ht="20.25" customHeight="1">
      <c r="C233" s="42" t="s">
        <v>141</v>
      </c>
      <c r="D233" s="105">
        <f>SUM(D227:D232)</f>
        <v>1611914457.9665</v>
      </c>
      <c r="E233" s="105">
        <f>SUM(E227:E232)</f>
        <v>2966716011.7799997</v>
      </c>
      <c r="F233" s="105">
        <f aca="true" t="shared" si="153" ref="F233:P233">SUM(F227:F232)</f>
        <v>1590580404.9665</v>
      </c>
      <c r="G233" s="105">
        <f t="shared" si="153"/>
        <v>1633260112</v>
      </c>
      <c r="H233" s="105">
        <f t="shared" si="153"/>
        <v>1776430456.5360003</v>
      </c>
      <c r="I233" s="105">
        <f t="shared" si="153"/>
        <v>1901717227.6023438</v>
      </c>
      <c r="J233" s="105">
        <f t="shared" si="153"/>
        <v>2003559883.1204734</v>
      </c>
      <c r="K233" s="105">
        <f t="shared" si="153"/>
        <v>2110866294.6920996</v>
      </c>
      <c r="L233" s="105">
        <f t="shared" si="153"/>
        <v>2223930089.900165</v>
      </c>
      <c r="M233" s="105">
        <f t="shared" si="153"/>
        <v>2343060701.844674</v>
      </c>
      <c r="N233" s="105">
        <f t="shared" si="153"/>
        <v>2468584218.4461317</v>
      </c>
      <c r="O233" s="105">
        <f t="shared" si="153"/>
        <v>2600844288.4606686</v>
      </c>
      <c r="P233" s="105">
        <f t="shared" si="153"/>
        <v>2740203059.3260055</v>
      </c>
    </row>
    <row r="234" spans="3:16" ht="33.75" customHeight="1">
      <c r="C234" s="41" t="s">
        <v>142</v>
      </c>
      <c r="D234" s="110"/>
      <c r="E234" s="110"/>
      <c r="F234" s="119"/>
      <c r="G234" s="110"/>
      <c r="H234" s="120"/>
      <c r="I234" s="108"/>
      <c r="J234" s="108"/>
      <c r="K234" s="108"/>
      <c r="L234" s="108"/>
      <c r="M234" s="108"/>
      <c r="N234" s="108"/>
      <c r="O234" s="108"/>
      <c r="P234" s="108"/>
    </row>
    <row r="235" spans="3:16" ht="15" customHeight="1">
      <c r="C235" s="17" t="s">
        <v>143</v>
      </c>
      <c r="D235" s="121">
        <v>49000000</v>
      </c>
      <c r="E235" s="121">
        <v>193602803.79</v>
      </c>
      <c r="F235" s="122">
        <v>35000000</v>
      </c>
      <c r="G235" s="86">
        <f>'[2]INVERSION'!$K$211</f>
        <v>35625000</v>
      </c>
      <c r="H235" s="86">
        <f>(G235*$G$3)+(G235*0.053)</f>
        <v>39294375</v>
      </c>
      <c r="I235" s="86">
        <f>(H235*$G$3)+(H235*0.029)</f>
        <v>42398630.625</v>
      </c>
      <c r="J235" s="86">
        <f aca="true" t="shared" si="154" ref="J235:P238">(I235*$G$3)+(I235*0.005)</f>
        <v>44730555.309375</v>
      </c>
      <c r="K235" s="86">
        <f t="shared" si="154"/>
        <v>47190735.85139063</v>
      </c>
      <c r="L235" s="86">
        <f t="shared" si="154"/>
        <v>49786226.32321712</v>
      </c>
      <c r="M235" s="86">
        <f t="shared" si="154"/>
        <v>52524468.77099406</v>
      </c>
      <c r="N235" s="86">
        <f t="shared" si="154"/>
        <v>55413314.553398736</v>
      </c>
      <c r="O235" s="86">
        <f t="shared" si="154"/>
        <v>58461046.85383567</v>
      </c>
      <c r="P235" s="86">
        <f t="shared" si="154"/>
        <v>61676404.43079664</v>
      </c>
    </row>
    <row r="236" spans="3:16" ht="15" customHeight="1">
      <c r="C236" s="17" t="s">
        <v>144</v>
      </c>
      <c r="D236" s="121">
        <v>71746727</v>
      </c>
      <c r="E236" s="121">
        <v>250862092.84</v>
      </c>
      <c r="F236" s="122">
        <v>83681841</v>
      </c>
      <c r="G236" s="86">
        <f>'[2]INVERSION'!$K$236+20000000+7373436</f>
        <v>224246217</v>
      </c>
      <c r="H236" s="86">
        <f>(G236*$G$3)+(G236*0.053)</f>
        <v>247343577.351</v>
      </c>
      <c r="I236" s="86">
        <f>(H236*$G$3)+(H236*0.029)</f>
        <v>266883719.96172902</v>
      </c>
      <c r="J236" s="86">
        <f t="shared" si="154"/>
        <v>281562324.55962414</v>
      </c>
      <c r="K236" s="86">
        <f t="shared" si="154"/>
        <v>297048252.4104035</v>
      </c>
      <c r="L236" s="86">
        <f t="shared" si="154"/>
        <v>313385906.29297566</v>
      </c>
      <c r="M236" s="86">
        <f t="shared" si="154"/>
        <v>330622131.13908935</v>
      </c>
      <c r="N236" s="86">
        <f t="shared" si="154"/>
        <v>348806348.3517393</v>
      </c>
      <c r="O236" s="86">
        <f t="shared" si="154"/>
        <v>367990697.511085</v>
      </c>
      <c r="P236" s="86">
        <f t="shared" si="154"/>
        <v>388230185.8741947</v>
      </c>
    </row>
    <row r="237" spans="3:16" ht="15" customHeight="1">
      <c r="C237" s="17" t="s">
        <v>145</v>
      </c>
      <c r="D237" s="121">
        <v>285456832</v>
      </c>
      <c r="E237" s="121">
        <v>1816600194.16</v>
      </c>
      <c r="F237" s="122">
        <v>751004677</v>
      </c>
      <c r="G237" s="86">
        <f>'[2]INVERSION'!$K$266+21115188+15081574</f>
        <v>759585387</v>
      </c>
      <c r="H237" s="86">
        <f>(G237*$G$3)+(G237*0.053)</f>
        <v>837822681.8610001</v>
      </c>
      <c r="I237" s="86">
        <f>(H237*$G$3)+(H237*0.028)</f>
        <v>903172851.0461581</v>
      </c>
      <c r="J237" s="86">
        <f t="shared" si="154"/>
        <v>952847357.8536968</v>
      </c>
      <c r="K237" s="86">
        <f t="shared" si="154"/>
        <v>1005253962.5356503</v>
      </c>
      <c r="L237" s="86">
        <f>(K237*$G$3)+(K237*0.005)-1770677.06</f>
        <v>1058772253.4151111</v>
      </c>
      <c r="M237" s="86">
        <f>(L237*$G$3)+(L237*0.005)</f>
        <v>1117004727.3529422</v>
      </c>
      <c r="N237" s="86">
        <f>(M237*$G$3)+(M237*0.005)-4535545.91</f>
        <v>1173904441.447354</v>
      </c>
      <c r="O237" s="86">
        <f>(N237*$G$3)+(N237*0.005)-5988114.78</f>
        <v>1232481070.9469585</v>
      </c>
      <c r="P237" s="86">
        <f>(O237*$G$3)+(O237*0.005)-7490569.57</f>
        <v>1292776960.2790415</v>
      </c>
    </row>
    <row r="238" spans="3:16" ht="15" customHeight="1">
      <c r="C238" s="17" t="s">
        <v>146</v>
      </c>
      <c r="D238" s="95">
        <v>80000000</v>
      </c>
      <c r="E238" s="95">
        <v>640285003.13</v>
      </c>
      <c r="F238" s="92">
        <v>110317135</v>
      </c>
      <c r="G238" s="86">
        <f>'[2]INVERSION'!$K$336+8312570+20000000</f>
        <v>108312570</v>
      </c>
      <c r="H238" s="86">
        <f>(G238*$G$3)+(G238*0.053)</f>
        <v>119468764.71</v>
      </c>
      <c r="I238" s="86">
        <f>(H238*$G$3)+(H238*0.029)</f>
        <v>128906797.12209</v>
      </c>
      <c r="J238" s="86">
        <f t="shared" si="154"/>
        <v>135996670.96380496</v>
      </c>
      <c r="K238" s="86">
        <f t="shared" si="154"/>
        <v>143476487.86681426</v>
      </c>
      <c r="L238" s="86">
        <f t="shared" si="154"/>
        <v>151367694.69948903</v>
      </c>
      <c r="M238" s="86">
        <f>(L238*$G$3)+(L238*0.005)</f>
        <v>159692917.90796092</v>
      </c>
      <c r="N238" s="86">
        <f>(M238*$G$3)+(M238*0.005)</f>
        <v>168476028.39289877</v>
      </c>
      <c r="O238" s="86">
        <f>(N238*$G$3)+(N238*0.005)</f>
        <v>177742209.95450822</v>
      </c>
      <c r="P238" s="86">
        <f>(O238*$G$3)+(O238*0.005)</f>
        <v>187518031.50200617</v>
      </c>
    </row>
    <row r="239" spans="3:16" ht="18" customHeight="1">
      <c r="C239" s="42" t="s">
        <v>147</v>
      </c>
      <c r="D239" s="105">
        <f>D235+D236+D237+D238</f>
        <v>486203559</v>
      </c>
      <c r="E239" s="105">
        <f>E235+E236+E237+E238</f>
        <v>2901350093.92</v>
      </c>
      <c r="F239" s="80">
        <f>F235+F236+F237+F238</f>
        <v>980003653</v>
      </c>
      <c r="G239" s="105">
        <f aca="true" t="shared" si="155" ref="G239:M239">G235+G236+G237+G238</f>
        <v>1127769174</v>
      </c>
      <c r="H239" s="105">
        <f t="shared" si="155"/>
        <v>1243929398.9220002</v>
      </c>
      <c r="I239" s="105">
        <f t="shared" si="155"/>
        <v>1341361998.7549772</v>
      </c>
      <c r="J239" s="105">
        <f t="shared" si="155"/>
        <v>1415136908.6865008</v>
      </c>
      <c r="K239" s="105">
        <f t="shared" si="155"/>
        <v>1492969438.6642585</v>
      </c>
      <c r="L239" s="105">
        <f t="shared" si="155"/>
        <v>1573312080.730793</v>
      </c>
      <c r="M239" s="105">
        <f t="shared" si="155"/>
        <v>1659844245.1709867</v>
      </c>
      <c r="N239" s="105">
        <f>N235+N236+N237+N238</f>
        <v>1746600132.745391</v>
      </c>
      <c r="O239" s="105">
        <f>O235+O236+O237+O238</f>
        <v>1836675025.2663875</v>
      </c>
      <c r="P239" s="105">
        <f>P235+P236+P237+P238</f>
        <v>1930201582.086039</v>
      </c>
    </row>
    <row r="240" spans="3:16" ht="27" customHeight="1">
      <c r="C240" s="41" t="s">
        <v>148</v>
      </c>
      <c r="D240" s="99"/>
      <c r="E240" s="99"/>
      <c r="F240" s="100"/>
      <c r="G240" s="68"/>
      <c r="H240" s="123"/>
      <c r="I240" s="108"/>
      <c r="J240" s="108"/>
      <c r="K240" s="108"/>
      <c r="L240" s="108"/>
      <c r="M240" s="108"/>
      <c r="N240" s="108"/>
      <c r="O240" s="108"/>
      <c r="P240" s="108"/>
    </row>
    <row r="241" spans="3:16" ht="15" customHeight="1">
      <c r="C241" s="17" t="s">
        <v>149</v>
      </c>
      <c r="D241" s="7">
        <v>97326378</v>
      </c>
      <c r="E241" s="7">
        <v>315403532.47</v>
      </c>
      <c r="F241" s="104">
        <v>180813672</v>
      </c>
      <c r="G241" s="86">
        <f>'[2]INVERSION'!$K$356+5400000-17847</f>
        <v>134223781</v>
      </c>
      <c r="H241" s="86">
        <f>(G241*$G$3)+(G241*0.053)</f>
        <v>148048830.44300002</v>
      </c>
      <c r="I241" s="86">
        <f>(H241*$G$3)+(H241*0.028)+30250</f>
        <v>159626889.21755403</v>
      </c>
      <c r="J241" s="86">
        <f aca="true" t="shared" si="156" ref="J241:P241">(I241*$G$3)+(I241*0.005)</f>
        <v>168406368.12451953</v>
      </c>
      <c r="K241" s="86">
        <f t="shared" si="156"/>
        <v>177668718.3713681</v>
      </c>
      <c r="L241" s="86">
        <f t="shared" si="156"/>
        <v>187440497.88179335</v>
      </c>
      <c r="M241" s="86">
        <f t="shared" si="156"/>
        <v>197749725.265292</v>
      </c>
      <c r="N241" s="86">
        <f t="shared" si="156"/>
        <v>208625960.15488306</v>
      </c>
      <c r="O241" s="86">
        <f t="shared" si="156"/>
        <v>220100387.96340165</v>
      </c>
      <c r="P241" s="86">
        <f t="shared" si="156"/>
        <v>232205909.30138874</v>
      </c>
    </row>
    <row r="242" spans="3:16" ht="15" customHeight="1">
      <c r="C242" s="17" t="s">
        <v>150</v>
      </c>
      <c r="D242" s="7">
        <v>121900000</v>
      </c>
      <c r="E242" s="7">
        <v>191194740.48999998</v>
      </c>
      <c r="F242" s="104">
        <v>86712596</v>
      </c>
      <c r="G242" s="86">
        <f>'[2]INVERSION'!$K$376+8664978+70000000-28235</f>
        <v>231636743</v>
      </c>
      <c r="H242" s="86">
        <f>(G242*$G$3)+(G242*0.053)</f>
        <v>255495327.529</v>
      </c>
      <c r="I242" s="86">
        <f>(H242*$G$3)+(H242*0.028)-2906888-14339</f>
        <v>272502736.076262</v>
      </c>
      <c r="J242" s="86">
        <f>(I242*$G$3)+(I242*0.005)-630000</f>
        <v>286860386.5604564</v>
      </c>
      <c r="K242" s="86">
        <f>(J242*$G$3)+(J242*0.005)-661500</f>
        <v>301976207.8212815</v>
      </c>
      <c r="L242" s="86">
        <f>(K242*$G$3)+(K242*0.005)-694575</f>
        <v>317890324.251452</v>
      </c>
      <c r="M242" s="86">
        <f>(L242*$G$3)+(L242*0.005)-3130487.48</f>
        <v>332243804.6052819</v>
      </c>
      <c r="N242" s="86">
        <f>(M242*$G$3)+(M242*0.005)-765768</f>
        <v>349751445.8585724</v>
      </c>
      <c r="O242" s="86">
        <f>(N242*$G$3)+(N242*0.005)-804058</f>
        <v>368183717.3807939</v>
      </c>
      <c r="P242" s="86">
        <f>(O242*$G$3)+(O242*0.005)-844260</f>
        <v>387589561.83673763</v>
      </c>
    </row>
    <row r="243" spans="3:16" ht="14.25" customHeight="1">
      <c r="C243" s="17" t="s">
        <v>151</v>
      </c>
      <c r="D243" s="7">
        <v>45987287.03</v>
      </c>
      <c r="E243" s="7">
        <v>77319360</v>
      </c>
      <c r="F243" s="104">
        <v>59524545.033499986</v>
      </c>
      <c r="G243" s="86">
        <f>'[2]INVERSION'!$K$401+30000000</f>
        <v>102000000</v>
      </c>
      <c r="H243" s="86">
        <f>(G243*$G$3)+(G243*0.053)</f>
        <v>112506000</v>
      </c>
      <c r="I243" s="86">
        <f>(H243*$G$3)+(H243*0.029)</f>
        <v>121393974</v>
      </c>
      <c r="J243" s="86">
        <f>(I243*$G$3)+(I243*0.005)+821715.78</f>
        <v>128892358.35000001</v>
      </c>
      <c r="K243" s="86">
        <f>(J243*$G$3)+(J243*0.005)-453960</f>
        <v>135527478.05925003</v>
      </c>
      <c r="L243" s="86">
        <f>(K243*$G$3)+(K243*0.005)</f>
        <v>142981489.35250878</v>
      </c>
      <c r="M243" s="86">
        <f>(L243*$G$3)+(L243*0.005)-729304</f>
        <v>150116167.26689675</v>
      </c>
      <c r="N243" s="86">
        <f>(M243*$G$3)+(M243*0.005)</f>
        <v>158372556.4665761</v>
      </c>
      <c r="O243" s="86">
        <f>(N243*$G$3)+(N243*0.005)</f>
        <v>167083047.0722378</v>
      </c>
      <c r="P243" s="86">
        <f>(O243*$G$3)+(O243*0.005)</f>
        <v>176272614.66121086</v>
      </c>
    </row>
    <row r="244" spans="3:16" ht="21.75" customHeight="1">
      <c r="C244" s="42" t="s">
        <v>152</v>
      </c>
      <c r="D244" s="105">
        <f>D241+D242+D243</f>
        <v>265213665.03</v>
      </c>
      <c r="E244" s="105">
        <f>E241+E242+E243</f>
        <v>583917632.96</v>
      </c>
      <c r="F244" s="80">
        <f>F241+F242+F243</f>
        <v>327050813.03349996</v>
      </c>
      <c r="G244" s="105">
        <f aca="true" t="shared" si="157" ref="G244:M244">G241+G242+G243</f>
        <v>467860524</v>
      </c>
      <c r="H244" s="105">
        <f t="shared" si="157"/>
        <v>516050157.972</v>
      </c>
      <c r="I244" s="105">
        <f t="shared" si="157"/>
        <v>553523599.2938161</v>
      </c>
      <c r="J244" s="105">
        <f t="shared" si="157"/>
        <v>584159113.0349759</v>
      </c>
      <c r="K244" s="105">
        <f t="shared" si="157"/>
        <v>615172404.2518996</v>
      </c>
      <c r="L244" s="105">
        <f t="shared" si="157"/>
        <v>648312311.4857541</v>
      </c>
      <c r="M244" s="105">
        <f t="shared" si="157"/>
        <v>680109697.1374706</v>
      </c>
      <c r="N244" s="105">
        <f>N241+N242+N243</f>
        <v>716749962.4800316</v>
      </c>
      <c r="O244" s="105">
        <f>O241+O242+O243</f>
        <v>755367152.4164333</v>
      </c>
      <c r="P244" s="105">
        <f>P241+P242+P243</f>
        <v>796068085.7993373</v>
      </c>
    </row>
    <row r="245" spans="3:16" ht="15">
      <c r="C245" s="42"/>
      <c r="D245" s="105"/>
      <c r="E245" s="105"/>
      <c r="F245" s="80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</row>
    <row r="246" spans="3:16" ht="26.25" customHeight="1">
      <c r="C246" s="43" t="s">
        <v>153</v>
      </c>
      <c r="D246" s="105">
        <f>D233+D239+D244</f>
        <v>2363331681.9965</v>
      </c>
      <c r="E246" s="105">
        <f>E233+E239+E244</f>
        <v>6451983738.66</v>
      </c>
      <c r="F246" s="80">
        <f>F233+F239+F244</f>
        <v>2897634871</v>
      </c>
      <c r="G246" s="105">
        <f aca="true" t="shared" si="158" ref="G246:M246">G233+G239+G244</f>
        <v>3228889810</v>
      </c>
      <c r="H246" s="105">
        <f t="shared" si="158"/>
        <v>3536410013.4300003</v>
      </c>
      <c r="I246" s="105">
        <f t="shared" si="158"/>
        <v>3796602825.651137</v>
      </c>
      <c r="J246" s="105">
        <f t="shared" si="158"/>
        <v>4002855904.8419504</v>
      </c>
      <c r="K246" s="105">
        <f t="shared" si="158"/>
        <v>4219008137.608258</v>
      </c>
      <c r="L246" s="105">
        <f t="shared" si="158"/>
        <v>4445554482.116713</v>
      </c>
      <c r="M246" s="105">
        <f t="shared" si="158"/>
        <v>4683014644.1531315</v>
      </c>
      <c r="N246" s="105">
        <f>N233+N239+N244</f>
        <v>4931934313.671555</v>
      </c>
      <c r="O246" s="105">
        <f>O233+O239+O244</f>
        <v>5192886466.14349</v>
      </c>
      <c r="P246" s="105">
        <f>P233+P239+P244</f>
        <v>5466472727.211382</v>
      </c>
    </row>
    <row r="247" spans="3:33" ht="15">
      <c r="C247" s="6"/>
      <c r="D247" s="68"/>
      <c r="E247" s="68"/>
      <c r="F247" s="103"/>
      <c r="G247" s="110"/>
      <c r="H247" s="87"/>
      <c r="I247" s="87"/>
      <c r="J247" s="87"/>
      <c r="K247" s="87"/>
      <c r="L247" s="87"/>
      <c r="M247" s="87"/>
      <c r="N247" s="87"/>
      <c r="O247" s="87"/>
      <c r="P247" s="87"/>
      <c r="S247" s="28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</row>
    <row r="248" spans="3:33" ht="29.25" customHeight="1">
      <c r="C248" s="45" t="s">
        <v>154</v>
      </c>
      <c r="D248" s="124">
        <f aca="true" t="shared" si="159" ref="D248:P248">D246+D216+D204</f>
        <v>4270708019.9965</v>
      </c>
      <c r="E248" s="124">
        <f t="shared" si="159"/>
        <v>8462765513.84</v>
      </c>
      <c r="F248" s="81">
        <f t="shared" si="159"/>
        <v>5085993494</v>
      </c>
      <c r="G248" s="84">
        <f t="shared" si="159"/>
        <v>5585640776</v>
      </c>
      <c r="H248" s="84">
        <f t="shared" si="159"/>
        <v>5864922815.2300005</v>
      </c>
      <c r="I248" s="84">
        <f t="shared" si="159"/>
        <v>6158168955.041138</v>
      </c>
      <c r="J248" s="84">
        <f t="shared" si="159"/>
        <v>6466077403.20145</v>
      </c>
      <c r="K248" s="84">
        <f t="shared" si="159"/>
        <v>6789381273.385733</v>
      </c>
      <c r="L248" s="84">
        <f t="shared" si="159"/>
        <v>7128850337.183062</v>
      </c>
      <c r="M248" s="84">
        <f t="shared" si="159"/>
        <v>7485292854.472797</v>
      </c>
      <c r="N248" s="84">
        <f t="shared" si="159"/>
        <v>7859557497.007204</v>
      </c>
      <c r="O248" s="84">
        <f t="shared" si="159"/>
        <v>8252535371.145923</v>
      </c>
      <c r="P248" s="84">
        <f t="shared" si="159"/>
        <v>8665162139.963936</v>
      </c>
      <c r="S248" s="28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</row>
    <row r="249" spans="3:33" ht="6" customHeight="1">
      <c r="C249" s="6"/>
      <c r="D249" s="6"/>
      <c r="E249" s="99"/>
      <c r="F249" s="100"/>
      <c r="G249" s="110"/>
      <c r="H249" s="87"/>
      <c r="I249" s="87"/>
      <c r="J249" s="87"/>
      <c r="K249" s="87"/>
      <c r="L249" s="87"/>
      <c r="M249" s="87"/>
      <c r="N249" s="87"/>
      <c r="O249" s="87"/>
      <c r="P249" s="87"/>
      <c r="S249" s="28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</row>
    <row r="250" spans="19:33" ht="26.25" customHeight="1">
      <c r="S250"/>
      <c r="AB250" s="25"/>
      <c r="AC250" s="25"/>
      <c r="AD250" s="25"/>
      <c r="AE250" s="25"/>
      <c r="AF250" s="25"/>
      <c r="AG250" s="25"/>
    </row>
    <row r="251" spans="4:33" ht="35.25" customHeight="1">
      <c r="D251" s="125">
        <f aca="true" t="shared" si="160" ref="D251:P251">D8</f>
        <v>4270708020</v>
      </c>
      <c r="E251" s="39">
        <f t="shared" si="160"/>
        <v>9418955500.08</v>
      </c>
      <c r="F251" s="125">
        <f t="shared" si="160"/>
        <v>5085993494</v>
      </c>
      <c r="G251" s="39">
        <f t="shared" si="160"/>
        <v>5585640776</v>
      </c>
      <c r="H251" s="39">
        <f t="shared" si="160"/>
        <v>5864922814.8</v>
      </c>
      <c r="I251" s="39">
        <f t="shared" si="160"/>
        <v>6158168955.539999</v>
      </c>
      <c r="J251" s="39">
        <f t="shared" si="160"/>
        <v>6466077403.317</v>
      </c>
      <c r="K251" s="39">
        <f t="shared" si="160"/>
        <v>6789381273.482851</v>
      </c>
      <c r="L251" s="39">
        <f t="shared" si="160"/>
        <v>7128850337.156993</v>
      </c>
      <c r="M251" s="39">
        <f t="shared" si="160"/>
        <v>7485292854.014842</v>
      </c>
      <c r="N251" s="39">
        <f t="shared" si="160"/>
        <v>7859557496.715586</v>
      </c>
      <c r="O251" s="39">
        <f t="shared" si="160"/>
        <v>8252535371.551365</v>
      </c>
      <c r="P251" s="39">
        <f t="shared" si="160"/>
        <v>8665162140.128935</v>
      </c>
      <c r="S251"/>
      <c r="AB251" s="25"/>
      <c r="AC251" s="25"/>
      <c r="AD251" s="25"/>
      <c r="AE251" s="25"/>
      <c r="AF251" s="25"/>
      <c r="AG251" s="25"/>
    </row>
    <row r="252" spans="4:33" ht="24.75" customHeight="1">
      <c r="D252" s="125">
        <f>D248-D251</f>
        <v>-0.0034999847412109375</v>
      </c>
      <c r="E252" s="39">
        <f>E248-E251</f>
        <v>-956189986.2399998</v>
      </c>
      <c r="F252" s="125">
        <f>F248-F251</f>
        <v>0</v>
      </c>
      <c r="G252" s="39">
        <f aca="true" t="shared" si="161" ref="G252:P252">G248-G251</f>
        <v>0</v>
      </c>
      <c r="H252" s="39">
        <f t="shared" si="161"/>
        <v>0.43000030517578125</v>
      </c>
      <c r="I252" s="39">
        <f t="shared" si="161"/>
        <v>-0.49886131286621094</v>
      </c>
      <c r="J252" s="39">
        <f t="shared" si="161"/>
        <v>-0.11555004119873047</v>
      </c>
      <c r="K252" s="39">
        <f t="shared" si="161"/>
        <v>-0.09711837768554688</v>
      </c>
      <c r="L252" s="39">
        <f t="shared" si="161"/>
        <v>0.026068687438964844</v>
      </c>
      <c r="M252" s="39">
        <f t="shared" si="161"/>
        <v>0.45795536041259766</v>
      </c>
      <c r="N252" s="39">
        <f t="shared" si="161"/>
        <v>0.29161834716796875</v>
      </c>
      <c r="O252" s="39">
        <f t="shared" si="161"/>
        <v>-0.4054422378540039</v>
      </c>
      <c r="P252" s="39">
        <f t="shared" si="161"/>
        <v>-0.16499900817871094</v>
      </c>
      <c r="S252"/>
      <c r="AB252" s="25"/>
      <c r="AC252" s="25"/>
      <c r="AD252" s="25"/>
      <c r="AE252" s="25"/>
      <c r="AF252" s="25"/>
      <c r="AG252" s="25"/>
    </row>
    <row r="253" spans="5:33" ht="15" customHeight="1">
      <c r="E253" s="39"/>
      <c r="S253"/>
      <c r="AB253" s="25"/>
      <c r="AC253" s="25"/>
      <c r="AD253" s="25"/>
      <c r="AE253" s="25"/>
      <c r="AF253" s="25"/>
      <c r="AG253" s="25"/>
    </row>
    <row r="254" spans="5:33" ht="15">
      <c r="E254" s="39"/>
      <c r="G254" s="78">
        <f>G252*-1</f>
        <v>0</v>
      </c>
      <c r="H254" s="78">
        <f aca="true" t="shared" si="162" ref="H254:P254">H252*-1</f>
        <v>-0.43000030517578125</v>
      </c>
      <c r="I254" s="78">
        <f t="shared" si="162"/>
        <v>0.49886131286621094</v>
      </c>
      <c r="J254" s="78">
        <f t="shared" si="162"/>
        <v>0.11555004119873047</v>
      </c>
      <c r="K254" s="78">
        <f t="shared" si="162"/>
        <v>0.09711837768554688</v>
      </c>
      <c r="L254" s="78">
        <f t="shared" si="162"/>
        <v>-0.026068687438964844</v>
      </c>
      <c r="M254" s="78">
        <f t="shared" si="162"/>
        <v>-0.45795536041259766</v>
      </c>
      <c r="N254" s="78">
        <f t="shared" si="162"/>
        <v>-0.29161834716796875</v>
      </c>
      <c r="O254" s="78">
        <f t="shared" si="162"/>
        <v>0.4054422378540039</v>
      </c>
      <c r="P254" s="78">
        <f t="shared" si="162"/>
        <v>0.16499900817871094</v>
      </c>
      <c r="S254"/>
      <c r="AB254" s="25"/>
      <c r="AC254" s="25"/>
      <c r="AD254" s="25"/>
      <c r="AE254" s="25"/>
      <c r="AF254" s="25"/>
      <c r="AG254" s="25"/>
    </row>
    <row r="255" spans="5:33" ht="15">
      <c r="E255" s="39"/>
      <c r="S255"/>
      <c r="AB255" s="25"/>
      <c r="AC255" s="25"/>
      <c r="AD255" s="25"/>
      <c r="AE255" s="25"/>
      <c r="AF255" s="25"/>
      <c r="AG255" s="25"/>
    </row>
    <row r="256" spans="5:33" ht="15">
      <c r="E256" s="39"/>
      <c r="S256"/>
      <c r="AB256" s="25"/>
      <c r="AC256" s="25"/>
      <c r="AD256" s="25"/>
      <c r="AE256" s="25"/>
      <c r="AF256" s="25"/>
      <c r="AG256" s="25"/>
    </row>
    <row r="257" spans="5:33" ht="15">
      <c r="E257" s="39"/>
      <c r="S257"/>
      <c r="AB257" s="25"/>
      <c r="AC257" s="25"/>
      <c r="AD257" s="25"/>
      <c r="AE257" s="25"/>
      <c r="AF257" s="25"/>
      <c r="AG257" s="25"/>
    </row>
    <row r="258" spans="5:33" ht="15" customHeight="1">
      <c r="E258" s="39"/>
      <c r="S258"/>
      <c r="AB258" s="25"/>
      <c r="AC258" s="25"/>
      <c r="AD258" s="25"/>
      <c r="AE258" s="25"/>
      <c r="AF258" s="25"/>
      <c r="AG258" s="25"/>
    </row>
    <row r="259" spans="3:33" ht="18">
      <c r="C259" s="281" t="s">
        <v>155</v>
      </c>
      <c r="D259" s="281"/>
      <c r="E259" s="281"/>
      <c r="F259" s="281"/>
      <c r="G259" s="281"/>
      <c r="H259" s="281"/>
      <c r="I259" s="281"/>
      <c r="J259" s="281"/>
      <c r="K259" s="281"/>
      <c r="L259" s="281"/>
      <c r="M259" s="281"/>
      <c r="N259" s="281"/>
      <c r="O259" s="281"/>
      <c r="P259" s="281"/>
      <c r="Q259" s="46"/>
      <c r="S259"/>
      <c r="AB259" s="25"/>
      <c r="AC259" s="25"/>
      <c r="AD259" s="25"/>
      <c r="AE259" s="25"/>
      <c r="AF259" s="25"/>
      <c r="AG259" s="25"/>
    </row>
    <row r="260" spans="3:33" ht="18">
      <c r="C260" s="288" t="s">
        <v>554</v>
      </c>
      <c r="D260" s="288"/>
      <c r="E260" s="39"/>
      <c r="F260" s="125"/>
      <c r="G260" s="267"/>
      <c r="H260" s="39"/>
      <c r="I260" s="39"/>
      <c r="J260" s="39"/>
      <c r="K260" s="39"/>
      <c r="L260" s="39"/>
      <c r="M260" s="39"/>
      <c r="N260" s="39"/>
      <c r="O260" s="39"/>
      <c r="P260" s="39"/>
      <c r="Q260"/>
      <c r="S260"/>
      <c r="AB260" s="25"/>
      <c r="AC260" s="25"/>
      <c r="AD260" s="25"/>
      <c r="AE260" s="25"/>
      <c r="AF260" s="25"/>
      <c r="AG260" s="25"/>
    </row>
    <row r="261" spans="3:33" ht="18">
      <c r="C261" s="156"/>
      <c r="D261" s="156"/>
      <c r="E261" s="39"/>
      <c r="F261" s="125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/>
      <c r="S261"/>
      <c r="AB261" s="25"/>
      <c r="AC261" s="25"/>
      <c r="AD261" s="25"/>
      <c r="AE261" s="25"/>
      <c r="AF261" s="25"/>
      <c r="AG261" s="25"/>
    </row>
    <row r="262" spans="3:33" ht="30" customHeight="1">
      <c r="C262" s="36" t="s">
        <v>126</v>
      </c>
      <c r="D262" s="70" t="s">
        <v>111</v>
      </c>
      <c r="E262" s="70" t="s">
        <v>555</v>
      </c>
      <c r="F262" s="70" t="s">
        <v>112</v>
      </c>
      <c r="G262" s="70" t="s">
        <v>113</v>
      </c>
      <c r="H262" s="70" t="s">
        <v>114</v>
      </c>
      <c r="I262" s="70" t="s">
        <v>116</v>
      </c>
      <c r="J262" s="70" t="s">
        <v>117</v>
      </c>
      <c r="K262" s="70" t="s">
        <v>118</v>
      </c>
      <c r="L262" s="70" t="s">
        <v>120</v>
      </c>
      <c r="M262" s="70" t="s">
        <v>127</v>
      </c>
      <c r="N262" s="70" t="s">
        <v>128</v>
      </c>
      <c r="O262" s="70" t="s">
        <v>129</v>
      </c>
      <c r="P262" s="70" t="s">
        <v>130</v>
      </c>
      <c r="Q262"/>
      <c r="S262"/>
      <c r="AB262" s="25"/>
      <c r="AC262" s="25"/>
      <c r="AD262" s="25"/>
      <c r="AE262" s="25"/>
      <c r="AF262" s="25"/>
      <c r="AG262" s="25"/>
    </row>
    <row r="263" spans="3:33" ht="15">
      <c r="C263" s="47" t="s">
        <v>156</v>
      </c>
      <c r="D263" s="104">
        <f>D264+D265</f>
        <v>4260408020</v>
      </c>
      <c r="E263" s="104">
        <f>E264+E265</f>
        <v>9406682371.29</v>
      </c>
      <c r="F263" s="104">
        <f aca="true" t="shared" si="163" ref="F263:P263">F264+F265</f>
        <v>5075693494</v>
      </c>
      <c r="G263" s="104">
        <f>G264+G265</f>
        <v>5580440776</v>
      </c>
      <c r="H263" s="104">
        <f t="shared" si="163"/>
        <v>5859462814.8</v>
      </c>
      <c r="I263" s="104">
        <f t="shared" si="163"/>
        <v>6152435955.539999</v>
      </c>
      <c r="J263" s="104">
        <f t="shared" si="163"/>
        <v>6460057753.317</v>
      </c>
      <c r="K263" s="104">
        <f t="shared" si="163"/>
        <v>6783060640.982851</v>
      </c>
      <c r="L263" s="104">
        <f t="shared" si="163"/>
        <v>7122213673.031993</v>
      </c>
      <c r="M263" s="104">
        <f t="shared" si="163"/>
        <v>7478324356.683592</v>
      </c>
      <c r="N263" s="104">
        <f t="shared" si="163"/>
        <v>7852240574.517773</v>
      </c>
      <c r="O263" s="104">
        <f t="shared" si="163"/>
        <v>8244852603.243661</v>
      </c>
      <c r="P263" s="104">
        <f t="shared" si="163"/>
        <v>8657095233.405846</v>
      </c>
      <c r="Q263"/>
      <c r="S263"/>
      <c r="AB263" s="25"/>
      <c r="AC263" s="25"/>
      <c r="AD263" s="25"/>
      <c r="AE263" s="25"/>
      <c r="AF263" s="25"/>
      <c r="AG263" s="25"/>
    </row>
    <row r="264" spans="3:33" ht="15" customHeight="1">
      <c r="C264" s="47" t="s">
        <v>157</v>
      </c>
      <c r="D264" s="104">
        <f aca="true" t="shared" si="164" ref="D264:P264">D9+D113-(D142+D124)</f>
        <v>4221058020</v>
      </c>
      <c r="E264" s="104">
        <f t="shared" si="164"/>
        <v>5953479300.96</v>
      </c>
      <c r="F264" s="104">
        <f t="shared" si="164"/>
        <v>5036343494</v>
      </c>
      <c r="G264" s="104">
        <f t="shared" si="164"/>
        <v>5547190776</v>
      </c>
      <c r="H264" s="104">
        <f t="shared" si="164"/>
        <v>5824550314.8</v>
      </c>
      <c r="I264" s="104">
        <f t="shared" si="164"/>
        <v>6115777830.539999</v>
      </c>
      <c r="J264" s="104">
        <f t="shared" si="164"/>
        <v>6421566722.067</v>
      </c>
      <c r="K264" s="104">
        <f t="shared" si="164"/>
        <v>6742645058.170351</v>
      </c>
      <c r="L264" s="104">
        <f t="shared" si="164"/>
        <v>7079777311.078868</v>
      </c>
      <c r="M264" s="104">
        <f t="shared" si="164"/>
        <v>7433766176.632811</v>
      </c>
      <c r="N264" s="104">
        <f t="shared" si="164"/>
        <v>7805454485.464453</v>
      </c>
      <c r="O264" s="104">
        <f t="shared" si="164"/>
        <v>8195727209.737675</v>
      </c>
      <c r="P264" s="104">
        <f t="shared" si="164"/>
        <v>8605513570.22456</v>
      </c>
      <c r="Q264"/>
      <c r="S264"/>
      <c r="AB264" s="25"/>
      <c r="AC264" s="25"/>
      <c r="AD264" s="25"/>
      <c r="AE264" s="25"/>
      <c r="AF264" s="25"/>
      <c r="AG264" s="25"/>
    </row>
    <row r="265" spans="3:33" ht="15">
      <c r="C265" s="48" t="s">
        <v>158</v>
      </c>
      <c r="D265" s="104">
        <f>SUM(D266:D268)</f>
        <v>39350000</v>
      </c>
      <c r="E265" s="104">
        <f>SUM(E266:E268)</f>
        <v>3453203070.33</v>
      </c>
      <c r="F265" s="104">
        <f aca="true" t="shared" si="165" ref="F265:P265">SUM(F266:F268)</f>
        <v>39350000</v>
      </c>
      <c r="G265" s="104">
        <f t="shared" si="165"/>
        <v>33250000</v>
      </c>
      <c r="H265" s="104">
        <f t="shared" si="165"/>
        <v>34912500</v>
      </c>
      <c r="I265" s="104">
        <f t="shared" si="165"/>
        <v>36658125</v>
      </c>
      <c r="J265" s="104">
        <f t="shared" si="165"/>
        <v>38491031.25</v>
      </c>
      <c r="K265" s="104">
        <f t="shared" si="165"/>
        <v>40415582.8125</v>
      </c>
      <c r="L265" s="104">
        <f t="shared" si="165"/>
        <v>42436361.953125</v>
      </c>
      <c r="M265" s="104">
        <f t="shared" si="165"/>
        <v>44558180.05078125</v>
      </c>
      <c r="N265" s="104">
        <f t="shared" si="165"/>
        <v>46786089.05332031</v>
      </c>
      <c r="O265" s="104">
        <f t="shared" si="165"/>
        <v>49125393.50598633</v>
      </c>
      <c r="P265" s="104">
        <f t="shared" si="165"/>
        <v>51581663.18128565</v>
      </c>
      <c r="Q265"/>
      <c r="S265"/>
      <c r="AB265" s="25"/>
      <c r="AC265" s="25"/>
      <c r="AD265" s="25"/>
      <c r="AE265" s="25"/>
      <c r="AF265" s="25"/>
      <c r="AG265" s="25"/>
    </row>
    <row r="266" spans="3:33" ht="15">
      <c r="C266" s="48" t="s">
        <v>498</v>
      </c>
      <c r="D266" s="104">
        <f aca="true" t="shared" si="166" ref="D266:P266">D81+D85</f>
        <v>0</v>
      </c>
      <c r="E266" s="104">
        <f t="shared" si="166"/>
        <v>0</v>
      </c>
      <c r="F266" s="104">
        <f t="shared" si="166"/>
        <v>0</v>
      </c>
      <c r="G266" s="104">
        <f t="shared" si="166"/>
        <v>0</v>
      </c>
      <c r="H266" s="104">
        <f t="shared" si="166"/>
        <v>0</v>
      </c>
      <c r="I266" s="104">
        <f t="shared" si="166"/>
        <v>0</v>
      </c>
      <c r="J266" s="104">
        <f t="shared" si="166"/>
        <v>0</v>
      </c>
      <c r="K266" s="104">
        <f t="shared" si="166"/>
        <v>0</v>
      </c>
      <c r="L266" s="104">
        <f t="shared" si="166"/>
        <v>0</v>
      </c>
      <c r="M266" s="104">
        <f t="shared" si="166"/>
        <v>0</v>
      </c>
      <c r="N266" s="104">
        <f t="shared" si="166"/>
        <v>0</v>
      </c>
      <c r="O266" s="104">
        <f t="shared" si="166"/>
        <v>0</v>
      </c>
      <c r="P266" s="104">
        <f t="shared" si="166"/>
        <v>0</v>
      </c>
      <c r="Q266"/>
      <c r="S266"/>
      <c r="AB266" s="25"/>
      <c r="AC266" s="25"/>
      <c r="AD266" s="25"/>
      <c r="AE266" s="25"/>
      <c r="AF266" s="25"/>
      <c r="AG266" s="25"/>
    </row>
    <row r="267" spans="3:33" ht="15">
      <c r="C267" s="48" t="s">
        <v>499</v>
      </c>
      <c r="D267" s="104">
        <f aca="true" t="shared" si="167" ref="D267:P267">D89+D93+D124-D142</f>
        <v>0</v>
      </c>
      <c r="E267" s="104">
        <f t="shared" si="167"/>
        <v>3408994030.41</v>
      </c>
      <c r="F267" s="104">
        <f t="shared" si="167"/>
        <v>0</v>
      </c>
      <c r="G267" s="104">
        <f t="shared" si="167"/>
        <v>0</v>
      </c>
      <c r="H267" s="104">
        <f t="shared" si="167"/>
        <v>0</v>
      </c>
      <c r="I267" s="104">
        <f t="shared" si="167"/>
        <v>0</v>
      </c>
      <c r="J267" s="104">
        <f t="shared" si="167"/>
        <v>0</v>
      </c>
      <c r="K267" s="104">
        <f t="shared" si="167"/>
        <v>0</v>
      </c>
      <c r="L267" s="104">
        <f t="shared" si="167"/>
        <v>0</v>
      </c>
      <c r="M267" s="104">
        <f t="shared" si="167"/>
        <v>0</v>
      </c>
      <c r="N267" s="104">
        <f t="shared" si="167"/>
        <v>0</v>
      </c>
      <c r="O267" s="104">
        <f t="shared" si="167"/>
        <v>0</v>
      </c>
      <c r="P267" s="104">
        <f t="shared" si="167"/>
        <v>0</v>
      </c>
      <c r="Q267"/>
      <c r="S267"/>
      <c r="AB267" s="25"/>
      <c r="AC267" s="25"/>
      <c r="AD267" s="25"/>
      <c r="AE267" s="25"/>
      <c r="AF267" s="25"/>
      <c r="AG267" s="25"/>
    </row>
    <row r="268" spans="3:33" ht="15">
      <c r="C268" s="48" t="s">
        <v>500</v>
      </c>
      <c r="D268" s="104">
        <f aca="true" t="shared" si="168" ref="D268:P268">D106+D142</f>
        <v>39350000</v>
      </c>
      <c r="E268" s="104">
        <f t="shared" si="168"/>
        <v>44209039.92</v>
      </c>
      <c r="F268" s="104">
        <f t="shared" si="168"/>
        <v>39350000</v>
      </c>
      <c r="G268" s="104">
        <f t="shared" si="168"/>
        <v>33250000</v>
      </c>
      <c r="H268" s="104">
        <f t="shared" si="168"/>
        <v>34912500</v>
      </c>
      <c r="I268" s="104">
        <f t="shared" si="168"/>
        <v>36658125</v>
      </c>
      <c r="J268" s="104">
        <f t="shared" si="168"/>
        <v>38491031.25</v>
      </c>
      <c r="K268" s="104">
        <f t="shared" si="168"/>
        <v>40415582.8125</v>
      </c>
      <c r="L268" s="104">
        <f t="shared" si="168"/>
        <v>42436361.953125</v>
      </c>
      <c r="M268" s="104">
        <f t="shared" si="168"/>
        <v>44558180.05078125</v>
      </c>
      <c r="N268" s="104">
        <f t="shared" si="168"/>
        <v>46786089.05332031</v>
      </c>
      <c r="O268" s="104">
        <f t="shared" si="168"/>
        <v>49125393.50598633</v>
      </c>
      <c r="P268" s="104">
        <f t="shared" si="168"/>
        <v>51581663.18128565</v>
      </c>
      <c r="Q268"/>
      <c r="S268"/>
      <c r="AB268" s="25"/>
      <c r="AC268" s="25"/>
      <c r="AD268" s="25"/>
      <c r="AE268" s="25"/>
      <c r="AF268" s="25"/>
      <c r="AG268" s="25"/>
    </row>
    <row r="269" spans="3:33" ht="15">
      <c r="C269" s="4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/>
      <c r="S269"/>
      <c r="AB269" s="25"/>
      <c r="AC269" s="25"/>
      <c r="AD269" s="25"/>
      <c r="AE269" s="25"/>
      <c r="AF269" s="25"/>
      <c r="AG269" s="25"/>
    </row>
    <row r="270" spans="3:33" ht="15" customHeight="1">
      <c r="C270" s="47" t="s">
        <v>159</v>
      </c>
      <c r="D270" s="104">
        <f>D271+D272</f>
        <v>3709556689.9965</v>
      </c>
      <c r="E270" s="104">
        <f>E271+E272</f>
        <v>7888508367.84</v>
      </c>
      <c r="F270" s="104">
        <f aca="true" t="shared" si="169" ref="F270:P270">F271+F272</f>
        <v>4470750590</v>
      </c>
      <c r="G270" s="104">
        <f t="shared" si="169"/>
        <v>4950286526</v>
      </c>
      <c r="H270" s="104">
        <f t="shared" si="169"/>
        <v>5223876565.2300005</v>
      </c>
      <c r="I270" s="104">
        <f t="shared" si="169"/>
        <v>5568442705.041138</v>
      </c>
      <c r="J270" s="104">
        <f t="shared" si="169"/>
        <v>5863287778.20145</v>
      </c>
      <c r="K270" s="104">
        <f t="shared" si="169"/>
        <v>6172461604.635733</v>
      </c>
      <c r="L270" s="104">
        <f t="shared" si="169"/>
        <v>6496680622.495562</v>
      </c>
      <c r="M270" s="104">
        <f t="shared" si="169"/>
        <v>6836697091.550922</v>
      </c>
      <c r="N270" s="104">
        <f t="shared" si="169"/>
        <v>7193300883.439236</v>
      </c>
      <c r="O270" s="104">
        <f t="shared" si="169"/>
        <v>7567321364.399555</v>
      </c>
      <c r="P270" s="104">
        <f t="shared" si="169"/>
        <v>7959629370.380251</v>
      </c>
      <c r="Q270"/>
      <c r="S270"/>
      <c r="AB270" s="25"/>
      <c r="AC270" s="25"/>
      <c r="AD270" s="25"/>
      <c r="AE270" s="25"/>
      <c r="AF270" s="25"/>
      <c r="AG270" s="25"/>
    </row>
    <row r="271" spans="3:33" ht="15">
      <c r="C271" s="47" t="s">
        <v>160</v>
      </c>
      <c r="D271" s="104">
        <f aca="true" t="shared" si="170" ref="D271:P271">D204</f>
        <v>1686225008</v>
      </c>
      <c r="E271" s="104">
        <f t="shared" si="170"/>
        <v>1823239308.18</v>
      </c>
      <c r="F271" s="104">
        <f t="shared" si="170"/>
        <v>1925115719</v>
      </c>
      <c r="G271" s="104">
        <f t="shared" si="170"/>
        <v>2108396716</v>
      </c>
      <c r="H271" s="104">
        <f t="shared" si="170"/>
        <v>2093816551.8</v>
      </c>
      <c r="I271" s="104">
        <f t="shared" si="170"/>
        <v>2198507379.3900003</v>
      </c>
      <c r="J271" s="104">
        <f t="shared" si="170"/>
        <v>2308432748.3595</v>
      </c>
      <c r="K271" s="104">
        <f t="shared" si="170"/>
        <v>2423854385.7774754</v>
      </c>
      <c r="L271" s="104">
        <f t="shared" si="170"/>
        <v>2545047105.066349</v>
      </c>
      <c r="M271" s="104">
        <f t="shared" si="170"/>
        <v>2672299460.3196664</v>
      </c>
      <c r="N271" s="104">
        <f t="shared" si="170"/>
        <v>2805914433.33565</v>
      </c>
      <c r="O271" s="104">
        <f t="shared" si="170"/>
        <v>2946210155.002433</v>
      </c>
      <c r="P271" s="104">
        <f t="shared" si="170"/>
        <v>3093520662.752555</v>
      </c>
      <c r="Q271"/>
      <c r="S271"/>
      <c r="AB271" s="25"/>
      <c r="AC271" s="25"/>
      <c r="AD271" s="25"/>
      <c r="AE271" s="25"/>
      <c r="AF271" s="25"/>
      <c r="AG271" s="25"/>
    </row>
    <row r="272" spans="3:33" ht="15">
      <c r="C272" s="47" t="s">
        <v>161</v>
      </c>
      <c r="D272" s="104">
        <f aca="true" t="shared" si="171" ref="D272:P272">D246-D212</f>
        <v>2023331681.9965</v>
      </c>
      <c r="E272" s="104">
        <f t="shared" si="171"/>
        <v>6065269059.66</v>
      </c>
      <c r="F272" s="104">
        <f t="shared" si="171"/>
        <v>2545634871</v>
      </c>
      <c r="G272" s="104">
        <f t="shared" si="171"/>
        <v>2841889810</v>
      </c>
      <c r="H272" s="104">
        <f t="shared" si="171"/>
        <v>3130060013.4300003</v>
      </c>
      <c r="I272" s="104">
        <f t="shared" si="171"/>
        <v>3369935325.651137</v>
      </c>
      <c r="J272" s="104">
        <f t="shared" si="171"/>
        <v>3554855029.8419504</v>
      </c>
      <c r="K272" s="104">
        <f t="shared" si="171"/>
        <v>3748607218.858258</v>
      </c>
      <c r="L272" s="104">
        <f t="shared" si="171"/>
        <v>3951633517.4292126</v>
      </c>
      <c r="M272" s="104">
        <f t="shared" si="171"/>
        <v>4164397631.2312565</v>
      </c>
      <c r="N272" s="104">
        <f t="shared" si="171"/>
        <v>4387386450.103586</v>
      </c>
      <c r="O272" s="104">
        <f t="shared" si="171"/>
        <v>4621111209.397122</v>
      </c>
      <c r="P272" s="104">
        <f t="shared" si="171"/>
        <v>4866108707.627696</v>
      </c>
      <c r="Q272"/>
      <c r="S272"/>
      <c r="AB272" s="25"/>
      <c r="AC272" s="25"/>
      <c r="AD272" s="25"/>
      <c r="AE272" s="25"/>
      <c r="AF272" s="25"/>
      <c r="AG272" s="25"/>
    </row>
    <row r="273" spans="3:33" ht="15">
      <c r="C273" s="50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/>
      <c r="S273"/>
      <c r="AB273" s="25"/>
      <c r="AC273" s="25"/>
      <c r="AD273" s="25"/>
      <c r="AE273" s="25"/>
      <c r="AF273" s="25"/>
      <c r="AG273" s="25"/>
    </row>
    <row r="274" spans="3:33" ht="15">
      <c r="C274" s="47" t="s">
        <v>162</v>
      </c>
      <c r="D274" s="112">
        <f>D263-D270</f>
        <v>550851330.0035</v>
      </c>
      <c r="E274" s="112">
        <f>E263-E270</f>
        <v>1518174003.4500008</v>
      </c>
      <c r="F274" s="112">
        <f aca="true" t="shared" si="172" ref="F274:P274">F263-F270</f>
        <v>604942904</v>
      </c>
      <c r="G274" s="112">
        <f>G263-G270</f>
        <v>630154250</v>
      </c>
      <c r="H274" s="112">
        <f t="shared" si="172"/>
        <v>635586249.5699997</v>
      </c>
      <c r="I274" s="112">
        <f t="shared" si="172"/>
        <v>583993250.4988613</v>
      </c>
      <c r="J274" s="112">
        <f t="shared" si="172"/>
        <v>596769975.11555</v>
      </c>
      <c r="K274" s="112">
        <f t="shared" si="172"/>
        <v>610599036.3471184</v>
      </c>
      <c r="L274" s="112">
        <f t="shared" si="172"/>
        <v>625533050.5364313</v>
      </c>
      <c r="M274" s="112">
        <f t="shared" si="172"/>
        <v>641627265.1326694</v>
      </c>
      <c r="N274" s="112">
        <f t="shared" si="172"/>
        <v>658939691.078537</v>
      </c>
      <c r="O274" s="112">
        <f t="shared" si="172"/>
        <v>677531238.8441057</v>
      </c>
      <c r="P274" s="112">
        <f t="shared" si="172"/>
        <v>697465863.0255947</v>
      </c>
      <c r="Q274"/>
      <c r="S274"/>
      <c r="AB274" s="25"/>
      <c r="AC274" s="25"/>
      <c r="AD274" s="25"/>
      <c r="AE274" s="25"/>
      <c r="AF274" s="25"/>
      <c r="AG274" s="25"/>
    </row>
    <row r="275" spans="3:33" ht="15">
      <c r="C275" s="47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/>
      <c r="S275"/>
      <c r="AB275" s="25"/>
      <c r="AC275" s="25"/>
      <c r="AD275" s="25"/>
      <c r="AE275" s="25"/>
      <c r="AF275" s="25"/>
      <c r="AG275" s="25"/>
    </row>
    <row r="276" spans="3:33" ht="15">
      <c r="C276" s="47" t="s">
        <v>163</v>
      </c>
      <c r="D276" s="104">
        <f>D217</f>
        <v>160000000</v>
      </c>
      <c r="E276" s="104">
        <f>E217</f>
        <v>160000000</v>
      </c>
      <c r="F276" s="104">
        <f aca="true" t="shared" si="173" ref="F276:P276">F217</f>
        <v>263242904</v>
      </c>
      <c r="G276" s="104">
        <f t="shared" si="173"/>
        <v>160000000</v>
      </c>
      <c r="H276" s="104">
        <f t="shared" si="173"/>
        <v>160000000</v>
      </c>
      <c r="I276" s="104">
        <f t="shared" si="173"/>
        <v>100000000</v>
      </c>
      <c r="J276" s="104">
        <f t="shared" si="173"/>
        <v>100000000</v>
      </c>
      <c r="K276" s="104">
        <f t="shared" si="173"/>
        <v>100000000</v>
      </c>
      <c r="L276" s="104">
        <f t="shared" si="173"/>
        <v>100000000</v>
      </c>
      <c r="M276" s="104">
        <f t="shared" si="173"/>
        <v>100000000</v>
      </c>
      <c r="N276" s="104">
        <f t="shared" si="173"/>
        <v>100000000</v>
      </c>
      <c r="O276" s="104">
        <f t="shared" si="173"/>
        <v>100000000</v>
      </c>
      <c r="P276" s="104">
        <f t="shared" si="173"/>
        <v>100000000</v>
      </c>
      <c r="Q276"/>
      <c r="S276"/>
      <c r="AB276" s="25"/>
      <c r="AC276" s="25"/>
      <c r="AD276" s="25"/>
      <c r="AE276" s="25"/>
      <c r="AF276" s="25"/>
      <c r="AG276" s="25"/>
    </row>
    <row r="277" spans="3:33" ht="15">
      <c r="C277" s="47" t="s">
        <v>164</v>
      </c>
      <c r="D277" s="104">
        <f>D274-D276</f>
        <v>390851330.0035</v>
      </c>
      <c r="E277" s="104">
        <f>E274-E276</f>
        <v>1358174003.4500008</v>
      </c>
      <c r="F277" s="104">
        <f aca="true" t="shared" si="174" ref="F277:P277">F274-F276</f>
        <v>341700000</v>
      </c>
      <c r="G277" s="104">
        <f t="shared" si="174"/>
        <v>470154250</v>
      </c>
      <c r="H277" s="104">
        <f t="shared" si="174"/>
        <v>475586249.5699997</v>
      </c>
      <c r="I277" s="104">
        <f t="shared" si="174"/>
        <v>483993250.4988613</v>
      </c>
      <c r="J277" s="104">
        <f t="shared" si="174"/>
        <v>496769975.11555004</v>
      </c>
      <c r="K277" s="104">
        <f t="shared" si="174"/>
        <v>510599036.3471184</v>
      </c>
      <c r="L277" s="104">
        <f t="shared" si="174"/>
        <v>525533050.5364313</v>
      </c>
      <c r="M277" s="104">
        <f t="shared" si="174"/>
        <v>541627265.1326694</v>
      </c>
      <c r="N277" s="104">
        <f t="shared" si="174"/>
        <v>558939691.078537</v>
      </c>
      <c r="O277" s="104">
        <f t="shared" si="174"/>
        <v>577531238.8441057</v>
      </c>
      <c r="P277" s="104">
        <f t="shared" si="174"/>
        <v>597465863.0255947</v>
      </c>
      <c r="Q277"/>
      <c r="S277"/>
      <c r="AB277" s="25"/>
      <c r="AC277" s="25"/>
      <c r="AD277" s="25"/>
      <c r="AE277" s="25"/>
      <c r="AF277" s="25"/>
      <c r="AG277" s="25"/>
    </row>
    <row r="278" spans="3:33" ht="15">
      <c r="C278" s="4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/>
      <c r="S278"/>
      <c r="AB278" s="25"/>
      <c r="AC278" s="25"/>
      <c r="AD278" s="25"/>
      <c r="AE278" s="25"/>
      <c r="AF278" s="25"/>
      <c r="AG278" s="25"/>
    </row>
    <row r="279" spans="3:33" s="51" customFormat="1" ht="15.75">
      <c r="C279" s="52" t="s">
        <v>165</v>
      </c>
      <c r="D279" s="157">
        <f>(D274/D263)</f>
        <v>0.12929544011221253</v>
      </c>
      <c r="E279" s="157">
        <f>(E274/E263)</f>
        <v>0.16139313984743417</v>
      </c>
      <c r="F279" s="130">
        <f aca="true" t="shared" si="175" ref="F279:P279">(F274/F263)*100</f>
        <v>11.91842857956466</v>
      </c>
      <c r="G279" s="130">
        <f>(G274/G263)*100</f>
        <v>11.292194923206187</v>
      </c>
      <c r="H279" s="130">
        <f t="shared" si="175"/>
        <v>10.847176092057751</v>
      </c>
      <c r="I279" s="130">
        <f t="shared" si="175"/>
        <v>9.492065495992705</v>
      </c>
      <c r="J279" s="130">
        <f t="shared" si="175"/>
        <v>9.237842723760957</v>
      </c>
      <c r="K279" s="130">
        <f t="shared" si="175"/>
        <v>9.001821871647662</v>
      </c>
      <c r="L279" s="130">
        <f t="shared" si="175"/>
        <v>8.782845885472234</v>
      </c>
      <c r="M279" s="130">
        <f t="shared" si="175"/>
        <v>8.579826636688056</v>
      </c>
      <c r="N279" s="130">
        <f t="shared" si="175"/>
        <v>8.391740991952533</v>
      </c>
      <c r="O279" s="130">
        <f t="shared" si="175"/>
        <v>8.217627063187932</v>
      </c>
      <c r="P279" s="130">
        <f t="shared" si="175"/>
        <v>8.056580691572224</v>
      </c>
      <c r="S279" s="28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</row>
    <row r="280" spans="3:33" ht="15.75" thickBot="1">
      <c r="C280" s="53"/>
      <c r="D280" s="126"/>
      <c r="E280" s="126"/>
      <c r="F280" s="127"/>
      <c r="G280" s="128"/>
      <c r="H280" s="128"/>
      <c r="I280" s="128"/>
      <c r="J280" s="128"/>
      <c r="K280" s="128"/>
      <c r="L280" s="129"/>
      <c r="M280" s="128"/>
      <c r="N280" s="128"/>
      <c r="O280" s="128"/>
      <c r="P280" s="128"/>
      <c r="Q280"/>
      <c r="S280" s="28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</row>
    <row r="281" spans="5:33" ht="15">
      <c r="E281" s="39"/>
      <c r="F281" s="125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/>
      <c r="S281" s="28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</row>
  </sheetData>
  <sheetProtection/>
  <mergeCells count="40">
    <mergeCell ref="C260:D260"/>
    <mergeCell ref="C259:P259"/>
    <mergeCell ref="C201:P201"/>
    <mergeCell ref="C202:P202"/>
    <mergeCell ref="D180:D182"/>
    <mergeCell ref="H180:H182"/>
    <mergeCell ref="C223:P223"/>
    <mergeCell ref="M180:M182"/>
    <mergeCell ref="N180:N182"/>
    <mergeCell ref="O180:O182"/>
    <mergeCell ref="P180:P182"/>
    <mergeCell ref="C214:P214"/>
    <mergeCell ref="D6:D7"/>
    <mergeCell ref="E6:E7"/>
    <mergeCell ref="F6:F7"/>
    <mergeCell ref="H6:H7"/>
    <mergeCell ref="C178:P178"/>
    <mergeCell ref="L180:L182"/>
    <mergeCell ref="I180:I182"/>
    <mergeCell ref="J180:J182"/>
    <mergeCell ref="K180:K182"/>
    <mergeCell ref="G180:G182"/>
    <mergeCell ref="B180:B182"/>
    <mergeCell ref="C180:C182"/>
    <mergeCell ref="E180:E182"/>
    <mergeCell ref="F180:F182"/>
    <mergeCell ref="B1:P1"/>
    <mergeCell ref="B2:P2"/>
    <mergeCell ref="B5:B7"/>
    <mergeCell ref="C5:C7"/>
    <mergeCell ref="E5:P5"/>
    <mergeCell ref="M6:M7"/>
    <mergeCell ref="P6:P7"/>
    <mergeCell ref="L6:L7"/>
    <mergeCell ref="K6:K7"/>
    <mergeCell ref="N6:N7"/>
    <mergeCell ref="G6:G7"/>
    <mergeCell ref="O6:O7"/>
    <mergeCell ref="I6:I7"/>
    <mergeCell ref="J6:J7"/>
  </mergeCells>
  <printOptions horizontalCentered="1"/>
  <pageMargins left="0" right="0" top="0.1968503937007874" bottom="0.15748031496062992" header="0.31496062992125984" footer="0.31496062992125984"/>
  <pageSetup horizontalDpi="600" verticalDpi="600" orientation="landscape" paperSize="5" scale="60" r:id="rId1"/>
  <ignoredErrors>
    <ignoredError sqref="H62:P62 G122:P122 G142:P142 G148:P148 G160:P160 G163:P163 F165:P16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1">
      <selection activeCell="D33" sqref="D33"/>
    </sheetView>
  </sheetViews>
  <sheetFormatPr defaultColWidth="11.421875" defaultRowHeight="15"/>
  <cols>
    <col min="8" max="8" width="12.57421875" style="0" bestFit="1" customWidth="1"/>
    <col min="10" max="10" width="12.57421875" style="0" bestFit="1" customWidth="1"/>
  </cols>
  <sheetData>
    <row r="1" spans="1:6" ht="18">
      <c r="A1" s="289" t="s">
        <v>480</v>
      </c>
      <c r="B1" s="289"/>
      <c r="C1" s="289"/>
      <c r="D1" s="289"/>
      <c r="E1" s="289"/>
      <c r="F1" s="289"/>
    </row>
    <row r="2" spans="1:6" ht="24">
      <c r="A2" s="71" t="s">
        <v>481</v>
      </c>
      <c r="B2" s="71" t="s">
        <v>482</v>
      </c>
      <c r="C2" s="71" t="s">
        <v>483</v>
      </c>
      <c r="D2" s="71" t="s">
        <v>484</v>
      </c>
      <c r="E2" s="71" t="s">
        <v>485</v>
      </c>
      <c r="F2" s="71" t="s">
        <v>486</v>
      </c>
    </row>
    <row r="3" spans="1:8" ht="15">
      <c r="A3" s="73">
        <v>40268</v>
      </c>
      <c r="B3" s="74">
        <v>240000000</v>
      </c>
      <c r="C3" s="75">
        <f>E3+D3</f>
        <v>20217000</v>
      </c>
      <c r="D3" s="74">
        <v>5217000</v>
      </c>
      <c r="E3" s="74">
        <v>15000000</v>
      </c>
      <c r="F3" s="74">
        <f>B3-E3</f>
        <v>225000000</v>
      </c>
      <c r="H3" s="72">
        <f>SUM(C3:C6)</f>
        <v>79360500</v>
      </c>
    </row>
    <row r="4" spans="1:6" ht="15">
      <c r="A4" s="73">
        <v>40359</v>
      </c>
      <c r="B4" s="74">
        <f>F3</f>
        <v>225000000</v>
      </c>
      <c r="C4" s="75">
        <f aca="true" t="shared" si="0" ref="C4:C17">E4+D4</f>
        <v>20051250</v>
      </c>
      <c r="D4" s="74">
        <f aca="true" t="shared" si="1" ref="D4:D18">ROUND((B4*0.0898)*90/360,0)</f>
        <v>5051250</v>
      </c>
      <c r="E4" s="74">
        <f>E3</f>
        <v>15000000</v>
      </c>
      <c r="F4" s="74">
        <f aca="true" t="shared" si="2" ref="F4:F17">B4-E4</f>
        <v>210000000</v>
      </c>
    </row>
    <row r="5" spans="1:6" ht="15">
      <c r="A5" s="73">
        <v>40451</v>
      </c>
      <c r="B5" s="74">
        <f aca="true" t="shared" si="3" ref="B5:B17">F4</f>
        <v>210000000</v>
      </c>
      <c r="C5" s="75">
        <f t="shared" si="0"/>
        <v>19714500</v>
      </c>
      <c r="D5" s="74">
        <f t="shared" si="1"/>
        <v>4714500</v>
      </c>
      <c r="E5" s="74">
        <f aca="true" t="shared" si="4" ref="E5:E17">E4</f>
        <v>15000000</v>
      </c>
      <c r="F5" s="74">
        <f t="shared" si="2"/>
        <v>195000000</v>
      </c>
    </row>
    <row r="6" spans="1:8" ht="15">
      <c r="A6" s="73">
        <v>40543</v>
      </c>
      <c r="B6" s="74">
        <f t="shared" si="3"/>
        <v>195000000</v>
      </c>
      <c r="C6" s="75">
        <f t="shared" si="0"/>
        <v>19377750</v>
      </c>
      <c r="D6" s="74">
        <f t="shared" si="1"/>
        <v>4377750</v>
      </c>
      <c r="E6" s="74">
        <f t="shared" si="4"/>
        <v>15000000</v>
      </c>
      <c r="F6" s="74">
        <f t="shared" si="2"/>
        <v>180000000</v>
      </c>
      <c r="H6" s="72"/>
    </row>
    <row r="7" spans="1:8" ht="15">
      <c r="A7" s="73">
        <v>40633</v>
      </c>
      <c r="B7" s="74">
        <f t="shared" si="3"/>
        <v>180000000</v>
      </c>
      <c r="C7" s="75">
        <f t="shared" si="0"/>
        <v>19041000</v>
      </c>
      <c r="D7" s="74">
        <f t="shared" si="1"/>
        <v>4041000</v>
      </c>
      <c r="E7" s="74">
        <f t="shared" si="4"/>
        <v>15000000</v>
      </c>
      <c r="F7" s="74">
        <f t="shared" si="2"/>
        <v>165000000</v>
      </c>
      <c r="H7" s="72">
        <f>SUM(C7:C10)</f>
        <v>74143500</v>
      </c>
    </row>
    <row r="8" spans="1:6" ht="15">
      <c r="A8" s="73">
        <v>40724</v>
      </c>
      <c r="B8" s="74">
        <f t="shared" si="3"/>
        <v>165000000</v>
      </c>
      <c r="C8" s="75">
        <f t="shared" si="0"/>
        <v>18704250</v>
      </c>
      <c r="D8" s="74">
        <f t="shared" si="1"/>
        <v>3704250</v>
      </c>
      <c r="E8" s="74">
        <f t="shared" si="4"/>
        <v>15000000</v>
      </c>
      <c r="F8" s="74">
        <f t="shared" si="2"/>
        <v>150000000</v>
      </c>
    </row>
    <row r="9" spans="1:6" ht="15">
      <c r="A9" s="73">
        <v>40816</v>
      </c>
      <c r="B9" s="74">
        <f t="shared" si="3"/>
        <v>150000000</v>
      </c>
      <c r="C9" s="75">
        <f t="shared" si="0"/>
        <v>18367500</v>
      </c>
      <c r="D9" s="74">
        <f t="shared" si="1"/>
        <v>3367500</v>
      </c>
      <c r="E9" s="74">
        <f t="shared" si="4"/>
        <v>15000000</v>
      </c>
      <c r="F9" s="74">
        <f t="shared" si="2"/>
        <v>135000000</v>
      </c>
    </row>
    <row r="10" spans="1:8" ht="15">
      <c r="A10" s="73">
        <v>40908</v>
      </c>
      <c r="B10" s="74">
        <f t="shared" si="3"/>
        <v>135000000</v>
      </c>
      <c r="C10" s="75">
        <f t="shared" si="0"/>
        <v>18030750</v>
      </c>
      <c r="D10" s="74">
        <f t="shared" si="1"/>
        <v>3030750</v>
      </c>
      <c r="E10" s="74">
        <f t="shared" si="4"/>
        <v>15000000</v>
      </c>
      <c r="F10" s="74">
        <f t="shared" si="2"/>
        <v>120000000</v>
      </c>
      <c r="H10" s="72"/>
    </row>
    <row r="11" spans="1:8" ht="15">
      <c r="A11" s="73">
        <v>40999</v>
      </c>
      <c r="B11" s="74">
        <f t="shared" si="3"/>
        <v>120000000</v>
      </c>
      <c r="C11" s="75">
        <f t="shared" si="0"/>
        <v>17694000</v>
      </c>
      <c r="D11" s="74">
        <f t="shared" si="1"/>
        <v>2694000</v>
      </c>
      <c r="E11" s="74">
        <f t="shared" si="4"/>
        <v>15000000</v>
      </c>
      <c r="F11" s="74">
        <f t="shared" si="2"/>
        <v>105000000</v>
      </c>
      <c r="H11" s="72">
        <f>SUM(C11:C14)</f>
        <v>68755500</v>
      </c>
    </row>
    <row r="12" spans="1:6" ht="15">
      <c r="A12" s="73">
        <v>41090</v>
      </c>
      <c r="B12" s="74">
        <f t="shared" si="3"/>
        <v>105000000</v>
      </c>
      <c r="C12" s="75">
        <f t="shared" si="0"/>
        <v>17357250</v>
      </c>
      <c r="D12" s="74">
        <f t="shared" si="1"/>
        <v>2357250</v>
      </c>
      <c r="E12" s="74">
        <f t="shared" si="4"/>
        <v>15000000</v>
      </c>
      <c r="F12" s="74">
        <f t="shared" si="2"/>
        <v>90000000</v>
      </c>
    </row>
    <row r="13" spans="1:6" ht="15">
      <c r="A13" s="73">
        <v>41182</v>
      </c>
      <c r="B13" s="74">
        <f t="shared" si="3"/>
        <v>90000000</v>
      </c>
      <c r="C13" s="75">
        <f t="shared" si="0"/>
        <v>17020500</v>
      </c>
      <c r="D13" s="74">
        <f t="shared" si="1"/>
        <v>2020500</v>
      </c>
      <c r="E13" s="74">
        <f t="shared" si="4"/>
        <v>15000000</v>
      </c>
      <c r="F13" s="74">
        <f t="shared" si="2"/>
        <v>75000000</v>
      </c>
    </row>
    <row r="14" spans="1:8" ht="15">
      <c r="A14" s="73">
        <v>41274</v>
      </c>
      <c r="B14" s="74">
        <f t="shared" si="3"/>
        <v>75000000</v>
      </c>
      <c r="C14" s="75">
        <f t="shared" si="0"/>
        <v>16683750</v>
      </c>
      <c r="D14" s="74">
        <f t="shared" si="1"/>
        <v>1683750</v>
      </c>
      <c r="E14" s="74">
        <f t="shared" si="4"/>
        <v>15000000</v>
      </c>
      <c r="F14" s="74">
        <f t="shared" si="2"/>
        <v>60000000</v>
      </c>
      <c r="H14" s="72"/>
    </row>
    <row r="15" spans="1:8" ht="15">
      <c r="A15" s="73">
        <v>41364</v>
      </c>
      <c r="B15" s="74">
        <f t="shared" si="3"/>
        <v>60000000</v>
      </c>
      <c r="C15" s="75">
        <f t="shared" si="0"/>
        <v>16347000</v>
      </c>
      <c r="D15" s="74">
        <f t="shared" si="1"/>
        <v>1347000</v>
      </c>
      <c r="E15" s="74">
        <f t="shared" si="4"/>
        <v>15000000</v>
      </c>
      <c r="F15" s="74">
        <f t="shared" si="2"/>
        <v>45000000</v>
      </c>
      <c r="H15" s="72">
        <f>SUM(C15:C18)</f>
        <v>63367500</v>
      </c>
    </row>
    <row r="16" spans="1:6" ht="15">
      <c r="A16" s="73">
        <v>41455</v>
      </c>
      <c r="B16" s="74">
        <f t="shared" si="3"/>
        <v>45000000</v>
      </c>
      <c r="C16" s="75">
        <f t="shared" si="0"/>
        <v>16010250</v>
      </c>
      <c r="D16" s="74">
        <f t="shared" si="1"/>
        <v>1010250</v>
      </c>
      <c r="E16" s="74">
        <f t="shared" si="4"/>
        <v>15000000</v>
      </c>
      <c r="F16" s="74">
        <f t="shared" si="2"/>
        <v>30000000</v>
      </c>
    </row>
    <row r="17" spans="1:6" ht="15">
      <c r="A17" s="73">
        <v>41547</v>
      </c>
      <c r="B17" s="74">
        <f t="shared" si="3"/>
        <v>30000000</v>
      </c>
      <c r="C17" s="75">
        <f t="shared" si="0"/>
        <v>15673500</v>
      </c>
      <c r="D17" s="74">
        <f t="shared" si="1"/>
        <v>673500</v>
      </c>
      <c r="E17" s="74">
        <f t="shared" si="4"/>
        <v>15000000</v>
      </c>
      <c r="F17" s="74">
        <f t="shared" si="2"/>
        <v>15000000</v>
      </c>
    </row>
    <row r="18" spans="1:6" ht="15">
      <c r="A18" s="73">
        <v>41639</v>
      </c>
      <c r="B18" s="74">
        <f>F17</f>
        <v>15000000</v>
      </c>
      <c r="C18" s="75">
        <f>E18+D18</f>
        <v>15336750</v>
      </c>
      <c r="D18" s="74">
        <f t="shared" si="1"/>
        <v>336750</v>
      </c>
      <c r="E18" s="74">
        <f>E17</f>
        <v>15000000</v>
      </c>
      <c r="F18" s="74">
        <f>B18-E18</f>
        <v>0</v>
      </c>
    </row>
    <row r="24" spans="1:6" ht="18">
      <c r="A24" s="289" t="s">
        <v>487</v>
      </c>
      <c r="B24" s="289"/>
      <c r="C24" s="289"/>
      <c r="D24" s="289"/>
      <c r="E24" s="289"/>
      <c r="F24" s="289"/>
    </row>
    <row r="25" spans="1:6" ht="24">
      <c r="A25" s="71" t="s">
        <v>481</v>
      </c>
      <c r="B25" s="71" t="s">
        <v>482</v>
      </c>
      <c r="C25" s="71" t="s">
        <v>483</v>
      </c>
      <c r="D25" s="71" t="s">
        <v>484</v>
      </c>
      <c r="E25" s="71" t="s">
        <v>485</v>
      </c>
      <c r="F25" s="71" t="s">
        <v>486</v>
      </c>
    </row>
    <row r="26" spans="1:13" ht="15">
      <c r="A26" s="76">
        <v>40909</v>
      </c>
      <c r="B26" s="74">
        <v>1000000000</v>
      </c>
      <c r="C26" s="75">
        <f>E26+D26</f>
        <v>45675000</v>
      </c>
      <c r="D26" s="74">
        <f>ROUND((B26*0.0827)*90/360,0)</f>
        <v>20675000</v>
      </c>
      <c r="E26" s="74">
        <f>B26/40</f>
        <v>25000000</v>
      </c>
      <c r="F26" s="74">
        <f>B26-E26</f>
        <v>975000000</v>
      </c>
      <c r="H26" s="72">
        <f>SUM(C26:C29)</f>
        <v>179598750</v>
      </c>
      <c r="I26" t="s">
        <v>488</v>
      </c>
      <c r="J26" s="72"/>
      <c r="K26" s="72"/>
      <c r="M26">
        <f>ROUND(H26/1000000,0)</f>
        <v>180</v>
      </c>
    </row>
    <row r="27" spans="1:10" ht="15">
      <c r="A27" s="76">
        <v>41000</v>
      </c>
      <c r="B27" s="74">
        <f>F26</f>
        <v>975000000</v>
      </c>
      <c r="C27" s="75">
        <f aca="true" t="shared" si="5" ref="C27:C45">E27+D27</f>
        <v>45158125</v>
      </c>
      <c r="D27" s="74">
        <f aca="true" t="shared" si="6" ref="D27:D45">ROUND((B27*0.0827)*90/360,0)</f>
        <v>20158125</v>
      </c>
      <c r="E27" s="74">
        <f>E26</f>
        <v>25000000</v>
      </c>
      <c r="F27" s="74">
        <f aca="true" t="shared" si="7" ref="F27:F45">B27-E27</f>
        <v>950000000</v>
      </c>
      <c r="J27" s="72"/>
    </row>
    <row r="28" spans="1:6" ht="15">
      <c r="A28" s="76">
        <v>41091</v>
      </c>
      <c r="B28" s="74">
        <f aca="true" t="shared" si="8" ref="B28:B45">F27</f>
        <v>950000000</v>
      </c>
      <c r="C28" s="75">
        <f t="shared" si="5"/>
        <v>44641250</v>
      </c>
      <c r="D28" s="74">
        <f t="shared" si="6"/>
        <v>19641250</v>
      </c>
      <c r="E28" s="74">
        <f aca="true" t="shared" si="9" ref="E28:E65">E27</f>
        <v>25000000</v>
      </c>
      <c r="F28" s="74">
        <f t="shared" si="7"/>
        <v>925000000</v>
      </c>
    </row>
    <row r="29" spans="1:8" ht="15">
      <c r="A29" s="76">
        <v>41183</v>
      </c>
      <c r="B29" s="74">
        <f t="shared" si="8"/>
        <v>925000000</v>
      </c>
      <c r="C29" s="75">
        <f t="shared" si="5"/>
        <v>44124375</v>
      </c>
      <c r="D29" s="74">
        <f t="shared" si="6"/>
        <v>19124375</v>
      </c>
      <c r="E29" s="74">
        <f t="shared" si="9"/>
        <v>25000000</v>
      </c>
      <c r="F29" s="74">
        <f t="shared" si="7"/>
        <v>900000000</v>
      </c>
      <c r="H29" s="72"/>
    </row>
    <row r="30" spans="1:13" ht="15">
      <c r="A30" s="76">
        <v>41275</v>
      </c>
      <c r="B30" s="74">
        <f t="shared" si="8"/>
        <v>900000000</v>
      </c>
      <c r="C30" s="75">
        <f t="shared" si="5"/>
        <v>43607500</v>
      </c>
      <c r="D30" s="74">
        <f t="shared" si="6"/>
        <v>18607500</v>
      </c>
      <c r="E30" s="74">
        <f t="shared" si="9"/>
        <v>25000000</v>
      </c>
      <c r="F30" s="74">
        <f t="shared" si="7"/>
        <v>875000000</v>
      </c>
      <c r="H30" s="72">
        <f>SUM(C30:C33)</f>
        <v>171328750</v>
      </c>
      <c r="I30" t="s">
        <v>489</v>
      </c>
      <c r="J30" s="72"/>
      <c r="K30" s="72"/>
      <c r="M30">
        <f>ROUND(H30/1000000,0)</f>
        <v>171</v>
      </c>
    </row>
    <row r="31" spans="1:6" ht="15">
      <c r="A31" s="76">
        <v>41365</v>
      </c>
      <c r="B31" s="74">
        <f t="shared" si="8"/>
        <v>875000000</v>
      </c>
      <c r="C31" s="75">
        <f t="shared" si="5"/>
        <v>43090625</v>
      </c>
      <c r="D31" s="74">
        <f t="shared" si="6"/>
        <v>18090625</v>
      </c>
      <c r="E31" s="74">
        <f t="shared" si="9"/>
        <v>25000000</v>
      </c>
      <c r="F31" s="74">
        <f t="shared" si="7"/>
        <v>850000000</v>
      </c>
    </row>
    <row r="32" spans="1:6" ht="15">
      <c r="A32" s="76">
        <v>41456</v>
      </c>
      <c r="B32" s="74">
        <f t="shared" si="8"/>
        <v>850000000</v>
      </c>
      <c r="C32" s="75">
        <f t="shared" si="5"/>
        <v>42573750</v>
      </c>
      <c r="D32" s="74">
        <f t="shared" si="6"/>
        <v>17573750</v>
      </c>
      <c r="E32" s="74">
        <f t="shared" si="9"/>
        <v>25000000</v>
      </c>
      <c r="F32" s="74">
        <f t="shared" si="7"/>
        <v>825000000</v>
      </c>
    </row>
    <row r="33" spans="1:6" ht="15">
      <c r="A33" s="76">
        <v>41548</v>
      </c>
      <c r="B33" s="74">
        <f t="shared" si="8"/>
        <v>825000000</v>
      </c>
      <c r="C33" s="75">
        <f t="shared" si="5"/>
        <v>42056875</v>
      </c>
      <c r="D33" s="74">
        <f t="shared" si="6"/>
        <v>17056875</v>
      </c>
      <c r="E33" s="74">
        <f t="shared" si="9"/>
        <v>25000000</v>
      </c>
      <c r="F33" s="74">
        <f t="shared" si="7"/>
        <v>800000000</v>
      </c>
    </row>
    <row r="34" spans="1:13" ht="15">
      <c r="A34" s="76">
        <v>41640</v>
      </c>
      <c r="B34" s="74">
        <f t="shared" si="8"/>
        <v>800000000</v>
      </c>
      <c r="C34" s="75">
        <f t="shared" si="5"/>
        <v>41540000</v>
      </c>
      <c r="D34" s="74">
        <f t="shared" si="6"/>
        <v>16540000</v>
      </c>
      <c r="E34" s="74">
        <f t="shared" si="9"/>
        <v>25000000</v>
      </c>
      <c r="F34" s="74">
        <f t="shared" si="7"/>
        <v>775000000</v>
      </c>
      <c r="H34" s="72">
        <f>SUM(C34:C37)</f>
        <v>163058750</v>
      </c>
      <c r="I34" t="s">
        <v>490</v>
      </c>
      <c r="J34" s="72"/>
      <c r="K34" s="72"/>
      <c r="M34">
        <f>ROUND(H34/1000000,0)</f>
        <v>163</v>
      </c>
    </row>
    <row r="35" spans="1:6" ht="15">
      <c r="A35" s="76">
        <v>41730</v>
      </c>
      <c r="B35" s="74">
        <f t="shared" si="8"/>
        <v>775000000</v>
      </c>
      <c r="C35" s="75">
        <f t="shared" si="5"/>
        <v>41023125</v>
      </c>
      <c r="D35" s="74">
        <f t="shared" si="6"/>
        <v>16023125</v>
      </c>
      <c r="E35" s="74">
        <f t="shared" si="9"/>
        <v>25000000</v>
      </c>
      <c r="F35" s="74">
        <f t="shared" si="7"/>
        <v>750000000</v>
      </c>
    </row>
    <row r="36" spans="1:6" ht="15">
      <c r="A36" s="76">
        <v>41821</v>
      </c>
      <c r="B36" s="74">
        <f t="shared" si="8"/>
        <v>750000000</v>
      </c>
      <c r="C36" s="75">
        <f t="shared" si="5"/>
        <v>40506250</v>
      </c>
      <c r="D36" s="74">
        <f t="shared" si="6"/>
        <v>15506250</v>
      </c>
      <c r="E36" s="74">
        <f t="shared" si="9"/>
        <v>25000000</v>
      </c>
      <c r="F36" s="74">
        <f t="shared" si="7"/>
        <v>725000000</v>
      </c>
    </row>
    <row r="37" spans="1:6" ht="15">
      <c r="A37" s="76">
        <v>41913</v>
      </c>
      <c r="B37" s="74">
        <f t="shared" si="8"/>
        <v>725000000</v>
      </c>
      <c r="C37" s="75">
        <f t="shared" si="5"/>
        <v>39989375</v>
      </c>
      <c r="D37" s="74">
        <f t="shared" si="6"/>
        <v>14989375</v>
      </c>
      <c r="E37" s="74">
        <f t="shared" si="9"/>
        <v>25000000</v>
      </c>
      <c r="F37" s="74">
        <f t="shared" si="7"/>
        <v>700000000</v>
      </c>
    </row>
    <row r="38" spans="1:13" ht="15">
      <c r="A38" s="76">
        <v>42005</v>
      </c>
      <c r="B38" s="74">
        <f t="shared" si="8"/>
        <v>700000000</v>
      </c>
      <c r="C38" s="75">
        <f t="shared" si="5"/>
        <v>39472500</v>
      </c>
      <c r="D38" s="74">
        <f t="shared" si="6"/>
        <v>14472500</v>
      </c>
      <c r="E38" s="74">
        <f t="shared" si="9"/>
        <v>25000000</v>
      </c>
      <c r="F38" s="74">
        <f t="shared" si="7"/>
        <v>675000000</v>
      </c>
      <c r="H38" s="72">
        <f>SUM(C38:C41)</f>
        <v>154788750</v>
      </c>
      <c r="I38" t="s">
        <v>491</v>
      </c>
      <c r="J38" s="72"/>
      <c r="M38">
        <f>ROUND(H38/1000000,0)</f>
        <v>155</v>
      </c>
    </row>
    <row r="39" spans="1:6" ht="15">
      <c r="A39" s="76">
        <v>42095</v>
      </c>
      <c r="B39" s="74">
        <f t="shared" si="8"/>
        <v>675000000</v>
      </c>
      <c r="C39" s="75">
        <f t="shared" si="5"/>
        <v>38955625</v>
      </c>
      <c r="D39" s="74">
        <f t="shared" si="6"/>
        <v>13955625</v>
      </c>
      <c r="E39" s="74">
        <f t="shared" si="9"/>
        <v>25000000</v>
      </c>
      <c r="F39" s="74">
        <f t="shared" si="7"/>
        <v>650000000</v>
      </c>
    </row>
    <row r="40" spans="1:6" ht="15">
      <c r="A40" s="76">
        <v>42186</v>
      </c>
      <c r="B40" s="74">
        <f t="shared" si="8"/>
        <v>650000000</v>
      </c>
      <c r="C40" s="75">
        <f t="shared" si="5"/>
        <v>38438750</v>
      </c>
      <c r="D40" s="74">
        <f t="shared" si="6"/>
        <v>13438750</v>
      </c>
      <c r="E40" s="74">
        <f t="shared" si="9"/>
        <v>25000000</v>
      </c>
      <c r="F40" s="74">
        <f t="shared" si="7"/>
        <v>625000000</v>
      </c>
    </row>
    <row r="41" spans="1:6" ht="15">
      <c r="A41" s="76">
        <v>42278</v>
      </c>
      <c r="B41" s="74">
        <f t="shared" si="8"/>
        <v>625000000</v>
      </c>
      <c r="C41" s="75">
        <f t="shared" si="5"/>
        <v>37921875</v>
      </c>
      <c r="D41" s="74">
        <f t="shared" si="6"/>
        <v>12921875</v>
      </c>
      <c r="E41" s="74">
        <f t="shared" si="9"/>
        <v>25000000</v>
      </c>
      <c r="F41" s="74">
        <f t="shared" si="7"/>
        <v>600000000</v>
      </c>
    </row>
    <row r="42" spans="1:13" ht="15">
      <c r="A42" s="76">
        <v>42370</v>
      </c>
      <c r="B42" s="74">
        <f t="shared" si="8"/>
        <v>600000000</v>
      </c>
      <c r="C42" s="75">
        <f t="shared" si="5"/>
        <v>37405000</v>
      </c>
      <c r="D42" s="74">
        <f t="shared" si="6"/>
        <v>12405000</v>
      </c>
      <c r="E42" s="74">
        <f t="shared" si="9"/>
        <v>25000000</v>
      </c>
      <c r="F42" s="74">
        <f t="shared" si="7"/>
        <v>575000000</v>
      </c>
      <c r="H42" s="72">
        <f>SUM(C42:C45)</f>
        <v>146518750</v>
      </c>
      <c r="I42" t="s">
        <v>492</v>
      </c>
      <c r="J42" s="72"/>
      <c r="M42">
        <f>ROUND(H42/1000000,0)</f>
        <v>147</v>
      </c>
    </row>
    <row r="43" spans="1:6" ht="15">
      <c r="A43" s="76">
        <v>42461</v>
      </c>
      <c r="B43" s="74">
        <f t="shared" si="8"/>
        <v>575000000</v>
      </c>
      <c r="C43" s="75">
        <f t="shared" si="5"/>
        <v>36888125</v>
      </c>
      <c r="D43" s="74">
        <f t="shared" si="6"/>
        <v>11888125</v>
      </c>
      <c r="E43" s="74">
        <f t="shared" si="9"/>
        <v>25000000</v>
      </c>
      <c r="F43" s="74">
        <f t="shared" si="7"/>
        <v>550000000</v>
      </c>
    </row>
    <row r="44" spans="1:6" ht="15">
      <c r="A44" s="76">
        <v>42552</v>
      </c>
      <c r="B44" s="74">
        <f t="shared" si="8"/>
        <v>550000000</v>
      </c>
      <c r="C44" s="75">
        <f t="shared" si="5"/>
        <v>36371250</v>
      </c>
      <c r="D44" s="74">
        <f t="shared" si="6"/>
        <v>11371250</v>
      </c>
      <c r="E44" s="74">
        <f t="shared" si="9"/>
        <v>25000000</v>
      </c>
      <c r="F44" s="74">
        <f t="shared" si="7"/>
        <v>525000000</v>
      </c>
    </row>
    <row r="45" spans="1:6" ht="15">
      <c r="A45" s="76">
        <v>42644</v>
      </c>
      <c r="B45" s="74">
        <f t="shared" si="8"/>
        <v>525000000</v>
      </c>
      <c r="C45" s="75">
        <f t="shared" si="5"/>
        <v>35854375</v>
      </c>
      <c r="D45" s="74">
        <f t="shared" si="6"/>
        <v>10854375</v>
      </c>
      <c r="E45" s="74">
        <f t="shared" si="9"/>
        <v>25000000</v>
      </c>
      <c r="F45" s="74">
        <f t="shared" si="7"/>
        <v>500000000</v>
      </c>
    </row>
    <row r="46" spans="1:13" ht="15">
      <c r="A46" s="76">
        <v>42736</v>
      </c>
      <c r="B46" s="74">
        <f>F45</f>
        <v>500000000</v>
      </c>
      <c r="C46" s="75">
        <f>E46+D46</f>
        <v>35337500</v>
      </c>
      <c r="D46" s="74">
        <f>ROUND((B46*0.0827)*90/360,0)</f>
        <v>10337500</v>
      </c>
      <c r="E46" s="74">
        <f t="shared" si="9"/>
        <v>25000000</v>
      </c>
      <c r="F46" s="74">
        <f>B46-E46</f>
        <v>475000000</v>
      </c>
      <c r="H46" s="72">
        <f>SUM(C46:C49)</f>
        <v>138248750</v>
      </c>
      <c r="I46" t="s">
        <v>493</v>
      </c>
      <c r="M46">
        <f>ROUND(H46/1000000,0)</f>
        <v>138</v>
      </c>
    </row>
    <row r="47" spans="1:6" ht="15">
      <c r="A47" s="76">
        <v>42826</v>
      </c>
      <c r="B47" s="74">
        <f aca="true" t="shared" si="10" ref="B47:B65">F46</f>
        <v>475000000</v>
      </c>
      <c r="C47" s="75">
        <f aca="true" t="shared" si="11" ref="C47:C65">E47+D47</f>
        <v>34820625</v>
      </c>
      <c r="D47" s="74">
        <f aca="true" t="shared" si="12" ref="D47:D65">ROUND((B47*0.0827)*90/360,0)</f>
        <v>9820625</v>
      </c>
      <c r="E47" s="74">
        <f t="shared" si="9"/>
        <v>25000000</v>
      </c>
      <c r="F47" s="74">
        <f aca="true" t="shared" si="13" ref="F47:F65">B47-E47</f>
        <v>450000000</v>
      </c>
    </row>
    <row r="48" spans="1:6" ht="15">
      <c r="A48" s="76">
        <v>42917</v>
      </c>
      <c r="B48" s="74">
        <f t="shared" si="10"/>
        <v>450000000</v>
      </c>
      <c r="C48" s="75">
        <f t="shared" si="11"/>
        <v>34303750</v>
      </c>
      <c r="D48" s="74">
        <f t="shared" si="12"/>
        <v>9303750</v>
      </c>
      <c r="E48" s="74">
        <f t="shared" si="9"/>
        <v>25000000</v>
      </c>
      <c r="F48" s="74">
        <f t="shared" si="13"/>
        <v>425000000</v>
      </c>
    </row>
    <row r="49" spans="1:6" ht="15">
      <c r="A49" s="76">
        <v>43009</v>
      </c>
      <c r="B49" s="74">
        <f t="shared" si="10"/>
        <v>425000000</v>
      </c>
      <c r="C49" s="75">
        <f t="shared" si="11"/>
        <v>33786875</v>
      </c>
      <c r="D49" s="74">
        <f t="shared" si="12"/>
        <v>8786875</v>
      </c>
      <c r="E49" s="74">
        <f t="shared" si="9"/>
        <v>25000000</v>
      </c>
      <c r="F49" s="74">
        <f t="shared" si="13"/>
        <v>400000000</v>
      </c>
    </row>
    <row r="50" spans="1:13" ht="15">
      <c r="A50" s="76">
        <v>43101</v>
      </c>
      <c r="B50" s="74">
        <f t="shared" si="10"/>
        <v>400000000</v>
      </c>
      <c r="C50" s="75">
        <f t="shared" si="11"/>
        <v>33270000</v>
      </c>
      <c r="D50" s="74">
        <f t="shared" si="12"/>
        <v>8270000</v>
      </c>
      <c r="E50" s="74">
        <f t="shared" si="9"/>
        <v>25000000</v>
      </c>
      <c r="F50" s="74">
        <f t="shared" si="13"/>
        <v>375000000</v>
      </c>
      <c r="H50" s="72">
        <f>SUM(C50:C53)</f>
        <v>129978750</v>
      </c>
      <c r="I50" t="s">
        <v>494</v>
      </c>
      <c r="M50">
        <f>ROUND(H50/1000000,0)</f>
        <v>130</v>
      </c>
    </row>
    <row r="51" spans="1:6" ht="15">
      <c r="A51" s="76">
        <v>43191</v>
      </c>
      <c r="B51" s="74">
        <f t="shared" si="10"/>
        <v>375000000</v>
      </c>
      <c r="C51" s="75">
        <f t="shared" si="11"/>
        <v>32753125</v>
      </c>
      <c r="D51" s="74">
        <f t="shared" si="12"/>
        <v>7753125</v>
      </c>
      <c r="E51" s="74">
        <f t="shared" si="9"/>
        <v>25000000</v>
      </c>
      <c r="F51" s="74">
        <f t="shared" si="13"/>
        <v>350000000</v>
      </c>
    </row>
    <row r="52" spans="1:6" ht="15">
      <c r="A52" s="76">
        <v>43282</v>
      </c>
      <c r="B52" s="74">
        <f t="shared" si="10"/>
        <v>350000000</v>
      </c>
      <c r="C52" s="75">
        <f t="shared" si="11"/>
        <v>32236250</v>
      </c>
      <c r="D52" s="74">
        <f t="shared" si="12"/>
        <v>7236250</v>
      </c>
      <c r="E52" s="74">
        <f t="shared" si="9"/>
        <v>25000000</v>
      </c>
      <c r="F52" s="74">
        <f t="shared" si="13"/>
        <v>325000000</v>
      </c>
    </row>
    <row r="53" spans="1:6" ht="15">
      <c r="A53" s="76">
        <v>43374</v>
      </c>
      <c r="B53" s="74">
        <f t="shared" si="10"/>
        <v>325000000</v>
      </c>
      <c r="C53" s="75">
        <f t="shared" si="11"/>
        <v>31719375</v>
      </c>
      <c r="D53" s="74">
        <f t="shared" si="12"/>
        <v>6719375</v>
      </c>
      <c r="E53" s="74">
        <f t="shared" si="9"/>
        <v>25000000</v>
      </c>
      <c r="F53" s="74">
        <f t="shared" si="13"/>
        <v>300000000</v>
      </c>
    </row>
    <row r="54" spans="1:13" ht="15">
      <c r="A54" s="76">
        <v>43466</v>
      </c>
      <c r="B54" s="74">
        <f t="shared" si="10"/>
        <v>300000000</v>
      </c>
      <c r="C54" s="75">
        <f t="shared" si="11"/>
        <v>31202500</v>
      </c>
      <c r="D54" s="74">
        <f t="shared" si="12"/>
        <v>6202500</v>
      </c>
      <c r="E54" s="74">
        <f t="shared" si="9"/>
        <v>25000000</v>
      </c>
      <c r="F54" s="74">
        <f t="shared" si="13"/>
        <v>275000000</v>
      </c>
      <c r="H54" s="72">
        <f>SUM(C54:C57)</f>
        <v>121708750</v>
      </c>
      <c r="I54" t="s">
        <v>495</v>
      </c>
      <c r="M54">
        <f>ROUND(H54/1000000,0)</f>
        <v>122</v>
      </c>
    </row>
    <row r="55" spans="1:6" ht="15">
      <c r="A55" s="76">
        <v>43556</v>
      </c>
      <c r="B55" s="74">
        <f t="shared" si="10"/>
        <v>275000000</v>
      </c>
      <c r="C55" s="75">
        <f t="shared" si="11"/>
        <v>30685625</v>
      </c>
      <c r="D55" s="74">
        <f t="shared" si="12"/>
        <v>5685625</v>
      </c>
      <c r="E55" s="74">
        <f t="shared" si="9"/>
        <v>25000000</v>
      </c>
      <c r="F55" s="74">
        <f t="shared" si="13"/>
        <v>250000000</v>
      </c>
    </row>
    <row r="56" spans="1:6" ht="15">
      <c r="A56" s="76">
        <v>43647</v>
      </c>
      <c r="B56" s="74">
        <f t="shared" si="10"/>
        <v>250000000</v>
      </c>
      <c r="C56" s="75">
        <f t="shared" si="11"/>
        <v>30168750</v>
      </c>
      <c r="D56" s="74">
        <f t="shared" si="12"/>
        <v>5168750</v>
      </c>
      <c r="E56" s="74">
        <f t="shared" si="9"/>
        <v>25000000</v>
      </c>
      <c r="F56" s="74">
        <f t="shared" si="13"/>
        <v>225000000</v>
      </c>
    </row>
    <row r="57" spans="1:6" ht="15">
      <c r="A57" s="76">
        <v>43739</v>
      </c>
      <c r="B57" s="74">
        <f t="shared" si="10"/>
        <v>225000000</v>
      </c>
      <c r="C57" s="75">
        <f t="shared" si="11"/>
        <v>29651875</v>
      </c>
      <c r="D57" s="74">
        <f t="shared" si="12"/>
        <v>4651875</v>
      </c>
      <c r="E57" s="74">
        <f t="shared" si="9"/>
        <v>25000000</v>
      </c>
      <c r="F57" s="74">
        <f t="shared" si="13"/>
        <v>200000000</v>
      </c>
    </row>
    <row r="58" spans="1:13" ht="15">
      <c r="A58" s="76">
        <v>43831</v>
      </c>
      <c r="B58" s="74">
        <f t="shared" si="10"/>
        <v>200000000</v>
      </c>
      <c r="C58" s="75">
        <f t="shared" si="11"/>
        <v>29135000</v>
      </c>
      <c r="D58" s="74">
        <f t="shared" si="12"/>
        <v>4135000</v>
      </c>
      <c r="E58" s="74">
        <f t="shared" si="9"/>
        <v>25000000</v>
      </c>
      <c r="F58" s="74">
        <f t="shared" si="13"/>
        <v>175000000</v>
      </c>
      <c r="H58" s="72">
        <f>SUM(C58:C61)</f>
        <v>113438750</v>
      </c>
      <c r="I58" t="s">
        <v>496</v>
      </c>
      <c r="M58">
        <f>ROUND(H58/1000000,0)</f>
        <v>113</v>
      </c>
    </row>
    <row r="59" spans="1:6" ht="15">
      <c r="A59" s="76">
        <v>43922</v>
      </c>
      <c r="B59" s="74">
        <f t="shared" si="10"/>
        <v>175000000</v>
      </c>
      <c r="C59" s="75">
        <f t="shared" si="11"/>
        <v>28618125</v>
      </c>
      <c r="D59" s="74">
        <f t="shared" si="12"/>
        <v>3618125</v>
      </c>
      <c r="E59" s="74">
        <f t="shared" si="9"/>
        <v>25000000</v>
      </c>
      <c r="F59" s="74">
        <f t="shared" si="13"/>
        <v>150000000</v>
      </c>
    </row>
    <row r="60" spans="1:6" ht="15">
      <c r="A60" s="76">
        <v>44013</v>
      </c>
      <c r="B60" s="74">
        <f t="shared" si="10"/>
        <v>150000000</v>
      </c>
      <c r="C60" s="75">
        <f t="shared" si="11"/>
        <v>28101250</v>
      </c>
      <c r="D60" s="74">
        <f t="shared" si="12"/>
        <v>3101250</v>
      </c>
      <c r="E60" s="74">
        <f t="shared" si="9"/>
        <v>25000000</v>
      </c>
      <c r="F60" s="74">
        <f t="shared" si="13"/>
        <v>125000000</v>
      </c>
    </row>
    <row r="61" spans="1:6" ht="15">
      <c r="A61" s="76">
        <v>44105</v>
      </c>
      <c r="B61" s="74">
        <f t="shared" si="10"/>
        <v>125000000</v>
      </c>
      <c r="C61" s="75">
        <f t="shared" si="11"/>
        <v>27584375</v>
      </c>
      <c r="D61" s="74">
        <f t="shared" si="12"/>
        <v>2584375</v>
      </c>
      <c r="E61" s="74">
        <f t="shared" si="9"/>
        <v>25000000</v>
      </c>
      <c r="F61" s="74">
        <f t="shared" si="13"/>
        <v>100000000</v>
      </c>
    </row>
    <row r="62" spans="1:13" ht="15">
      <c r="A62" s="76">
        <v>44197</v>
      </c>
      <c r="B62" s="74">
        <f t="shared" si="10"/>
        <v>100000000</v>
      </c>
      <c r="C62" s="75">
        <f t="shared" si="11"/>
        <v>27067500</v>
      </c>
      <c r="D62" s="74">
        <f t="shared" si="12"/>
        <v>2067500</v>
      </c>
      <c r="E62" s="74">
        <f t="shared" si="9"/>
        <v>25000000</v>
      </c>
      <c r="F62" s="74">
        <f t="shared" si="13"/>
        <v>75000000</v>
      </c>
      <c r="H62" s="72">
        <f>SUM(C62:C65)</f>
        <v>105168750</v>
      </c>
      <c r="I62" t="s">
        <v>497</v>
      </c>
      <c r="M62">
        <f>ROUND(H62/1000000,0)</f>
        <v>105</v>
      </c>
    </row>
    <row r="63" spans="1:6" ht="15">
      <c r="A63" s="76">
        <v>44287</v>
      </c>
      <c r="B63" s="74">
        <f t="shared" si="10"/>
        <v>75000000</v>
      </c>
      <c r="C63" s="75">
        <f t="shared" si="11"/>
        <v>26550625</v>
      </c>
      <c r="D63" s="74">
        <f t="shared" si="12"/>
        <v>1550625</v>
      </c>
      <c r="E63" s="74">
        <f t="shared" si="9"/>
        <v>25000000</v>
      </c>
      <c r="F63" s="74">
        <f t="shared" si="13"/>
        <v>50000000</v>
      </c>
    </row>
    <row r="64" spans="1:6" ht="15">
      <c r="A64" s="76">
        <v>44378</v>
      </c>
      <c r="B64" s="74">
        <f t="shared" si="10"/>
        <v>50000000</v>
      </c>
      <c r="C64" s="75">
        <f t="shared" si="11"/>
        <v>26033750</v>
      </c>
      <c r="D64" s="74">
        <f t="shared" si="12"/>
        <v>1033750</v>
      </c>
      <c r="E64" s="74">
        <f t="shared" si="9"/>
        <v>25000000</v>
      </c>
      <c r="F64" s="74">
        <f t="shared" si="13"/>
        <v>25000000</v>
      </c>
    </row>
    <row r="65" spans="1:6" ht="15">
      <c r="A65" s="76">
        <v>44470</v>
      </c>
      <c r="B65" s="74">
        <f t="shared" si="10"/>
        <v>25000000</v>
      </c>
      <c r="C65" s="75">
        <f t="shared" si="11"/>
        <v>25516875</v>
      </c>
      <c r="D65" s="74">
        <f t="shared" si="12"/>
        <v>516875</v>
      </c>
      <c r="E65" s="74">
        <f t="shared" si="9"/>
        <v>25000000</v>
      </c>
      <c r="F65" s="74">
        <f t="shared" si="13"/>
        <v>0</v>
      </c>
    </row>
  </sheetData>
  <sheetProtection/>
  <mergeCells count="2">
    <mergeCell ref="A1:F1"/>
    <mergeCell ref="A24:F2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83"/>
  <sheetViews>
    <sheetView zoomScale="75" zoomScaleNormal="75" zoomScalePageLayoutView="0" workbookViewId="0" topLeftCell="A2">
      <pane xSplit="2" ySplit="2" topLeftCell="J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L4" sqref="L4"/>
    </sheetView>
  </sheetViews>
  <sheetFormatPr defaultColWidth="11.421875" defaultRowHeight="15"/>
  <cols>
    <col min="1" max="1" width="14.28125" style="144" customWidth="1"/>
    <col min="2" max="2" width="67.7109375" style="145" customWidth="1"/>
    <col min="3" max="8" width="16.28125" style="145" customWidth="1"/>
    <col min="9" max="9" width="18.28125" style="145" customWidth="1"/>
    <col min="10" max="10" width="18.00390625" style="145" customWidth="1"/>
    <col min="11" max="11" width="18.7109375" style="145" customWidth="1"/>
    <col min="12" max="12" width="19.00390625" style="141" customWidth="1"/>
    <col min="13" max="13" width="17.421875" style="0" customWidth="1"/>
    <col min="15" max="18" width="16.28125" style="0" bestFit="1" customWidth="1"/>
    <col min="19" max="19" width="16.8515625" style="0" bestFit="1" customWidth="1"/>
  </cols>
  <sheetData>
    <row r="1" spans="2:12" ht="23.25">
      <c r="B1" s="290" t="s">
        <v>539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9" ht="15">
      <c r="A2" s="132" t="s">
        <v>77</v>
      </c>
      <c r="B2" s="133" t="s">
        <v>507</v>
      </c>
      <c r="C2" s="133"/>
      <c r="D2" s="133"/>
      <c r="E2" s="133"/>
      <c r="F2" s="133"/>
      <c r="G2" s="133"/>
      <c r="H2" s="291" t="s">
        <v>39</v>
      </c>
      <c r="I2" s="291" t="s">
        <v>36</v>
      </c>
      <c r="J2" s="291" t="s">
        <v>37</v>
      </c>
      <c r="K2" s="291" t="s">
        <v>38</v>
      </c>
      <c r="L2" s="293" t="s">
        <v>62</v>
      </c>
      <c r="O2" s="291">
        <v>2007</v>
      </c>
      <c r="P2" s="291">
        <v>2008</v>
      </c>
      <c r="Q2" s="291">
        <v>2009</v>
      </c>
      <c r="R2" s="291">
        <v>2010</v>
      </c>
      <c r="S2" s="293" t="s">
        <v>66</v>
      </c>
    </row>
    <row r="3" spans="1:19" ht="15">
      <c r="A3" s="134" t="s">
        <v>508</v>
      </c>
      <c r="B3" s="135" t="s">
        <v>508</v>
      </c>
      <c r="C3" s="135">
        <v>2002</v>
      </c>
      <c r="D3" s="135">
        <v>2003</v>
      </c>
      <c r="E3" s="135">
        <v>2004</v>
      </c>
      <c r="F3" s="135">
        <v>2005</v>
      </c>
      <c r="G3" s="135">
        <v>2006</v>
      </c>
      <c r="H3" s="292"/>
      <c r="I3" s="292"/>
      <c r="J3" s="292"/>
      <c r="K3" s="292"/>
      <c r="L3" s="294"/>
      <c r="O3" s="292"/>
      <c r="P3" s="292"/>
      <c r="Q3" s="292"/>
      <c r="R3" s="292"/>
      <c r="S3" s="294"/>
    </row>
    <row r="4" spans="1:19" ht="15">
      <c r="A4" s="136" t="s">
        <v>509</v>
      </c>
      <c r="B4" s="150" t="s">
        <v>167</v>
      </c>
      <c r="C4" s="150"/>
      <c r="D4" s="150"/>
      <c r="E4" s="150"/>
      <c r="F4" s="150"/>
      <c r="G4" s="150"/>
      <c r="H4" s="138">
        <f>H5+H77+H111</f>
        <v>7826588753.190001</v>
      </c>
      <c r="I4" s="138">
        <f>I5+I77+I111</f>
        <v>8471627649.55</v>
      </c>
      <c r="J4" s="138">
        <f>J5+J77+J111</f>
        <v>9715018434.51</v>
      </c>
      <c r="K4" s="138">
        <f>K5+K77+K111</f>
        <v>9418955500.08</v>
      </c>
      <c r="L4" s="138">
        <f>L5+L77+L111</f>
        <v>13963781771.87</v>
      </c>
      <c r="M4" s="10">
        <f>SUM(H4:L4)</f>
        <v>49395972109.200005</v>
      </c>
      <c r="O4" s="10">
        <f>H8</f>
        <v>428212824</v>
      </c>
      <c r="P4" s="10">
        <f>I8</f>
        <v>509315818</v>
      </c>
      <c r="Q4" s="10">
        <f>J8</f>
        <v>540006688</v>
      </c>
      <c r="R4" s="10">
        <f>K8</f>
        <v>852238092</v>
      </c>
      <c r="S4" s="10">
        <f>L8</f>
        <v>766342000</v>
      </c>
    </row>
    <row r="5" spans="1:13" ht="15">
      <c r="A5" s="136" t="s">
        <v>510</v>
      </c>
      <c r="B5" s="150" t="s">
        <v>78</v>
      </c>
      <c r="C5" s="150"/>
      <c r="D5" s="150"/>
      <c r="E5" s="150"/>
      <c r="F5" s="150"/>
      <c r="G5" s="150"/>
      <c r="H5" s="138">
        <f>H6+H23</f>
        <v>5369509676.75</v>
      </c>
      <c r="I5" s="138">
        <f>I6+I23</f>
        <v>3975362666</v>
      </c>
      <c r="J5" s="138">
        <f>J6+J23</f>
        <v>4505260329.08</v>
      </c>
      <c r="K5" s="138">
        <f>K6+K23</f>
        <v>4803597902.76</v>
      </c>
      <c r="L5" s="138">
        <f>L6+L23</f>
        <v>9355729132.2</v>
      </c>
      <c r="M5" s="10">
        <f aca="true" t="shared" si="0" ref="M5:M68">SUM(H5:L5)</f>
        <v>28009459706.79</v>
      </c>
    </row>
    <row r="6" spans="1:13" ht="15">
      <c r="A6" s="136" t="s">
        <v>511</v>
      </c>
      <c r="B6" s="150" t="s">
        <v>79</v>
      </c>
      <c r="C6" s="150"/>
      <c r="D6" s="150"/>
      <c r="E6" s="150"/>
      <c r="F6" s="150"/>
      <c r="G6" s="150"/>
      <c r="H6" s="138">
        <f>H7+H11</f>
        <v>1562823153.3</v>
      </c>
      <c r="I6" s="138">
        <f>I7+I11</f>
        <v>1609501926</v>
      </c>
      <c r="J6" s="138">
        <f>J7+J11</f>
        <v>1570734775.08</v>
      </c>
      <c r="K6" s="138">
        <f>K7+K11</f>
        <v>1861485233.76</v>
      </c>
      <c r="L6" s="138">
        <f>L7+L11</f>
        <v>1988660613</v>
      </c>
      <c r="M6" s="10">
        <f t="shared" si="0"/>
        <v>8593205701.14</v>
      </c>
    </row>
    <row r="7" spans="1:13" ht="15">
      <c r="A7" s="136" t="s">
        <v>512</v>
      </c>
      <c r="B7" s="150" t="s">
        <v>513</v>
      </c>
      <c r="C7" s="150"/>
      <c r="D7" s="150"/>
      <c r="E7" s="150"/>
      <c r="F7" s="150"/>
      <c r="G7" s="150"/>
      <c r="H7" s="138">
        <f>SUM(H8:H10)</f>
        <v>592340394</v>
      </c>
      <c r="I7" s="138">
        <f>SUM(I8:I10)</f>
        <v>709620818</v>
      </c>
      <c r="J7" s="138">
        <f>SUM(J8:J10)</f>
        <v>763642997</v>
      </c>
      <c r="K7" s="138">
        <f>SUM(K8:K10)</f>
        <v>965680992</v>
      </c>
      <c r="L7" s="138">
        <f>SUM(L8:L10)</f>
        <v>1044171543</v>
      </c>
      <c r="M7" s="10">
        <f t="shared" si="0"/>
        <v>4075456744</v>
      </c>
    </row>
    <row r="8" spans="1:19" ht="15">
      <c r="A8" s="136" t="s">
        <v>514</v>
      </c>
      <c r="B8" s="137" t="s">
        <v>81</v>
      </c>
      <c r="C8" s="137"/>
      <c r="D8" s="137"/>
      <c r="E8" s="137"/>
      <c r="F8" s="137"/>
      <c r="G8" s="137"/>
      <c r="H8" s="147">
        <v>428212824</v>
      </c>
      <c r="I8" s="147">
        <v>509315818</v>
      </c>
      <c r="J8" s="147">
        <v>540006688</v>
      </c>
      <c r="K8" s="147">
        <v>852238092</v>
      </c>
      <c r="L8" s="147">
        <v>766342000</v>
      </c>
      <c r="M8" s="10">
        <f t="shared" si="0"/>
        <v>3096115422</v>
      </c>
      <c r="O8" s="291" t="s">
        <v>39</v>
      </c>
      <c r="P8" s="291" t="s">
        <v>36</v>
      </c>
      <c r="Q8" s="291" t="s">
        <v>37</v>
      </c>
      <c r="R8" s="291" t="s">
        <v>38</v>
      </c>
      <c r="S8" s="293" t="s">
        <v>63</v>
      </c>
    </row>
    <row r="9" spans="1:19" ht="15">
      <c r="A9" s="136" t="s">
        <v>515</v>
      </c>
      <c r="B9" s="137" t="s">
        <v>173</v>
      </c>
      <c r="C9" s="137"/>
      <c r="D9" s="137"/>
      <c r="E9" s="137"/>
      <c r="F9" s="137"/>
      <c r="G9" s="137"/>
      <c r="H9" s="147">
        <v>164127570</v>
      </c>
      <c r="I9" s="147">
        <v>200305000</v>
      </c>
      <c r="J9" s="147">
        <v>223636309</v>
      </c>
      <c r="K9" s="147">
        <v>113442900</v>
      </c>
      <c r="L9" s="147">
        <v>277829543</v>
      </c>
      <c r="M9" s="10">
        <f t="shared" si="0"/>
        <v>979341322</v>
      </c>
      <c r="O9" s="292"/>
      <c r="P9" s="292"/>
      <c r="Q9" s="292"/>
      <c r="R9" s="292"/>
      <c r="S9" s="294"/>
    </row>
    <row r="10" spans="1:19" ht="15">
      <c r="A10" s="136" t="s">
        <v>516</v>
      </c>
      <c r="B10" s="137" t="s">
        <v>82</v>
      </c>
      <c r="C10" s="137"/>
      <c r="D10" s="137"/>
      <c r="E10" s="137"/>
      <c r="F10" s="137"/>
      <c r="G10" s="137"/>
      <c r="H10" s="147">
        <v>0</v>
      </c>
      <c r="I10" s="147">
        <v>0</v>
      </c>
      <c r="J10" s="147">
        <v>0</v>
      </c>
      <c r="K10" s="147">
        <v>0</v>
      </c>
      <c r="L10" s="147"/>
      <c r="M10" s="10">
        <f t="shared" si="0"/>
        <v>0</v>
      </c>
      <c r="O10" s="39">
        <f>ROUND(H4/1000,0)</f>
        <v>7826589</v>
      </c>
      <c r="P10" s="39">
        <f>ROUND(I4/1000,0)</f>
        <v>8471628</v>
      </c>
      <c r="Q10" s="39">
        <f>ROUND(J4/1000,0)</f>
        <v>9715018</v>
      </c>
      <c r="R10" s="39">
        <f>ROUND(K4/1000,0)</f>
        <v>9418956</v>
      </c>
      <c r="S10" s="39">
        <f>ROUND(L4/1000,0)</f>
        <v>13963782</v>
      </c>
    </row>
    <row r="11" spans="1:19" ht="15">
      <c r="A11" s="136" t="s">
        <v>517</v>
      </c>
      <c r="B11" s="150" t="s">
        <v>83</v>
      </c>
      <c r="C11" s="150"/>
      <c r="D11" s="150"/>
      <c r="E11" s="150"/>
      <c r="F11" s="150"/>
      <c r="G11" s="150"/>
      <c r="H11" s="138">
        <f>H12+SUM(H16:H22)</f>
        <v>970482759.3</v>
      </c>
      <c r="I11" s="138">
        <f>I12+SUM(I16:I22)</f>
        <v>899881108</v>
      </c>
      <c r="J11" s="138">
        <f>J12+SUM(J16:J22)</f>
        <v>807091778.0799999</v>
      </c>
      <c r="K11" s="138">
        <f>K12+SUM(K16:K22)</f>
        <v>895804241.76</v>
      </c>
      <c r="L11" s="138">
        <f>L12+SUM(L16:L22)</f>
        <v>944489070</v>
      </c>
      <c r="M11" s="10">
        <f t="shared" si="0"/>
        <v>4517748957.14</v>
      </c>
      <c r="P11" s="37">
        <f>((P10-O10)/O10)</f>
        <v>0.08241636299031417</v>
      </c>
      <c r="Q11" s="37">
        <f>((Q10-P10)/P10)</f>
        <v>0.14677108107202064</v>
      </c>
      <c r="R11" s="37">
        <f>((R10-Q10)/Q10)</f>
        <v>-0.030474673335654137</v>
      </c>
      <c r="S11" s="37">
        <f>((S10-R10)/R10)</f>
        <v>0.48251908173262514</v>
      </c>
    </row>
    <row r="12" spans="1:13" ht="15">
      <c r="A12" s="136" t="s">
        <v>518</v>
      </c>
      <c r="B12" s="150" t="s">
        <v>84</v>
      </c>
      <c r="C12" s="150"/>
      <c r="D12" s="150"/>
      <c r="E12" s="150"/>
      <c r="F12" s="150"/>
      <c r="G12" s="150"/>
      <c r="H12" s="138">
        <f>SUM(H13:H15)</f>
        <v>270368471</v>
      </c>
      <c r="I12" s="138">
        <f>SUM(I13:I15)</f>
        <v>326854044</v>
      </c>
      <c r="J12" s="138">
        <f>SUM(J13:J15)</f>
        <v>217806252</v>
      </c>
      <c r="K12" s="138">
        <f>SUM(K13:K15)</f>
        <v>230278687</v>
      </c>
      <c r="L12" s="138">
        <f>SUM(L13:L15)</f>
        <v>328049749</v>
      </c>
      <c r="M12" s="10">
        <f t="shared" si="0"/>
        <v>1373357203</v>
      </c>
    </row>
    <row r="13" spans="1:13" ht="15">
      <c r="A13" s="136" t="s">
        <v>519</v>
      </c>
      <c r="B13" s="137" t="s">
        <v>170</v>
      </c>
      <c r="C13" s="137"/>
      <c r="D13" s="137"/>
      <c r="E13" s="137"/>
      <c r="F13" s="137"/>
      <c r="G13" s="137"/>
      <c r="H13" s="147">
        <v>219669698</v>
      </c>
      <c r="I13" s="147">
        <v>301764366</v>
      </c>
      <c r="J13" s="147">
        <v>206919638</v>
      </c>
      <c r="K13" s="147">
        <v>205316687</v>
      </c>
      <c r="L13" s="147">
        <v>313160749</v>
      </c>
      <c r="M13" s="10">
        <f t="shared" si="0"/>
        <v>1246831138</v>
      </c>
    </row>
    <row r="14" spans="1:13" ht="15">
      <c r="A14" s="136" t="s">
        <v>520</v>
      </c>
      <c r="B14" s="137" t="s">
        <v>171</v>
      </c>
      <c r="C14" s="137"/>
      <c r="D14" s="137"/>
      <c r="E14" s="137"/>
      <c r="F14" s="137"/>
      <c r="G14" s="137"/>
      <c r="H14" s="147">
        <v>38614373</v>
      </c>
      <c r="I14" s="147">
        <v>13279578</v>
      </c>
      <c r="J14" s="147">
        <v>3325614</v>
      </c>
      <c r="K14" s="147">
        <v>13205000</v>
      </c>
      <c r="L14" s="147">
        <v>2290000</v>
      </c>
      <c r="M14" s="10">
        <f t="shared" si="0"/>
        <v>70714565</v>
      </c>
    </row>
    <row r="15" spans="1:13" ht="15">
      <c r="A15" s="136" t="s">
        <v>521</v>
      </c>
      <c r="B15" s="137" t="s">
        <v>172</v>
      </c>
      <c r="C15" s="137"/>
      <c r="D15" s="137"/>
      <c r="E15" s="137"/>
      <c r="F15" s="137"/>
      <c r="G15" s="137"/>
      <c r="H15" s="147">
        <v>12084400</v>
      </c>
      <c r="I15" s="147">
        <v>11810100</v>
      </c>
      <c r="J15" s="147">
        <v>7561000</v>
      </c>
      <c r="K15" s="147">
        <v>11757000</v>
      </c>
      <c r="L15" s="147">
        <v>12599000</v>
      </c>
      <c r="M15" s="10">
        <f t="shared" si="0"/>
        <v>55811500</v>
      </c>
    </row>
    <row r="16" spans="1:13" ht="15">
      <c r="A16" s="136" t="s">
        <v>168</v>
      </c>
      <c r="B16" s="137" t="s">
        <v>169</v>
      </c>
      <c r="C16" s="137"/>
      <c r="D16" s="137"/>
      <c r="E16" s="137"/>
      <c r="F16" s="137"/>
      <c r="G16" s="137"/>
      <c r="H16" s="147">
        <v>0</v>
      </c>
      <c r="I16" s="147">
        <v>0</v>
      </c>
      <c r="J16" s="147">
        <v>165700</v>
      </c>
      <c r="K16" s="147">
        <v>2153636</v>
      </c>
      <c r="L16" s="147">
        <v>1606800</v>
      </c>
      <c r="M16" s="10">
        <f t="shared" si="0"/>
        <v>3926136</v>
      </c>
    </row>
    <row r="17" spans="1:13" ht="15">
      <c r="A17" s="136" t="s">
        <v>174</v>
      </c>
      <c r="B17" s="137" t="s">
        <v>175</v>
      </c>
      <c r="C17" s="137"/>
      <c r="D17" s="137"/>
      <c r="E17" s="137"/>
      <c r="F17" s="137"/>
      <c r="G17" s="137"/>
      <c r="H17" s="147">
        <v>135711659</v>
      </c>
      <c r="I17" s="147">
        <v>15509064</v>
      </c>
      <c r="J17" s="147">
        <v>27854826.08</v>
      </c>
      <c r="K17" s="147">
        <v>125927918.76</v>
      </c>
      <c r="L17" s="147">
        <v>51048521</v>
      </c>
      <c r="M17" s="10">
        <f t="shared" si="0"/>
        <v>356051988.84</v>
      </c>
    </row>
    <row r="18" spans="1:13" ht="15">
      <c r="A18" s="136"/>
      <c r="B18" s="137" t="s">
        <v>538</v>
      </c>
      <c r="C18" s="137"/>
      <c r="D18" s="137"/>
      <c r="E18" s="137"/>
      <c r="F18" s="137"/>
      <c r="G18" s="137"/>
      <c r="H18" s="147">
        <v>2940</v>
      </c>
      <c r="I18" s="147">
        <v>0</v>
      </c>
      <c r="J18" s="147">
        <v>0</v>
      </c>
      <c r="K18" s="147">
        <v>0</v>
      </c>
      <c r="L18" s="147"/>
      <c r="M18" s="10">
        <f t="shared" si="0"/>
        <v>2940</v>
      </c>
    </row>
    <row r="19" spans="1:13" ht="15">
      <c r="A19" s="136" t="s">
        <v>176</v>
      </c>
      <c r="B19" s="137" t="s">
        <v>177</v>
      </c>
      <c r="C19" s="137"/>
      <c r="D19" s="137"/>
      <c r="E19" s="137"/>
      <c r="F19" s="137"/>
      <c r="G19" s="137"/>
      <c r="H19" s="147">
        <v>700000</v>
      </c>
      <c r="I19" s="147">
        <v>220000</v>
      </c>
      <c r="J19" s="147">
        <v>60000</v>
      </c>
      <c r="K19" s="147">
        <v>50000</v>
      </c>
      <c r="L19" s="147"/>
      <c r="M19" s="10">
        <f t="shared" si="0"/>
        <v>1030000</v>
      </c>
    </row>
    <row r="20" spans="1:37" ht="15">
      <c r="A20" s="136" t="s">
        <v>178</v>
      </c>
      <c r="B20" s="137" t="s">
        <v>179</v>
      </c>
      <c r="C20" s="137"/>
      <c r="D20" s="137"/>
      <c r="E20" s="137"/>
      <c r="F20" s="137"/>
      <c r="G20" s="137"/>
      <c r="H20" s="147">
        <v>492342000</v>
      </c>
      <c r="I20" s="147">
        <v>528891000</v>
      </c>
      <c r="J20" s="147">
        <v>496391000</v>
      </c>
      <c r="K20" s="147">
        <v>469981000</v>
      </c>
      <c r="L20" s="147">
        <v>436318000</v>
      </c>
      <c r="M20" s="10">
        <f t="shared" si="0"/>
        <v>2423923000</v>
      </c>
      <c r="AJ20" s="144" t="s">
        <v>437</v>
      </c>
      <c r="AK20" s="37">
        <v>0.2</v>
      </c>
    </row>
    <row r="21" spans="1:37" ht="15">
      <c r="A21" s="136" t="s">
        <v>180</v>
      </c>
      <c r="B21" s="137" t="s">
        <v>181</v>
      </c>
      <c r="C21" s="137">
        <v>2374882.5</v>
      </c>
      <c r="D21" s="137">
        <v>15084273.86</v>
      </c>
      <c r="E21" s="137">
        <v>7873907</v>
      </c>
      <c r="F21" s="137">
        <v>10589759</v>
      </c>
      <c r="G21" s="137">
        <v>14361740</v>
      </c>
      <c r="H21" s="147">
        <v>29389639.3</v>
      </c>
      <c r="I21" s="147">
        <v>11684000</v>
      </c>
      <c r="J21" s="147">
        <v>26942000</v>
      </c>
      <c r="K21" s="147">
        <v>37188000</v>
      </c>
      <c r="L21" s="147">
        <v>63680000</v>
      </c>
      <c r="M21" s="10">
        <f>SUM(C21:L21)</f>
        <v>219168201.66</v>
      </c>
      <c r="O21" s="10">
        <f>M21*10/100</f>
        <v>21916820.165999997</v>
      </c>
      <c r="AJ21" s="144" t="s">
        <v>94</v>
      </c>
      <c r="AK21" s="37">
        <v>0.05</v>
      </c>
    </row>
    <row r="22" spans="1:37" ht="15">
      <c r="A22" s="136" t="s">
        <v>182</v>
      </c>
      <c r="B22" s="137" t="s">
        <v>183</v>
      </c>
      <c r="C22" s="137"/>
      <c r="D22" s="137"/>
      <c r="E22" s="137"/>
      <c r="F22" s="137"/>
      <c r="G22" s="137"/>
      <c r="H22" s="147">
        <v>41968050</v>
      </c>
      <c r="I22" s="147">
        <v>16723000</v>
      </c>
      <c r="J22" s="147">
        <v>37872000</v>
      </c>
      <c r="K22" s="147">
        <v>30225000</v>
      </c>
      <c r="L22" s="147">
        <v>63786000</v>
      </c>
      <c r="M22" s="10">
        <f t="shared" si="0"/>
        <v>190574050</v>
      </c>
      <c r="AJ22" s="144" t="s">
        <v>40</v>
      </c>
      <c r="AK22" s="37">
        <v>0.1</v>
      </c>
    </row>
    <row r="23" spans="1:37" ht="15">
      <c r="A23" s="136" t="s">
        <v>185</v>
      </c>
      <c r="B23" s="150" t="s">
        <v>122</v>
      </c>
      <c r="C23" s="150"/>
      <c r="D23" s="150"/>
      <c r="E23" s="150"/>
      <c r="F23" s="150"/>
      <c r="G23" s="150"/>
      <c r="H23" s="138">
        <f>H24+H38+H41+H45+H49+H52+H57+H75</f>
        <v>3806686523.45</v>
      </c>
      <c r="I23" s="138">
        <f>I24+I38+I41+I45+I49+I52+I57+I75</f>
        <v>2365860740</v>
      </c>
      <c r="J23" s="138">
        <f>J24+J38+J41+J45+J49+J52+J57+J75</f>
        <v>2934525554</v>
      </c>
      <c r="K23" s="138">
        <f>K24+K38+K41+K45+K49+K52+K57+K75</f>
        <v>2942112669</v>
      </c>
      <c r="L23" s="138">
        <f>L24+L38+L41+L45+L49+L52+L57+L75</f>
        <v>7367068519.2</v>
      </c>
      <c r="M23" s="10">
        <f t="shared" si="0"/>
        <v>19416254005.65</v>
      </c>
      <c r="AJ23" s="144" t="s">
        <v>41</v>
      </c>
      <c r="AK23" s="37">
        <v>0.33</v>
      </c>
    </row>
    <row r="24" spans="1:37" ht="15">
      <c r="A24" s="136" t="s">
        <v>186</v>
      </c>
      <c r="B24" s="150" t="s">
        <v>184</v>
      </c>
      <c r="C24" s="150"/>
      <c r="D24" s="150"/>
      <c r="E24" s="150"/>
      <c r="F24" s="150"/>
      <c r="G24" s="150"/>
      <c r="H24" s="138">
        <f>SUM(H25:H27)</f>
        <v>133887030</v>
      </c>
      <c r="I24" s="138">
        <f>SUM(I25:I27)</f>
        <v>132160779</v>
      </c>
      <c r="J24" s="138">
        <f>SUM(J25:J27)</f>
        <v>38490684</v>
      </c>
      <c r="K24" s="138">
        <f>SUM(K25:K27)</f>
        <v>38738732</v>
      </c>
      <c r="L24" s="138">
        <f>SUM(L25:L27)</f>
        <v>65013808.2</v>
      </c>
      <c r="M24" s="10">
        <f t="shared" si="0"/>
        <v>408291033.2</v>
      </c>
      <c r="AJ24" s="258">
        <v>0.0023</v>
      </c>
      <c r="AK24" s="37">
        <v>0.13</v>
      </c>
    </row>
    <row r="25" spans="1:37" ht="15">
      <c r="A25" s="136" t="s">
        <v>187</v>
      </c>
      <c r="B25" s="137" t="s">
        <v>88</v>
      </c>
      <c r="C25" s="137"/>
      <c r="D25" s="137"/>
      <c r="E25" s="137"/>
      <c r="F25" s="137"/>
      <c r="G25" s="137"/>
      <c r="H25" s="147">
        <v>31126456</v>
      </c>
      <c r="I25" s="147">
        <v>5805800</v>
      </c>
      <c r="J25" s="147">
        <v>6045200</v>
      </c>
      <c r="K25" s="147">
        <v>7289600</v>
      </c>
      <c r="L25" s="147">
        <v>23518550</v>
      </c>
      <c r="M25" s="10">
        <f t="shared" si="0"/>
        <v>73785606</v>
      </c>
      <c r="AJ25" s="144" t="s">
        <v>42</v>
      </c>
      <c r="AK25" s="37">
        <v>0.19</v>
      </c>
    </row>
    <row r="26" spans="1:13" ht="15">
      <c r="A26" s="136" t="s">
        <v>188</v>
      </c>
      <c r="B26" s="137" t="s">
        <v>189</v>
      </c>
      <c r="C26" s="137"/>
      <c r="D26" s="137"/>
      <c r="E26" s="137"/>
      <c r="F26" s="137"/>
      <c r="G26" s="137"/>
      <c r="H26" s="147">
        <v>70000</v>
      </c>
      <c r="I26" s="147">
        <v>0</v>
      </c>
      <c r="J26" s="147">
        <v>0</v>
      </c>
      <c r="K26" s="147">
        <v>0</v>
      </c>
      <c r="L26" s="147"/>
      <c r="M26" s="10">
        <f t="shared" si="0"/>
        <v>70000</v>
      </c>
    </row>
    <row r="27" spans="1:13" ht="15">
      <c r="A27" s="136" t="s">
        <v>190</v>
      </c>
      <c r="B27" s="150" t="s">
        <v>191</v>
      </c>
      <c r="C27" s="150"/>
      <c r="D27" s="150"/>
      <c r="E27" s="150"/>
      <c r="F27" s="150"/>
      <c r="G27" s="150"/>
      <c r="H27" s="138">
        <f>SUM(H28:H37)</f>
        <v>102690574</v>
      </c>
      <c r="I27" s="138">
        <f>SUM(I28:I37)</f>
        <v>126354979</v>
      </c>
      <c r="J27" s="138">
        <f>SUM(J28:J37)</f>
        <v>32445484</v>
      </c>
      <c r="K27" s="138">
        <f>SUM(K28:K37)</f>
        <v>31449132</v>
      </c>
      <c r="L27" s="138">
        <f>SUM(L28:L37)</f>
        <v>41495258.2</v>
      </c>
      <c r="M27" s="10">
        <f t="shared" si="0"/>
        <v>334435427.2</v>
      </c>
    </row>
    <row r="28" spans="1:13" ht="15">
      <c r="A28" s="136" t="s">
        <v>192</v>
      </c>
      <c r="B28" s="137" t="s">
        <v>193</v>
      </c>
      <c r="C28" s="137"/>
      <c r="D28" s="137"/>
      <c r="E28" s="137"/>
      <c r="F28" s="137"/>
      <c r="G28" s="137"/>
      <c r="H28" s="147">
        <v>258940</v>
      </c>
      <c r="I28" s="147">
        <v>169700</v>
      </c>
      <c r="J28" s="147">
        <v>256150</v>
      </c>
      <c r="K28" s="147">
        <v>451600</v>
      </c>
      <c r="L28" s="147">
        <v>464100</v>
      </c>
      <c r="M28" s="10">
        <f t="shared" si="0"/>
        <v>1600490</v>
      </c>
    </row>
    <row r="29" spans="1:13" ht="15">
      <c r="A29" s="136" t="s">
        <v>194</v>
      </c>
      <c r="B29" s="137" t="s">
        <v>86</v>
      </c>
      <c r="C29" s="137"/>
      <c r="D29" s="137"/>
      <c r="E29" s="137"/>
      <c r="F29" s="137"/>
      <c r="G29" s="137"/>
      <c r="H29" s="147">
        <v>7347146</v>
      </c>
      <c r="I29" s="147">
        <v>7579515</v>
      </c>
      <c r="J29" s="147">
        <v>6196114</v>
      </c>
      <c r="K29" s="147">
        <v>6415478</v>
      </c>
      <c r="L29" s="147">
        <v>6408750</v>
      </c>
      <c r="M29" s="10">
        <f t="shared" si="0"/>
        <v>33947003</v>
      </c>
    </row>
    <row r="30" spans="1:13" ht="15">
      <c r="A30" s="136" t="s">
        <v>195</v>
      </c>
      <c r="B30" s="137" t="s">
        <v>196</v>
      </c>
      <c r="C30" s="137"/>
      <c r="D30" s="137"/>
      <c r="E30" s="137"/>
      <c r="F30" s="137"/>
      <c r="G30" s="137"/>
      <c r="H30" s="147">
        <v>3508475</v>
      </c>
      <c r="I30" s="147">
        <v>2951061</v>
      </c>
      <c r="J30" s="147">
        <v>4022810</v>
      </c>
      <c r="K30" s="147">
        <v>2417200</v>
      </c>
      <c r="L30" s="147">
        <v>2489000</v>
      </c>
      <c r="M30" s="10">
        <f t="shared" si="0"/>
        <v>15388546</v>
      </c>
    </row>
    <row r="31" spans="1:13" ht="15">
      <c r="A31" s="136" t="s">
        <v>197</v>
      </c>
      <c r="B31" s="137" t="s">
        <v>89</v>
      </c>
      <c r="C31" s="137"/>
      <c r="D31" s="137"/>
      <c r="E31" s="137"/>
      <c r="F31" s="137"/>
      <c r="G31" s="137"/>
      <c r="H31" s="147">
        <v>34009332</v>
      </c>
      <c r="I31" s="147">
        <v>1966400</v>
      </c>
      <c r="J31" s="147">
        <v>1648700</v>
      </c>
      <c r="K31" s="147">
        <v>1978100</v>
      </c>
      <c r="L31" s="147">
        <v>1621900</v>
      </c>
      <c r="M31" s="10">
        <f t="shared" si="0"/>
        <v>41224432</v>
      </c>
    </row>
    <row r="32" spans="1:32" ht="15">
      <c r="A32" s="136" t="s">
        <v>198</v>
      </c>
      <c r="B32" s="137" t="s">
        <v>199</v>
      </c>
      <c r="C32" s="137"/>
      <c r="D32" s="137"/>
      <c r="E32" s="137"/>
      <c r="F32" s="137"/>
      <c r="G32" s="137"/>
      <c r="H32" s="147">
        <v>4069704</v>
      </c>
      <c r="I32" s="147">
        <v>82443119</v>
      </c>
      <c r="J32" s="147">
        <v>4567900</v>
      </c>
      <c r="K32" s="147">
        <v>9308975</v>
      </c>
      <c r="L32" s="147">
        <v>18258461.2</v>
      </c>
      <c r="M32" s="10">
        <f t="shared" si="0"/>
        <v>118648159.2</v>
      </c>
      <c r="AC32" s="259">
        <v>2008</v>
      </c>
      <c r="AD32" s="259">
        <v>2009</v>
      </c>
      <c r="AE32" s="259">
        <v>2010</v>
      </c>
      <c r="AF32" s="259">
        <v>2011</v>
      </c>
    </row>
    <row r="33" spans="1:32" ht="15">
      <c r="A33" s="136" t="s">
        <v>200</v>
      </c>
      <c r="B33" s="137" t="s">
        <v>201</v>
      </c>
      <c r="C33" s="137"/>
      <c r="D33" s="137"/>
      <c r="E33" s="137"/>
      <c r="F33" s="137"/>
      <c r="G33" s="137"/>
      <c r="H33" s="147">
        <v>15419300</v>
      </c>
      <c r="I33" s="147">
        <v>3280000</v>
      </c>
      <c r="J33" s="147">
        <v>2963150</v>
      </c>
      <c r="K33" s="147">
        <v>1805500</v>
      </c>
      <c r="L33" s="147">
        <v>2425500</v>
      </c>
      <c r="M33" s="10">
        <f t="shared" si="0"/>
        <v>25893450</v>
      </c>
      <c r="AC33" s="10">
        <f>I12</f>
        <v>326854044</v>
      </c>
      <c r="AD33" s="10">
        <f>J12</f>
        <v>217806252</v>
      </c>
      <c r="AE33" s="10">
        <f>K12</f>
        <v>230278687</v>
      </c>
      <c r="AF33" s="10">
        <f>L12</f>
        <v>328049749</v>
      </c>
    </row>
    <row r="34" spans="1:13" ht="15">
      <c r="A34" s="136" t="s">
        <v>202</v>
      </c>
      <c r="B34" s="137" t="s">
        <v>203</v>
      </c>
      <c r="C34" s="137"/>
      <c r="D34" s="137"/>
      <c r="E34" s="137"/>
      <c r="F34" s="137"/>
      <c r="G34" s="137"/>
      <c r="H34" s="147">
        <v>1406898</v>
      </c>
      <c r="I34" s="147">
        <v>15383</v>
      </c>
      <c r="J34" s="147">
        <v>973327</v>
      </c>
      <c r="K34" s="147">
        <v>757079</v>
      </c>
      <c r="L34" s="147">
        <v>1069017</v>
      </c>
      <c r="M34" s="10">
        <f t="shared" si="0"/>
        <v>4221704</v>
      </c>
    </row>
    <row r="35" spans="1:13" ht="15">
      <c r="A35" s="136" t="s">
        <v>204</v>
      </c>
      <c r="B35" s="137" t="s">
        <v>85</v>
      </c>
      <c r="C35" s="137"/>
      <c r="D35" s="137"/>
      <c r="E35" s="137"/>
      <c r="F35" s="137"/>
      <c r="G35" s="137"/>
      <c r="H35" s="147">
        <v>20055969</v>
      </c>
      <c r="I35" s="147">
        <v>25915671</v>
      </c>
      <c r="J35" s="147">
        <v>11817333</v>
      </c>
      <c r="K35" s="147">
        <v>8315200</v>
      </c>
      <c r="L35" s="147">
        <v>8758530</v>
      </c>
      <c r="M35" s="10">
        <f t="shared" si="0"/>
        <v>74862703</v>
      </c>
    </row>
    <row r="36" spans="1:13" ht="15">
      <c r="A36" s="136" t="s">
        <v>205</v>
      </c>
      <c r="B36" s="137" t="s">
        <v>206</v>
      </c>
      <c r="C36" s="137"/>
      <c r="D36" s="137"/>
      <c r="E36" s="137"/>
      <c r="F36" s="137"/>
      <c r="G36" s="137"/>
      <c r="H36" s="147">
        <v>1379600</v>
      </c>
      <c r="I36" s="147">
        <v>0</v>
      </c>
      <c r="J36" s="147">
        <v>0</v>
      </c>
      <c r="K36" s="147">
        <v>0</v>
      </c>
      <c r="L36" s="147"/>
      <c r="M36" s="10">
        <f t="shared" si="0"/>
        <v>1379600</v>
      </c>
    </row>
    <row r="37" spans="1:13" ht="15">
      <c r="A37" s="136"/>
      <c r="B37" s="137" t="s">
        <v>533</v>
      </c>
      <c r="C37" s="137"/>
      <c r="D37" s="137"/>
      <c r="E37" s="137"/>
      <c r="F37" s="137"/>
      <c r="G37" s="137"/>
      <c r="H37" s="147">
        <v>15235210</v>
      </c>
      <c r="I37" s="147">
        <v>2034130</v>
      </c>
      <c r="J37" s="147">
        <v>0</v>
      </c>
      <c r="K37" s="147">
        <v>0</v>
      </c>
      <c r="L37" s="147"/>
      <c r="M37" s="10">
        <f t="shared" si="0"/>
        <v>17269340</v>
      </c>
    </row>
    <row r="38" spans="1:13" ht="15">
      <c r="A38" s="136" t="s">
        <v>207</v>
      </c>
      <c r="B38" s="150" t="s">
        <v>208</v>
      </c>
      <c r="C38" s="150"/>
      <c r="D38" s="150"/>
      <c r="E38" s="150"/>
      <c r="F38" s="150"/>
      <c r="G38" s="150"/>
      <c r="H38" s="138">
        <f>SUM(H39:H40)</f>
        <v>1306175</v>
      </c>
      <c r="I38" s="138">
        <f>SUM(I39:I40)</f>
        <v>7627900</v>
      </c>
      <c r="J38" s="138">
        <f>SUM(J39:J40)</f>
        <v>932440</v>
      </c>
      <c r="K38" s="138">
        <f>SUM(K39:K40)</f>
        <v>3679296</v>
      </c>
      <c r="L38" s="138">
        <f>SUM(L39:L40)</f>
        <v>2112123</v>
      </c>
      <c r="M38" s="10">
        <f t="shared" si="0"/>
        <v>15657934</v>
      </c>
    </row>
    <row r="39" spans="1:13" ht="15">
      <c r="A39" s="136" t="s">
        <v>209</v>
      </c>
      <c r="B39" s="137" t="s">
        <v>90</v>
      </c>
      <c r="C39" s="137"/>
      <c r="D39" s="137"/>
      <c r="E39" s="137"/>
      <c r="F39" s="137"/>
      <c r="G39" s="137"/>
      <c r="H39" s="147">
        <v>1213664</v>
      </c>
      <c r="I39" s="147">
        <v>7627900</v>
      </c>
      <c r="J39" s="147">
        <v>886000</v>
      </c>
      <c r="K39" s="147">
        <v>2647000</v>
      </c>
      <c r="L39" s="147">
        <v>1129457</v>
      </c>
      <c r="M39" s="10">
        <f t="shared" si="0"/>
        <v>13504021</v>
      </c>
    </row>
    <row r="40" spans="1:13" ht="15">
      <c r="A40" s="136" t="s">
        <v>210</v>
      </c>
      <c r="B40" s="137" t="s">
        <v>211</v>
      </c>
      <c r="C40" s="137"/>
      <c r="D40" s="137"/>
      <c r="E40" s="137"/>
      <c r="F40" s="137"/>
      <c r="G40" s="137"/>
      <c r="H40" s="147">
        <v>92511</v>
      </c>
      <c r="I40" s="147">
        <v>0</v>
      </c>
      <c r="J40" s="147">
        <v>46440</v>
      </c>
      <c r="K40" s="147">
        <v>1032296</v>
      </c>
      <c r="L40" s="147">
        <v>982666</v>
      </c>
      <c r="M40" s="10">
        <f t="shared" si="0"/>
        <v>2153913</v>
      </c>
    </row>
    <row r="41" spans="1:13" ht="15">
      <c r="A41" s="136" t="s">
        <v>212</v>
      </c>
      <c r="B41" s="150" t="s">
        <v>91</v>
      </c>
      <c r="C41" s="150"/>
      <c r="D41" s="150"/>
      <c r="E41" s="150"/>
      <c r="F41" s="150"/>
      <c r="G41" s="150"/>
      <c r="H41" s="138">
        <f>SUM(H42:H44)</f>
        <v>82419230</v>
      </c>
      <c r="I41" s="138">
        <f>SUM(I42:I44)</f>
        <v>173601284</v>
      </c>
      <c r="J41" s="138">
        <f>SUM(J42:J44)</f>
        <v>149491833</v>
      </c>
      <c r="K41" s="138">
        <f>SUM(K42:K44)</f>
        <v>139719234</v>
      </c>
      <c r="L41" s="138">
        <f>SUM(L42:L44)</f>
        <v>180039967</v>
      </c>
      <c r="M41" s="10">
        <f t="shared" si="0"/>
        <v>725271548</v>
      </c>
    </row>
    <row r="42" spans="1:13" ht="15">
      <c r="A42" s="136" t="s">
        <v>213</v>
      </c>
      <c r="B42" s="137" t="s">
        <v>214</v>
      </c>
      <c r="C42" s="137"/>
      <c r="D42" s="137"/>
      <c r="E42" s="137"/>
      <c r="F42" s="137"/>
      <c r="G42" s="137"/>
      <c r="H42" s="147">
        <v>80439870</v>
      </c>
      <c r="I42" s="147">
        <v>169537084</v>
      </c>
      <c r="J42" s="147">
        <v>148833833</v>
      </c>
      <c r="K42" s="147">
        <v>137939156</v>
      </c>
      <c r="L42" s="147">
        <v>178437967</v>
      </c>
      <c r="M42" s="10">
        <f t="shared" si="0"/>
        <v>715187910</v>
      </c>
    </row>
    <row r="43" spans="1:13" ht="15">
      <c r="A43" s="136" t="s">
        <v>215</v>
      </c>
      <c r="B43" s="137" t="s">
        <v>522</v>
      </c>
      <c r="C43" s="137"/>
      <c r="D43" s="137"/>
      <c r="E43" s="137"/>
      <c r="F43" s="137"/>
      <c r="G43" s="137"/>
      <c r="H43" s="147">
        <v>1979360</v>
      </c>
      <c r="I43" s="147">
        <v>4064200</v>
      </c>
      <c r="J43" s="147">
        <v>658000</v>
      </c>
      <c r="K43" s="147">
        <v>1780078</v>
      </c>
      <c r="L43" s="147">
        <v>1602000</v>
      </c>
      <c r="M43" s="10">
        <f t="shared" si="0"/>
        <v>10083638</v>
      </c>
    </row>
    <row r="44" spans="1:13" ht="15">
      <c r="A44" s="136" t="s">
        <v>216</v>
      </c>
      <c r="B44" s="137" t="s">
        <v>217</v>
      </c>
      <c r="C44" s="137"/>
      <c r="D44" s="137"/>
      <c r="E44" s="137"/>
      <c r="F44" s="137"/>
      <c r="G44" s="137"/>
      <c r="H44" s="147">
        <v>0</v>
      </c>
      <c r="I44" s="147">
        <v>0</v>
      </c>
      <c r="J44" s="147">
        <v>0</v>
      </c>
      <c r="K44" s="147">
        <v>0</v>
      </c>
      <c r="L44" s="147"/>
      <c r="M44" s="10">
        <f t="shared" si="0"/>
        <v>0</v>
      </c>
    </row>
    <row r="45" spans="1:40" ht="15">
      <c r="A45" s="136" t="s">
        <v>218</v>
      </c>
      <c r="B45" s="150" t="s">
        <v>93</v>
      </c>
      <c r="C45" s="150"/>
      <c r="D45" s="150"/>
      <c r="E45" s="150"/>
      <c r="F45" s="150"/>
      <c r="G45" s="150"/>
      <c r="H45" s="138">
        <f>SUM(H46:H48)</f>
        <v>0</v>
      </c>
      <c r="I45" s="138">
        <f>SUM(I46:I48)</f>
        <v>0</v>
      </c>
      <c r="J45" s="138">
        <f>SUM(J46:J48)</f>
        <v>436000</v>
      </c>
      <c r="K45" s="138">
        <f>SUM(K46:K48)</f>
        <v>1165307</v>
      </c>
      <c r="L45" s="138">
        <f>SUM(L46:L48)</f>
        <v>2152000</v>
      </c>
      <c r="M45" s="10">
        <f t="shared" si="0"/>
        <v>3753307</v>
      </c>
      <c r="AK45" s="259">
        <v>2008</v>
      </c>
      <c r="AL45" s="259">
        <v>2009</v>
      </c>
      <c r="AM45" s="259">
        <v>2010</v>
      </c>
      <c r="AN45" s="259">
        <v>2011</v>
      </c>
    </row>
    <row r="46" spans="1:40" ht="15">
      <c r="A46" s="136" t="s">
        <v>219</v>
      </c>
      <c r="B46" s="137" t="s">
        <v>214</v>
      </c>
      <c r="C46" s="137"/>
      <c r="D46" s="137"/>
      <c r="E46" s="137"/>
      <c r="F46" s="137"/>
      <c r="G46" s="137"/>
      <c r="H46" s="147">
        <v>0</v>
      </c>
      <c r="I46" s="147">
        <v>0</v>
      </c>
      <c r="J46" s="147">
        <v>0</v>
      </c>
      <c r="K46" s="147">
        <v>0</v>
      </c>
      <c r="L46" s="147"/>
      <c r="M46" s="10">
        <f t="shared" si="0"/>
        <v>0</v>
      </c>
      <c r="AK46" s="10">
        <f>I20</f>
        <v>528891000</v>
      </c>
      <c r="AL46" s="10">
        <f>J20</f>
        <v>496391000</v>
      </c>
      <c r="AM46" s="10">
        <f>K20</f>
        <v>469981000</v>
      </c>
      <c r="AN46" s="10">
        <f>L20</f>
        <v>436318000</v>
      </c>
    </row>
    <row r="47" spans="1:13" ht="15">
      <c r="A47" s="136" t="s">
        <v>220</v>
      </c>
      <c r="B47" s="137" t="s">
        <v>522</v>
      </c>
      <c r="C47" s="137"/>
      <c r="D47" s="137"/>
      <c r="E47" s="137"/>
      <c r="F47" s="137"/>
      <c r="G47" s="137"/>
      <c r="H47" s="147">
        <v>0</v>
      </c>
      <c r="I47" s="147">
        <v>0</v>
      </c>
      <c r="J47" s="147">
        <v>436000</v>
      </c>
      <c r="K47" s="147">
        <v>1165307</v>
      </c>
      <c r="L47" s="147">
        <v>2152000</v>
      </c>
      <c r="M47" s="10">
        <f t="shared" si="0"/>
        <v>3753307</v>
      </c>
    </row>
    <row r="48" spans="1:13" ht="15">
      <c r="A48" s="136" t="s">
        <v>221</v>
      </c>
      <c r="B48" s="137" t="s">
        <v>222</v>
      </c>
      <c r="C48" s="137"/>
      <c r="D48" s="137"/>
      <c r="E48" s="137"/>
      <c r="F48" s="137"/>
      <c r="G48" s="137"/>
      <c r="H48" s="147">
        <v>0</v>
      </c>
      <c r="I48" s="147">
        <v>0</v>
      </c>
      <c r="J48" s="147">
        <v>0</v>
      </c>
      <c r="K48" s="147">
        <v>0</v>
      </c>
      <c r="L48" s="147"/>
      <c r="M48" s="10">
        <f t="shared" si="0"/>
        <v>0</v>
      </c>
    </row>
    <row r="49" spans="1:13" ht="15">
      <c r="A49" s="136">
        <v>110205</v>
      </c>
      <c r="B49" s="150" t="s">
        <v>523</v>
      </c>
      <c r="C49" s="150"/>
      <c r="D49" s="150"/>
      <c r="E49" s="150"/>
      <c r="F49" s="150"/>
      <c r="G49" s="150"/>
      <c r="H49" s="138">
        <f>SUM(H50:H51)</f>
        <v>1413507.7</v>
      </c>
      <c r="I49" s="138">
        <f>SUM(I50:I51)</f>
        <v>3438811</v>
      </c>
      <c r="J49" s="138">
        <f>SUM(J50:J51)</f>
        <v>2830688</v>
      </c>
      <c r="K49" s="138">
        <f>SUM(K50:K51)</f>
        <v>3864008</v>
      </c>
      <c r="L49" s="138">
        <f>SUM(L50:L51)</f>
        <v>8513617</v>
      </c>
      <c r="M49" s="10">
        <f t="shared" si="0"/>
        <v>20060631.7</v>
      </c>
    </row>
    <row r="50" spans="1:13" ht="15">
      <c r="A50" s="136">
        <v>11020501</v>
      </c>
      <c r="B50" s="137" t="s">
        <v>226</v>
      </c>
      <c r="C50" s="137"/>
      <c r="D50" s="137"/>
      <c r="E50" s="137"/>
      <c r="F50" s="137"/>
      <c r="G50" s="137"/>
      <c r="H50" s="147">
        <v>1413507.7</v>
      </c>
      <c r="I50" s="147">
        <v>1797938</v>
      </c>
      <c r="J50" s="147">
        <v>2743213</v>
      </c>
      <c r="K50" s="147">
        <v>3367878</v>
      </c>
      <c r="L50" s="147">
        <v>8160735</v>
      </c>
      <c r="M50" s="10">
        <f t="shared" si="0"/>
        <v>17483271.7</v>
      </c>
    </row>
    <row r="51" spans="1:31" ht="15">
      <c r="A51" s="136">
        <v>11020502</v>
      </c>
      <c r="B51" s="137" t="s">
        <v>227</v>
      </c>
      <c r="C51" s="137"/>
      <c r="D51" s="137"/>
      <c r="E51" s="137"/>
      <c r="F51" s="137"/>
      <c r="G51" s="137"/>
      <c r="H51" s="147">
        <v>0</v>
      </c>
      <c r="I51" s="147">
        <v>1640873</v>
      </c>
      <c r="J51" s="147">
        <v>87475</v>
      </c>
      <c r="K51" s="147">
        <v>496130</v>
      </c>
      <c r="L51" s="147">
        <v>352882</v>
      </c>
      <c r="M51" s="10">
        <f t="shared" si="0"/>
        <v>2577360</v>
      </c>
      <c r="AB51">
        <v>2008</v>
      </c>
      <c r="AC51">
        <v>2009</v>
      </c>
      <c r="AD51">
        <v>2010</v>
      </c>
      <c r="AE51">
        <v>2011</v>
      </c>
    </row>
    <row r="52" spans="1:31" ht="15">
      <c r="A52" s="136">
        <v>110206</v>
      </c>
      <c r="B52" s="150" t="s">
        <v>229</v>
      </c>
      <c r="C52" s="150"/>
      <c r="D52" s="150"/>
      <c r="E52" s="150"/>
      <c r="F52" s="150"/>
      <c r="G52" s="150"/>
      <c r="H52" s="138">
        <f>SUM(H53:H56)</f>
        <v>118603533</v>
      </c>
      <c r="I52" s="138">
        <f>SUM(I53:I56)</f>
        <v>104972438</v>
      </c>
      <c r="J52" s="138">
        <f>SUM(J53:J56)</f>
        <v>148727750</v>
      </c>
      <c r="K52" s="138">
        <f>SUM(K53:K56)</f>
        <v>137004576</v>
      </c>
      <c r="L52" s="138">
        <f>SUM(L53:L56)</f>
        <v>141104604</v>
      </c>
      <c r="M52" s="10">
        <f t="shared" si="0"/>
        <v>650412901</v>
      </c>
      <c r="AB52" s="10">
        <f>I58+I60+I63+I64+I65+I67+I114+I115+I123</f>
        <v>1916313724</v>
      </c>
      <c r="AC52" s="10">
        <f>J58+J60+J63+J64+J65+J67+J114+J115+J123</f>
        <v>2096113521</v>
      </c>
      <c r="AD52" s="10">
        <f>K58+K60+K63+K64+K65+K67+K114+K115+K123</f>
        <v>2067724856</v>
      </c>
      <c r="AE52" s="10">
        <f>L58+L60+L63+L64+L65+L67+L114+L115+L123</f>
        <v>2047349980.22</v>
      </c>
    </row>
    <row r="53" spans="1:13" ht="15">
      <c r="A53" s="136">
        <v>11020601</v>
      </c>
      <c r="B53" s="137" t="s">
        <v>231</v>
      </c>
      <c r="C53" s="137"/>
      <c r="D53" s="137"/>
      <c r="E53" s="137"/>
      <c r="F53" s="137"/>
      <c r="G53" s="137"/>
      <c r="H53" s="147">
        <v>66563859</v>
      </c>
      <c r="I53" s="147">
        <v>72682752</v>
      </c>
      <c r="J53" s="147">
        <v>106370791</v>
      </c>
      <c r="K53" s="147">
        <v>100242321</v>
      </c>
      <c r="L53" s="147">
        <v>105946904</v>
      </c>
      <c r="M53" s="10">
        <f t="shared" si="0"/>
        <v>451806627</v>
      </c>
    </row>
    <row r="54" spans="1:13" ht="15">
      <c r="A54" s="136">
        <v>11020602</v>
      </c>
      <c r="B54" s="137" t="s">
        <v>233</v>
      </c>
      <c r="C54" s="137"/>
      <c r="D54" s="137"/>
      <c r="E54" s="137"/>
      <c r="F54" s="137"/>
      <c r="G54" s="137"/>
      <c r="H54" s="147">
        <v>37576864</v>
      </c>
      <c r="I54" s="147">
        <v>7225494</v>
      </c>
      <c r="J54" s="147">
        <v>42356959</v>
      </c>
      <c r="K54" s="147">
        <v>19875055</v>
      </c>
      <c r="L54" s="147">
        <v>18549700</v>
      </c>
      <c r="M54" s="10">
        <f t="shared" si="0"/>
        <v>125584072</v>
      </c>
    </row>
    <row r="55" spans="1:13" ht="15">
      <c r="A55" s="136">
        <v>11020603</v>
      </c>
      <c r="B55" s="137" t="s">
        <v>95</v>
      </c>
      <c r="C55" s="137"/>
      <c r="D55" s="137"/>
      <c r="E55" s="137"/>
      <c r="F55" s="137"/>
      <c r="G55" s="137"/>
      <c r="H55" s="147">
        <v>14462810</v>
      </c>
      <c r="I55" s="147">
        <v>25064192</v>
      </c>
      <c r="J55" s="147">
        <v>0</v>
      </c>
      <c r="K55" s="147">
        <v>16887200</v>
      </c>
      <c r="L55" s="147">
        <v>16608000</v>
      </c>
      <c r="M55" s="10">
        <f t="shared" si="0"/>
        <v>73022202</v>
      </c>
    </row>
    <row r="56" spans="1:13" ht="15">
      <c r="A56" s="136">
        <v>11020604</v>
      </c>
      <c r="B56" s="137" t="s">
        <v>236</v>
      </c>
      <c r="C56" s="137"/>
      <c r="D56" s="137"/>
      <c r="E56" s="137"/>
      <c r="F56" s="137"/>
      <c r="G56" s="137"/>
      <c r="H56" s="147">
        <v>0</v>
      </c>
      <c r="I56" s="147">
        <v>0</v>
      </c>
      <c r="J56" s="147">
        <v>0</v>
      </c>
      <c r="K56" s="147">
        <v>0</v>
      </c>
      <c r="L56" s="147"/>
      <c r="M56" s="10">
        <f t="shared" si="0"/>
        <v>0</v>
      </c>
    </row>
    <row r="57" spans="1:13" ht="15">
      <c r="A57" s="136">
        <v>110207</v>
      </c>
      <c r="B57" s="150" t="s">
        <v>238</v>
      </c>
      <c r="C57" s="150"/>
      <c r="D57" s="150"/>
      <c r="E57" s="150"/>
      <c r="F57" s="150"/>
      <c r="G57" s="150"/>
      <c r="H57" s="138">
        <f>SUM(H58:H60)+SUM(H63:H65)+H67+SUM(H72:H74)</f>
        <v>3469057047.75</v>
      </c>
      <c r="I57" s="138">
        <f>SUM(I58:I60)+SUM(I63:I65)+I67+SUM(I72:I74)</f>
        <v>1944059528</v>
      </c>
      <c r="J57" s="138">
        <f>SUM(J58:J60)+SUM(J63:J65)+J67+SUM(J72:J74)</f>
        <v>2593616159</v>
      </c>
      <c r="K57" s="138">
        <f>SUM(K58:K60)+SUM(K63:K65)+K67+SUM(K72:K74)</f>
        <v>2617941516</v>
      </c>
      <c r="L57" s="138">
        <f>SUM(L58:L60)+SUM(L63:L65)+L67+SUM(L72:L74)</f>
        <v>6413865962</v>
      </c>
      <c r="M57" s="10">
        <f t="shared" si="0"/>
        <v>17038540212.75</v>
      </c>
    </row>
    <row r="58" spans="1:13" ht="15">
      <c r="A58" s="136">
        <v>11020701</v>
      </c>
      <c r="B58" s="137" t="s">
        <v>240</v>
      </c>
      <c r="C58" s="137"/>
      <c r="D58" s="137"/>
      <c r="E58" s="137"/>
      <c r="F58" s="137"/>
      <c r="G58" s="137"/>
      <c r="H58" s="147">
        <v>318233913</v>
      </c>
      <c r="I58" s="147">
        <v>411153956</v>
      </c>
      <c r="J58" s="147">
        <v>459149259</v>
      </c>
      <c r="K58" s="147">
        <v>456919622</v>
      </c>
      <c r="L58" s="147">
        <v>489676606</v>
      </c>
      <c r="M58" s="10">
        <f t="shared" si="0"/>
        <v>2135133356</v>
      </c>
    </row>
    <row r="59" spans="1:13" ht="15">
      <c r="A59" s="136">
        <v>11020702</v>
      </c>
      <c r="B59" s="137" t="s">
        <v>242</v>
      </c>
      <c r="C59" s="137"/>
      <c r="D59" s="137"/>
      <c r="E59" s="137"/>
      <c r="F59" s="137"/>
      <c r="G59" s="137"/>
      <c r="H59" s="147">
        <v>5282000</v>
      </c>
      <c r="I59" s="147">
        <v>5854850</v>
      </c>
      <c r="J59" s="147">
        <v>3185420</v>
      </c>
      <c r="K59" s="147">
        <v>6343690</v>
      </c>
      <c r="L59" s="147">
        <v>9189740</v>
      </c>
      <c r="M59" s="10">
        <f t="shared" si="0"/>
        <v>29855700</v>
      </c>
    </row>
    <row r="60" spans="1:13" ht="15">
      <c r="A60" s="136">
        <v>11020703</v>
      </c>
      <c r="B60" s="137" t="s">
        <v>524</v>
      </c>
      <c r="C60" s="137"/>
      <c r="D60" s="137"/>
      <c r="E60" s="137"/>
      <c r="F60" s="137"/>
      <c r="G60" s="137"/>
      <c r="H60" s="138">
        <f>SUM(H61:H62)</f>
        <v>115439163</v>
      </c>
      <c r="I60" s="138">
        <f>SUM(I61:I62)</f>
        <v>149918778</v>
      </c>
      <c r="J60" s="138">
        <f>SUM(J61:J62)</f>
        <v>165022929</v>
      </c>
      <c r="K60" s="138">
        <f>SUM(K61:K62)</f>
        <v>166576388</v>
      </c>
      <c r="L60" s="138">
        <f>SUM(L61:L62)</f>
        <v>174812471</v>
      </c>
      <c r="M60" s="10">
        <f t="shared" si="0"/>
        <v>771769729</v>
      </c>
    </row>
    <row r="61" spans="1:13" ht="15">
      <c r="A61" s="136">
        <v>1102070301</v>
      </c>
      <c r="B61" s="137" t="s">
        <v>246</v>
      </c>
      <c r="C61" s="137"/>
      <c r="D61" s="137"/>
      <c r="E61" s="137"/>
      <c r="F61" s="137"/>
      <c r="G61" s="137"/>
      <c r="H61" s="147">
        <v>115439163</v>
      </c>
      <c r="I61" s="147">
        <v>149918778</v>
      </c>
      <c r="J61" s="147">
        <v>117613930</v>
      </c>
      <c r="K61" s="147">
        <v>117552388</v>
      </c>
      <c r="L61" s="147">
        <v>117675471</v>
      </c>
      <c r="M61" s="10">
        <f t="shared" si="0"/>
        <v>618199730</v>
      </c>
    </row>
    <row r="62" spans="1:13" ht="15">
      <c r="A62" s="136">
        <v>1102070302</v>
      </c>
      <c r="B62" s="137" t="s">
        <v>248</v>
      </c>
      <c r="C62" s="137"/>
      <c r="D62" s="137"/>
      <c r="E62" s="137"/>
      <c r="F62" s="137"/>
      <c r="G62" s="137"/>
      <c r="H62" s="147">
        <v>0</v>
      </c>
      <c r="I62" s="147">
        <v>0</v>
      </c>
      <c r="J62" s="147">
        <v>47408999</v>
      </c>
      <c r="K62" s="147">
        <v>49024000</v>
      </c>
      <c r="L62" s="147">
        <v>57137000</v>
      </c>
      <c r="M62" s="10">
        <f t="shared" si="0"/>
        <v>153569999</v>
      </c>
    </row>
    <row r="63" spans="1:13" ht="15">
      <c r="A63" s="136">
        <v>11020704</v>
      </c>
      <c r="B63" s="137" t="s">
        <v>250</v>
      </c>
      <c r="C63" s="137"/>
      <c r="D63" s="137"/>
      <c r="E63" s="137"/>
      <c r="F63" s="137"/>
      <c r="G63" s="137"/>
      <c r="H63" s="147">
        <v>34820762</v>
      </c>
      <c r="I63" s="147">
        <v>14782974</v>
      </c>
      <c r="J63" s="147">
        <v>17063899</v>
      </c>
      <c r="K63" s="147">
        <v>18024283</v>
      </c>
      <c r="L63" s="147">
        <v>17342673</v>
      </c>
      <c r="M63" s="10">
        <f t="shared" si="0"/>
        <v>102034591</v>
      </c>
    </row>
    <row r="64" spans="1:13" ht="15">
      <c r="A64" s="136">
        <v>11020705</v>
      </c>
      <c r="B64" s="137" t="s">
        <v>252</v>
      </c>
      <c r="C64" s="137"/>
      <c r="D64" s="137"/>
      <c r="E64" s="137"/>
      <c r="F64" s="137"/>
      <c r="G64" s="137"/>
      <c r="H64" s="147">
        <v>0</v>
      </c>
      <c r="I64" s="147">
        <v>262407031</v>
      </c>
      <c r="J64" s="147">
        <v>266969464</v>
      </c>
      <c r="K64" s="147">
        <v>271635977</v>
      </c>
      <c r="L64" s="147">
        <v>249817445</v>
      </c>
      <c r="M64" s="10">
        <f t="shared" si="0"/>
        <v>1050829917</v>
      </c>
    </row>
    <row r="65" spans="1:13" ht="15">
      <c r="A65" s="136">
        <v>11020706</v>
      </c>
      <c r="B65" s="137" t="s">
        <v>525</v>
      </c>
      <c r="C65" s="137"/>
      <c r="D65" s="137"/>
      <c r="E65" s="137"/>
      <c r="F65" s="137"/>
      <c r="G65" s="137"/>
      <c r="H65" s="138">
        <f>SUM(H66:H66)</f>
        <v>0</v>
      </c>
      <c r="I65" s="138">
        <f>SUM(I66:I66)</f>
        <v>49822681</v>
      </c>
      <c r="J65" s="138">
        <f>SUM(J66:J66)</f>
        <v>65526538</v>
      </c>
      <c r="K65" s="138">
        <f>SUM(K66:K66)</f>
        <v>0</v>
      </c>
      <c r="L65" s="138">
        <f>SUM(L66:L66)</f>
        <v>0</v>
      </c>
      <c r="M65" s="10">
        <f t="shared" si="0"/>
        <v>115349219</v>
      </c>
    </row>
    <row r="66" spans="1:13" ht="15">
      <c r="A66" s="136">
        <v>1102070601</v>
      </c>
      <c r="B66" s="137" t="s">
        <v>448</v>
      </c>
      <c r="C66" s="137"/>
      <c r="D66" s="137"/>
      <c r="E66" s="137"/>
      <c r="F66" s="137"/>
      <c r="G66" s="137"/>
      <c r="H66" s="147">
        <v>0</v>
      </c>
      <c r="I66" s="147">
        <v>49822681</v>
      </c>
      <c r="J66" s="147">
        <v>65526538</v>
      </c>
      <c r="K66" s="147">
        <v>0</v>
      </c>
      <c r="L66" s="147"/>
      <c r="M66" s="10">
        <f t="shared" si="0"/>
        <v>115349219</v>
      </c>
    </row>
    <row r="67" spans="1:13" ht="15">
      <c r="A67" s="136">
        <v>11020707</v>
      </c>
      <c r="B67" s="137" t="s">
        <v>526</v>
      </c>
      <c r="C67" s="137"/>
      <c r="D67" s="137"/>
      <c r="E67" s="137"/>
      <c r="F67" s="137"/>
      <c r="G67" s="137"/>
      <c r="H67" s="138">
        <f>SUM(H68:H71)</f>
        <v>736484197</v>
      </c>
      <c r="I67" s="138">
        <f>SUM(I68:I71)</f>
        <v>567589554</v>
      </c>
      <c r="J67" s="138">
        <f>SUM(J68:J71)</f>
        <v>639158216</v>
      </c>
      <c r="K67" s="138">
        <f>SUM(K68:K71)</f>
        <v>669417741</v>
      </c>
      <c r="L67" s="138">
        <f>SUM(L68:L71)</f>
        <v>685635742</v>
      </c>
      <c r="M67" s="10">
        <f t="shared" si="0"/>
        <v>3298285450</v>
      </c>
    </row>
    <row r="68" spans="1:13" ht="15">
      <c r="A68" s="136">
        <v>1102070701</v>
      </c>
      <c r="B68" s="137" t="s">
        <v>97</v>
      </c>
      <c r="C68" s="137"/>
      <c r="D68" s="137"/>
      <c r="E68" s="137"/>
      <c r="F68" s="137"/>
      <c r="G68" s="137"/>
      <c r="H68" s="147">
        <v>0</v>
      </c>
      <c r="I68" s="147">
        <v>31339300</v>
      </c>
      <c r="J68" s="147">
        <v>0</v>
      </c>
      <c r="K68" s="147">
        <v>34878270</v>
      </c>
      <c r="L68" s="147">
        <v>35896077</v>
      </c>
      <c r="M68" s="10">
        <f t="shared" si="0"/>
        <v>102113647</v>
      </c>
    </row>
    <row r="69" spans="1:13" ht="15">
      <c r="A69" s="136">
        <v>1102070702</v>
      </c>
      <c r="B69" s="137" t="s">
        <v>98</v>
      </c>
      <c r="C69" s="137"/>
      <c r="D69" s="137"/>
      <c r="E69" s="137"/>
      <c r="F69" s="137"/>
      <c r="G69" s="137"/>
      <c r="H69" s="147">
        <v>0</v>
      </c>
      <c r="I69" s="147">
        <v>23504475</v>
      </c>
      <c r="J69" s="147">
        <v>0</v>
      </c>
      <c r="K69" s="147">
        <v>26158703</v>
      </c>
      <c r="L69" s="147">
        <v>26922056</v>
      </c>
      <c r="M69" s="10">
        <f aca="true" t="shared" si="1" ref="M69:M133">SUM(H69:L69)</f>
        <v>76585234</v>
      </c>
    </row>
    <row r="70" spans="1:13" ht="15">
      <c r="A70" s="136">
        <v>1102070703</v>
      </c>
      <c r="B70" s="137" t="s">
        <v>527</v>
      </c>
      <c r="C70" s="137"/>
      <c r="D70" s="137"/>
      <c r="E70" s="137"/>
      <c r="F70" s="137"/>
      <c r="G70" s="137"/>
      <c r="H70" s="147">
        <v>736484197</v>
      </c>
      <c r="I70" s="147">
        <v>512745779</v>
      </c>
      <c r="J70" s="147">
        <v>639158216</v>
      </c>
      <c r="K70" s="147">
        <v>608380768</v>
      </c>
      <c r="L70" s="147">
        <v>622817609</v>
      </c>
      <c r="M70" s="10">
        <f t="shared" si="1"/>
        <v>3119586569</v>
      </c>
    </row>
    <row r="71" spans="1:13" ht="15">
      <c r="A71" s="136">
        <v>1102070704</v>
      </c>
      <c r="B71" s="137"/>
      <c r="C71" s="137"/>
      <c r="D71" s="137"/>
      <c r="E71" s="137"/>
      <c r="F71" s="137"/>
      <c r="G71" s="137"/>
      <c r="H71" s="147">
        <v>0</v>
      </c>
      <c r="I71" s="147">
        <v>0</v>
      </c>
      <c r="J71" s="147">
        <v>0</v>
      </c>
      <c r="K71" s="147">
        <v>0</v>
      </c>
      <c r="L71" s="147"/>
      <c r="M71" s="10">
        <f t="shared" si="1"/>
        <v>0</v>
      </c>
    </row>
    <row r="72" spans="1:13" ht="15">
      <c r="A72" s="136">
        <v>11020708</v>
      </c>
      <c r="B72" s="137" t="s">
        <v>266</v>
      </c>
      <c r="C72" s="137"/>
      <c r="D72" s="137"/>
      <c r="E72" s="137"/>
      <c r="F72" s="137"/>
      <c r="G72" s="137"/>
      <c r="H72" s="147">
        <v>49879730</v>
      </c>
      <c r="I72" s="147">
        <v>61814246</v>
      </c>
      <c r="J72" s="147">
        <v>60370127</v>
      </c>
      <c r="K72" s="147">
        <v>55364749</v>
      </c>
      <c r="L72" s="147">
        <v>79016049</v>
      </c>
      <c r="M72" s="10">
        <f t="shared" si="1"/>
        <v>306444901</v>
      </c>
    </row>
    <row r="73" spans="1:13" ht="15">
      <c r="A73" s="136" t="s">
        <v>64</v>
      </c>
      <c r="B73" s="137" t="s">
        <v>65</v>
      </c>
      <c r="C73" s="137"/>
      <c r="D73" s="137"/>
      <c r="E73" s="137"/>
      <c r="F73" s="137"/>
      <c r="G73" s="137"/>
      <c r="H73" s="147"/>
      <c r="I73" s="147"/>
      <c r="J73" s="147"/>
      <c r="K73" s="147"/>
      <c r="L73" s="147">
        <v>2168009</v>
      </c>
      <c r="M73" s="10"/>
    </row>
    <row r="74" spans="1:13" ht="15">
      <c r="A74" s="136">
        <v>11020710</v>
      </c>
      <c r="B74" s="137" t="s">
        <v>528</v>
      </c>
      <c r="C74" s="137"/>
      <c r="D74" s="137"/>
      <c r="E74" s="137"/>
      <c r="F74" s="137"/>
      <c r="G74" s="137"/>
      <c r="H74" s="147">
        <v>2208917282.75</v>
      </c>
      <c r="I74" s="147">
        <v>420715458</v>
      </c>
      <c r="J74" s="147">
        <v>917170307</v>
      </c>
      <c r="K74" s="147">
        <v>973659066</v>
      </c>
      <c r="L74" s="147">
        <v>4706207227</v>
      </c>
      <c r="M74" s="10">
        <f t="shared" si="1"/>
        <v>9226669340.75</v>
      </c>
    </row>
    <row r="75" spans="1:13" ht="15">
      <c r="A75" s="136">
        <v>110208</v>
      </c>
      <c r="B75" s="151" t="s">
        <v>529</v>
      </c>
      <c r="C75" s="151"/>
      <c r="D75" s="151"/>
      <c r="E75" s="151"/>
      <c r="F75" s="151"/>
      <c r="G75" s="151"/>
      <c r="H75" s="138">
        <f>H76</f>
        <v>0</v>
      </c>
      <c r="I75" s="138">
        <f>I76</f>
        <v>0</v>
      </c>
      <c r="J75" s="138">
        <f>J76</f>
        <v>0</v>
      </c>
      <c r="K75" s="138">
        <f>K76</f>
        <v>0</v>
      </c>
      <c r="L75" s="138">
        <f>L76</f>
        <v>554266438</v>
      </c>
      <c r="M75" s="10">
        <f t="shared" si="1"/>
        <v>554266438</v>
      </c>
    </row>
    <row r="76" spans="1:13" ht="15">
      <c r="A76" s="136">
        <v>11020801</v>
      </c>
      <c r="B76" s="137" t="s">
        <v>530</v>
      </c>
      <c r="C76" s="137"/>
      <c r="D76" s="137"/>
      <c r="E76" s="137"/>
      <c r="F76" s="137"/>
      <c r="G76" s="137"/>
      <c r="H76" s="147">
        <v>0</v>
      </c>
      <c r="I76" s="147">
        <v>0</v>
      </c>
      <c r="J76" s="147">
        <v>0</v>
      </c>
      <c r="K76" s="147">
        <v>0</v>
      </c>
      <c r="L76" s="147">
        <v>554266438</v>
      </c>
      <c r="M76" s="10">
        <f t="shared" si="1"/>
        <v>554266438</v>
      </c>
    </row>
    <row r="77" spans="1:13" ht="15">
      <c r="A77" s="136" t="s">
        <v>273</v>
      </c>
      <c r="B77" s="150" t="s">
        <v>274</v>
      </c>
      <c r="C77" s="150"/>
      <c r="D77" s="150"/>
      <c r="E77" s="150"/>
      <c r="F77" s="150"/>
      <c r="G77" s="150"/>
      <c r="H77" s="138">
        <f>H78+H86+H101+H104</f>
        <v>1318667085.6</v>
      </c>
      <c r="I77" s="138">
        <f>I78+I86+I101+I104</f>
        <v>3188294985.38</v>
      </c>
      <c r="J77" s="138">
        <f>J78+J86+J101+J104</f>
        <v>3572852657.69</v>
      </c>
      <c r="K77" s="138">
        <f>K78+K86+K101+K104</f>
        <v>2710769753.08</v>
      </c>
      <c r="L77" s="138">
        <f>L78+L86+L101+L104</f>
        <v>2629339290.14</v>
      </c>
      <c r="M77" s="10">
        <f t="shared" si="1"/>
        <v>13419923771.89</v>
      </c>
    </row>
    <row r="78" spans="1:13" ht="15">
      <c r="A78" s="136" t="s">
        <v>275</v>
      </c>
      <c r="B78" s="150" t="s">
        <v>276</v>
      </c>
      <c r="C78" s="150"/>
      <c r="D78" s="150"/>
      <c r="E78" s="150"/>
      <c r="F78" s="150"/>
      <c r="G78" s="150"/>
      <c r="H78" s="138">
        <f>H79+H83</f>
        <v>0</v>
      </c>
      <c r="I78" s="138">
        <f>I79+I83</f>
        <v>300000000</v>
      </c>
      <c r="J78" s="138">
        <f>J79+J83</f>
        <v>0</v>
      </c>
      <c r="K78" s="138">
        <f>K79+K83</f>
        <v>0</v>
      </c>
      <c r="L78" s="138">
        <f>L79+L83</f>
        <v>0</v>
      </c>
      <c r="M78" s="10">
        <f t="shared" si="1"/>
        <v>300000000</v>
      </c>
    </row>
    <row r="79" spans="1:13" ht="15">
      <c r="A79" s="136" t="s">
        <v>277</v>
      </c>
      <c r="B79" s="150" t="s">
        <v>278</v>
      </c>
      <c r="C79" s="150"/>
      <c r="D79" s="150"/>
      <c r="E79" s="150"/>
      <c r="F79" s="150"/>
      <c r="G79" s="150"/>
      <c r="H79" s="138">
        <f>SUM(H80:H82)</f>
        <v>0</v>
      </c>
      <c r="I79" s="138">
        <f>SUM(I80:I82)</f>
        <v>300000000</v>
      </c>
      <c r="J79" s="138">
        <f>SUM(J80:J82)</f>
        <v>0</v>
      </c>
      <c r="K79" s="138">
        <f>SUM(K80:K82)</f>
        <v>0</v>
      </c>
      <c r="L79" s="138">
        <f>SUM(L80:L82)</f>
        <v>0</v>
      </c>
      <c r="M79" s="10">
        <f t="shared" si="1"/>
        <v>300000000</v>
      </c>
    </row>
    <row r="80" spans="1:13" ht="15">
      <c r="A80" s="136" t="s">
        <v>279</v>
      </c>
      <c r="B80" s="137" t="s">
        <v>280</v>
      </c>
      <c r="C80" s="137"/>
      <c r="D80" s="137"/>
      <c r="E80" s="137"/>
      <c r="F80" s="137"/>
      <c r="G80" s="137"/>
      <c r="H80" s="147">
        <v>0</v>
      </c>
      <c r="I80" s="147">
        <v>0</v>
      </c>
      <c r="J80" s="147">
        <v>0</v>
      </c>
      <c r="K80" s="147">
        <v>0</v>
      </c>
      <c r="L80" s="147"/>
      <c r="M80" s="10">
        <f t="shared" si="1"/>
        <v>0</v>
      </c>
    </row>
    <row r="81" spans="1:13" ht="15">
      <c r="A81" s="136" t="s">
        <v>281</v>
      </c>
      <c r="B81" s="137" t="s">
        <v>282</v>
      </c>
      <c r="C81" s="137"/>
      <c r="D81" s="137"/>
      <c r="E81" s="137"/>
      <c r="F81" s="137"/>
      <c r="G81" s="137"/>
      <c r="H81" s="147">
        <v>0</v>
      </c>
      <c r="I81" s="147">
        <v>0</v>
      </c>
      <c r="J81" s="147">
        <v>0</v>
      </c>
      <c r="K81" s="147">
        <v>0</v>
      </c>
      <c r="L81" s="147"/>
      <c r="M81" s="10">
        <f t="shared" si="1"/>
        <v>0</v>
      </c>
    </row>
    <row r="82" spans="1:13" ht="15">
      <c r="A82" s="136" t="s">
        <v>283</v>
      </c>
      <c r="B82" s="137" t="s">
        <v>284</v>
      </c>
      <c r="C82" s="137"/>
      <c r="D82" s="137"/>
      <c r="E82" s="137"/>
      <c r="F82" s="137"/>
      <c r="G82" s="137"/>
      <c r="H82" s="147">
        <v>0</v>
      </c>
      <c r="I82" s="147">
        <v>300000000</v>
      </c>
      <c r="J82" s="147">
        <v>0</v>
      </c>
      <c r="K82" s="147">
        <v>0</v>
      </c>
      <c r="L82" s="147"/>
      <c r="M82" s="10">
        <f t="shared" si="1"/>
        <v>300000000</v>
      </c>
    </row>
    <row r="83" spans="1:13" ht="15">
      <c r="A83" s="136" t="s">
        <v>285</v>
      </c>
      <c r="B83" s="150" t="s">
        <v>286</v>
      </c>
      <c r="C83" s="150"/>
      <c r="D83" s="150"/>
      <c r="E83" s="150"/>
      <c r="F83" s="150"/>
      <c r="G83" s="150"/>
      <c r="H83" s="138">
        <f>SUM(H84:H85)</f>
        <v>0</v>
      </c>
      <c r="I83" s="138">
        <f>SUM(I84:I85)</f>
        <v>0</v>
      </c>
      <c r="J83" s="138">
        <f>SUM(J84:J85)</f>
        <v>0</v>
      </c>
      <c r="K83" s="138">
        <f>SUM(K84:K85)</f>
        <v>0</v>
      </c>
      <c r="L83" s="138">
        <f>SUM(L84:L85)</f>
        <v>0</v>
      </c>
      <c r="M83" s="10">
        <f t="shared" si="1"/>
        <v>0</v>
      </c>
    </row>
    <row r="84" spans="1:13" ht="15">
      <c r="A84" s="136" t="s">
        <v>287</v>
      </c>
      <c r="B84" s="137" t="s">
        <v>282</v>
      </c>
      <c r="C84" s="137"/>
      <c r="D84" s="137"/>
      <c r="E84" s="137"/>
      <c r="F84" s="137"/>
      <c r="G84" s="137"/>
      <c r="H84" s="147">
        <v>0</v>
      </c>
      <c r="I84" s="147">
        <v>0</v>
      </c>
      <c r="J84" s="147">
        <v>0</v>
      </c>
      <c r="K84" s="147">
        <v>0</v>
      </c>
      <c r="L84" s="147"/>
      <c r="M84" s="10">
        <f t="shared" si="1"/>
        <v>0</v>
      </c>
    </row>
    <row r="85" spans="1:13" ht="15">
      <c r="A85" s="136" t="s">
        <v>288</v>
      </c>
      <c r="B85" s="137" t="s">
        <v>284</v>
      </c>
      <c r="C85" s="137"/>
      <c r="D85" s="137"/>
      <c r="E85" s="137"/>
      <c r="F85" s="137"/>
      <c r="G85" s="137"/>
      <c r="H85" s="147">
        <v>0</v>
      </c>
      <c r="I85" s="147">
        <v>0</v>
      </c>
      <c r="J85" s="147">
        <v>0</v>
      </c>
      <c r="K85" s="147">
        <v>0</v>
      </c>
      <c r="L85" s="147"/>
      <c r="M85" s="10">
        <f t="shared" si="1"/>
        <v>0</v>
      </c>
    </row>
    <row r="86" spans="1:13" ht="15">
      <c r="A86" s="136" t="s">
        <v>289</v>
      </c>
      <c r="B86" s="150" t="s">
        <v>101</v>
      </c>
      <c r="C86" s="150"/>
      <c r="D86" s="150"/>
      <c r="E86" s="150"/>
      <c r="F86" s="150"/>
      <c r="G86" s="150"/>
      <c r="H86" s="138">
        <f>H87+H91</f>
        <v>1284485450.83</v>
      </c>
      <c r="I86" s="138">
        <f>I87+I91</f>
        <v>2853035233.4900002</v>
      </c>
      <c r="J86" s="138">
        <f>J87+J91</f>
        <v>3525001973.67</v>
      </c>
      <c r="K86" s="138">
        <f>K87+K91</f>
        <v>2678833841.95</v>
      </c>
      <c r="L86" s="138">
        <f>L87+L91</f>
        <v>2592121864.5</v>
      </c>
      <c r="M86" s="10">
        <f t="shared" si="1"/>
        <v>12933478364.439999</v>
      </c>
    </row>
    <row r="87" spans="1:13" ht="15">
      <c r="A87" s="136" t="s">
        <v>290</v>
      </c>
      <c r="B87" s="150" t="s">
        <v>291</v>
      </c>
      <c r="C87" s="150"/>
      <c r="D87" s="150"/>
      <c r="E87" s="150"/>
      <c r="F87" s="150"/>
      <c r="G87" s="150"/>
      <c r="H87" s="138">
        <f>SUM(H88:H90)</f>
        <v>420234672.35</v>
      </c>
      <c r="I87" s="138">
        <f>SUM(I88:I90)</f>
        <v>2245398987.65</v>
      </c>
      <c r="J87" s="138">
        <f>SUM(J88:J90)</f>
        <v>2246202916.02</v>
      </c>
      <c r="K87" s="138">
        <f>SUM(K88:K90)</f>
        <v>1641628927.95</v>
      </c>
      <c r="L87" s="138">
        <f>SUM(L88:L90)</f>
        <v>2020990958.26</v>
      </c>
      <c r="M87" s="10">
        <f t="shared" si="1"/>
        <v>8574456462.2300005</v>
      </c>
    </row>
    <row r="88" spans="1:13" ht="15">
      <c r="A88" s="136" t="s">
        <v>292</v>
      </c>
      <c r="B88" s="137" t="s">
        <v>293</v>
      </c>
      <c r="C88" s="137"/>
      <c r="D88" s="137"/>
      <c r="E88" s="137"/>
      <c r="F88" s="137"/>
      <c r="G88" s="137"/>
      <c r="H88" s="147">
        <v>0</v>
      </c>
      <c r="I88" s="147">
        <v>0</v>
      </c>
      <c r="J88" s="147">
        <v>0</v>
      </c>
      <c r="K88" s="147">
        <v>0</v>
      </c>
      <c r="L88" s="147"/>
      <c r="M88" s="10">
        <f t="shared" si="1"/>
        <v>0</v>
      </c>
    </row>
    <row r="89" spans="1:13" ht="15">
      <c r="A89" s="136" t="s">
        <v>294</v>
      </c>
      <c r="B89" s="137" t="s">
        <v>295</v>
      </c>
      <c r="C89" s="137"/>
      <c r="D89" s="137"/>
      <c r="E89" s="137"/>
      <c r="F89" s="137"/>
      <c r="G89" s="137"/>
      <c r="H89" s="147">
        <v>0</v>
      </c>
      <c r="I89" s="147">
        <v>0</v>
      </c>
      <c r="J89" s="147">
        <v>0</v>
      </c>
      <c r="K89" s="147">
        <v>142144291.43</v>
      </c>
      <c r="L89" s="147">
        <v>975013802.76</v>
      </c>
      <c r="M89" s="10">
        <f t="shared" si="1"/>
        <v>1117158094.19</v>
      </c>
    </row>
    <row r="90" spans="1:13" ht="15">
      <c r="A90" s="136" t="s">
        <v>296</v>
      </c>
      <c r="B90" s="137" t="s">
        <v>297</v>
      </c>
      <c r="C90" s="137"/>
      <c r="D90" s="137"/>
      <c r="E90" s="137"/>
      <c r="F90" s="137"/>
      <c r="G90" s="137"/>
      <c r="H90" s="147">
        <v>420234672.35</v>
      </c>
      <c r="I90" s="147">
        <v>2245398987.65</v>
      </c>
      <c r="J90" s="147">
        <v>2246202916.02</v>
      </c>
      <c r="K90" s="147">
        <v>1499484636.52</v>
      </c>
      <c r="L90" s="147">
        <v>1045977155.5</v>
      </c>
      <c r="M90" s="10">
        <f t="shared" si="1"/>
        <v>7457298368.040001</v>
      </c>
    </row>
    <row r="91" spans="1:13" ht="15">
      <c r="A91" s="136" t="s">
        <v>298</v>
      </c>
      <c r="B91" s="150" t="s">
        <v>102</v>
      </c>
      <c r="C91" s="150"/>
      <c r="D91" s="150"/>
      <c r="E91" s="150"/>
      <c r="F91" s="150"/>
      <c r="G91" s="150"/>
      <c r="H91" s="138">
        <f>SUM(H92:H94)+SUM(H97:H100)</f>
        <v>864250778.48</v>
      </c>
      <c r="I91" s="138">
        <f>SUM(I92:I94)+SUM(I97:I100)</f>
        <v>607636245.84</v>
      </c>
      <c r="J91" s="138">
        <f>SUM(J92:J94)+SUM(J97:J100)</f>
        <v>1278799057.65</v>
      </c>
      <c r="K91" s="138">
        <f>SUM(K92:K94)+SUM(K97:K100)</f>
        <v>1037204914</v>
      </c>
      <c r="L91" s="138">
        <f>SUM(L92:L94)+SUM(L97:L100)</f>
        <v>571130906.24</v>
      </c>
      <c r="M91" s="10">
        <f t="shared" si="1"/>
        <v>4359021902.21</v>
      </c>
    </row>
    <row r="92" spans="1:13" ht="15">
      <c r="A92" s="136" t="s">
        <v>299</v>
      </c>
      <c r="B92" s="137" t="s">
        <v>531</v>
      </c>
      <c r="C92" s="137"/>
      <c r="D92" s="137"/>
      <c r="E92" s="137"/>
      <c r="F92" s="137"/>
      <c r="G92" s="137"/>
      <c r="H92" s="147">
        <v>228927101.49</v>
      </c>
      <c r="I92" s="147">
        <v>0</v>
      </c>
      <c r="J92" s="147">
        <v>173578398.41</v>
      </c>
      <c r="K92" s="147">
        <v>368631060</v>
      </c>
      <c r="L92" s="147">
        <v>333937434.07</v>
      </c>
      <c r="M92" s="10">
        <f t="shared" si="1"/>
        <v>1105073993.97</v>
      </c>
    </row>
    <row r="93" spans="1:13" ht="15">
      <c r="A93" s="136" t="s">
        <v>301</v>
      </c>
      <c r="B93" s="137" t="s">
        <v>302</v>
      </c>
      <c r="C93" s="137"/>
      <c r="D93" s="137"/>
      <c r="E93" s="137"/>
      <c r="F93" s="137"/>
      <c r="G93" s="137"/>
      <c r="H93" s="147">
        <v>24555028.86</v>
      </c>
      <c r="I93" s="147">
        <v>0</v>
      </c>
      <c r="J93" s="147">
        <v>2427725</v>
      </c>
      <c r="K93" s="147">
        <v>76732157</v>
      </c>
      <c r="L93" s="147">
        <v>3736706</v>
      </c>
      <c r="M93" s="10">
        <f t="shared" si="1"/>
        <v>107451616.86</v>
      </c>
    </row>
    <row r="94" spans="1:13" ht="15">
      <c r="A94" s="136" t="s">
        <v>303</v>
      </c>
      <c r="B94" s="150" t="s">
        <v>304</v>
      </c>
      <c r="C94" s="150"/>
      <c r="D94" s="150"/>
      <c r="E94" s="150"/>
      <c r="F94" s="150"/>
      <c r="G94" s="150"/>
      <c r="H94" s="138">
        <f>SUM(H95:H96)</f>
        <v>0</v>
      </c>
      <c r="I94" s="138">
        <f>SUM(I95:I96)</f>
        <v>0</v>
      </c>
      <c r="J94" s="138">
        <f>SUM(J95:J96)</f>
        <v>0</v>
      </c>
      <c r="K94" s="138">
        <f>SUM(K95:K96)</f>
        <v>0</v>
      </c>
      <c r="L94" s="138">
        <f>SUM(L95:L96)</f>
        <v>0</v>
      </c>
      <c r="M94" s="10">
        <f t="shared" si="1"/>
        <v>0</v>
      </c>
    </row>
    <row r="95" spans="1:13" ht="15">
      <c r="A95" s="136" t="s">
        <v>305</v>
      </c>
      <c r="B95" s="137" t="s">
        <v>306</v>
      </c>
      <c r="C95" s="137"/>
      <c r="D95" s="137"/>
      <c r="E95" s="137"/>
      <c r="F95" s="137"/>
      <c r="G95" s="137"/>
      <c r="H95" s="147">
        <v>0</v>
      </c>
      <c r="I95" s="147">
        <v>0</v>
      </c>
      <c r="J95" s="147">
        <v>0</v>
      </c>
      <c r="K95" s="147">
        <v>0</v>
      </c>
      <c r="L95" s="147"/>
      <c r="M95" s="10">
        <f t="shared" si="1"/>
        <v>0</v>
      </c>
    </row>
    <row r="96" spans="1:13" ht="15">
      <c r="A96" s="136" t="s">
        <v>307</v>
      </c>
      <c r="B96" s="137" t="s">
        <v>308</v>
      </c>
      <c r="C96" s="137"/>
      <c r="D96" s="137"/>
      <c r="E96" s="137"/>
      <c r="F96" s="137"/>
      <c r="G96" s="137"/>
      <c r="H96" s="147">
        <v>0</v>
      </c>
      <c r="I96" s="147">
        <v>0</v>
      </c>
      <c r="J96" s="147">
        <v>0</v>
      </c>
      <c r="K96" s="147">
        <v>0</v>
      </c>
      <c r="L96" s="147"/>
      <c r="M96" s="10">
        <f t="shared" si="1"/>
        <v>0</v>
      </c>
    </row>
    <row r="97" spans="1:13" ht="15">
      <c r="A97" s="136" t="s">
        <v>309</v>
      </c>
      <c r="B97" s="137" t="s">
        <v>310</v>
      </c>
      <c r="C97" s="137"/>
      <c r="D97" s="137"/>
      <c r="E97" s="137"/>
      <c r="F97" s="137"/>
      <c r="G97" s="137"/>
      <c r="H97" s="147">
        <v>1232</v>
      </c>
      <c r="I97" s="147">
        <v>0</v>
      </c>
      <c r="J97" s="147">
        <v>0</v>
      </c>
      <c r="K97" s="147">
        <v>0</v>
      </c>
      <c r="L97" s="147"/>
      <c r="M97" s="10">
        <f t="shared" si="1"/>
        <v>1232</v>
      </c>
    </row>
    <row r="98" spans="1:13" ht="15">
      <c r="A98" s="136" t="s">
        <v>311</v>
      </c>
      <c r="B98" s="137" t="s">
        <v>312</v>
      </c>
      <c r="C98" s="137"/>
      <c r="D98" s="137"/>
      <c r="E98" s="137"/>
      <c r="F98" s="137"/>
      <c r="G98" s="137"/>
      <c r="H98" s="147">
        <v>311132462.38</v>
      </c>
      <c r="I98" s="147">
        <v>0</v>
      </c>
      <c r="J98" s="147">
        <v>396086474</v>
      </c>
      <c r="K98" s="147">
        <v>152838493</v>
      </c>
      <c r="L98" s="147">
        <v>12071437.44</v>
      </c>
      <c r="M98" s="10">
        <f t="shared" si="1"/>
        <v>872128866.82</v>
      </c>
    </row>
    <row r="99" spans="1:13" ht="15">
      <c r="A99" s="136" t="s">
        <v>313</v>
      </c>
      <c r="B99" s="137" t="s">
        <v>314</v>
      </c>
      <c r="C99" s="137"/>
      <c r="D99" s="137"/>
      <c r="E99" s="137"/>
      <c r="F99" s="137"/>
      <c r="G99" s="137"/>
      <c r="H99" s="147">
        <v>0</v>
      </c>
      <c r="I99" s="147">
        <v>0</v>
      </c>
      <c r="J99" s="147">
        <v>2605424.2</v>
      </c>
      <c r="K99" s="147">
        <v>5973423</v>
      </c>
      <c r="L99" s="147">
        <v>1309552.2</v>
      </c>
      <c r="M99" s="10">
        <f t="shared" si="1"/>
        <v>9888399.399999999</v>
      </c>
    </row>
    <row r="100" spans="1:13" ht="15">
      <c r="A100" s="136" t="s">
        <v>315</v>
      </c>
      <c r="B100" s="137" t="s">
        <v>316</v>
      </c>
      <c r="C100" s="137"/>
      <c r="D100" s="137"/>
      <c r="E100" s="137"/>
      <c r="F100" s="137"/>
      <c r="G100" s="137"/>
      <c r="H100" s="147">
        <v>299634953.75</v>
      </c>
      <c r="I100" s="147">
        <v>607636245.84</v>
      </c>
      <c r="J100" s="147">
        <v>704101036.04</v>
      </c>
      <c r="K100" s="147">
        <v>433029781</v>
      </c>
      <c r="L100" s="147">
        <v>220075776.53</v>
      </c>
      <c r="M100" s="10">
        <f t="shared" si="1"/>
        <v>2264477793.1600003</v>
      </c>
    </row>
    <row r="101" spans="1:13" ht="15">
      <c r="A101" s="136" t="s">
        <v>317</v>
      </c>
      <c r="B101" s="150" t="s">
        <v>99</v>
      </c>
      <c r="C101" s="150"/>
      <c r="D101" s="150"/>
      <c r="E101" s="150"/>
      <c r="F101" s="150"/>
      <c r="G101" s="150"/>
      <c r="H101" s="138">
        <f>SUM(H102:H103)</f>
        <v>0</v>
      </c>
      <c r="I101" s="138">
        <f>SUM(I102:I103)</f>
        <v>0</v>
      </c>
      <c r="J101" s="138">
        <f>SUM(J102:J103)</f>
        <v>0</v>
      </c>
      <c r="K101" s="138">
        <f>SUM(K102:K103)</f>
        <v>0</v>
      </c>
      <c r="L101" s="138">
        <f>SUM(L102:L103)</f>
        <v>0</v>
      </c>
      <c r="M101" s="10">
        <f t="shared" si="1"/>
        <v>0</v>
      </c>
    </row>
    <row r="102" spans="1:13" ht="15">
      <c r="A102" s="136" t="s">
        <v>318</v>
      </c>
      <c r="B102" s="137" t="s">
        <v>319</v>
      </c>
      <c r="C102" s="137"/>
      <c r="D102" s="137"/>
      <c r="E102" s="137"/>
      <c r="F102" s="137"/>
      <c r="G102" s="137"/>
      <c r="H102" s="147">
        <v>0</v>
      </c>
      <c r="I102" s="147">
        <v>0</v>
      </c>
      <c r="J102" s="147">
        <v>0</v>
      </c>
      <c r="K102" s="147">
        <v>0</v>
      </c>
      <c r="L102" s="147"/>
      <c r="M102" s="10">
        <f t="shared" si="1"/>
        <v>0</v>
      </c>
    </row>
    <row r="103" spans="1:13" ht="15">
      <c r="A103" s="136" t="s">
        <v>320</v>
      </c>
      <c r="B103" s="137" t="s">
        <v>321</v>
      </c>
      <c r="C103" s="137"/>
      <c r="D103" s="137"/>
      <c r="E103" s="137"/>
      <c r="F103" s="137"/>
      <c r="G103" s="137"/>
      <c r="H103" s="147">
        <v>0</v>
      </c>
      <c r="I103" s="147">
        <v>0</v>
      </c>
      <c r="J103" s="147">
        <v>0</v>
      </c>
      <c r="K103" s="147">
        <v>0</v>
      </c>
      <c r="L103" s="147"/>
      <c r="M103" s="10">
        <f t="shared" si="1"/>
        <v>0</v>
      </c>
    </row>
    <row r="104" spans="1:13" ht="15">
      <c r="A104" s="136" t="s">
        <v>322</v>
      </c>
      <c r="B104" s="150" t="s">
        <v>100</v>
      </c>
      <c r="C104" s="150"/>
      <c r="D104" s="150"/>
      <c r="E104" s="150"/>
      <c r="F104" s="150"/>
      <c r="G104" s="150"/>
      <c r="H104" s="138">
        <f>SUM(H105:H106)</f>
        <v>34181634.77</v>
      </c>
      <c r="I104" s="138">
        <f>SUM(I105:I106)</f>
        <v>35259751.89</v>
      </c>
      <c r="J104" s="138">
        <f>SUM(J105:J106)</f>
        <v>47850684.02</v>
      </c>
      <c r="K104" s="138">
        <f>SUM(K105:K106)</f>
        <v>31935911.13</v>
      </c>
      <c r="L104" s="138">
        <f>SUM(L105:L106)</f>
        <v>37217425.64</v>
      </c>
      <c r="M104" s="10">
        <f t="shared" si="1"/>
        <v>186445407.45</v>
      </c>
    </row>
    <row r="105" spans="1:13" ht="15">
      <c r="A105" s="136" t="s">
        <v>323</v>
      </c>
      <c r="B105" s="137" t="s">
        <v>324</v>
      </c>
      <c r="C105" s="137"/>
      <c r="D105" s="137"/>
      <c r="E105" s="137"/>
      <c r="F105" s="137"/>
      <c r="G105" s="137"/>
      <c r="H105" s="147">
        <f>18411527.68+1968971.35</f>
        <v>20380499.03</v>
      </c>
      <c r="I105" s="147">
        <v>15192307.33</v>
      </c>
      <c r="J105" s="147">
        <v>15438094.14</v>
      </c>
      <c r="K105" s="147">
        <v>18644997.63</v>
      </c>
      <c r="L105" s="147">
        <v>22718337.09</v>
      </c>
      <c r="M105" s="10">
        <f t="shared" si="1"/>
        <v>92374235.22</v>
      </c>
    </row>
    <row r="106" spans="1:13" ht="15">
      <c r="A106" s="136" t="s">
        <v>325</v>
      </c>
      <c r="B106" s="150" t="s">
        <v>326</v>
      </c>
      <c r="C106" s="150"/>
      <c r="D106" s="150"/>
      <c r="E106" s="150"/>
      <c r="F106" s="150"/>
      <c r="G106" s="150"/>
      <c r="H106" s="138">
        <f>SUM(H107:H110)</f>
        <v>13801135.74</v>
      </c>
      <c r="I106" s="138">
        <f>SUM(I107:I110)</f>
        <v>20067444.56</v>
      </c>
      <c r="J106" s="138">
        <f>SUM(J107:J110)</f>
        <v>32412589.880000003</v>
      </c>
      <c r="K106" s="138">
        <f>SUM(K107:K110)</f>
        <v>13290913.5</v>
      </c>
      <c r="L106" s="138">
        <f>SUM(L107:L110)</f>
        <v>14499088.55</v>
      </c>
      <c r="M106" s="10">
        <f t="shared" si="1"/>
        <v>94071172.23</v>
      </c>
    </row>
    <row r="107" spans="1:13" ht="15">
      <c r="A107" s="136" t="s">
        <v>327</v>
      </c>
      <c r="B107" s="137" t="s">
        <v>328</v>
      </c>
      <c r="C107" s="137"/>
      <c r="D107" s="137"/>
      <c r="E107" s="137"/>
      <c r="F107" s="137"/>
      <c r="G107" s="137"/>
      <c r="H107" s="147">
        <v>1467564.5</v>
      </c>
      <c r="I107" s="147">
        <v>3345353.54</v>
      </c>
      <c r="J107" s="147">
        <v>1296612.39</v>
      </c>
      <c r="K107" s="147">
        <v>1591143.61</v>
      </c>
      <c r="L107" s="147">
        <v>1928419.17</v>
      </c>
      <c r="M107" s="10">
        <f t="shared" si="1"/>
        <v>9629093.21</v>
      </c>
    </row>
    <row r="108" spans="1:13" ht="15">
      <c r="A108" s="136" t="s">
        <v>329</v>
      </c>
      <c r="B108" s="137" t="s">
        <v>330</v>
      </c>
      <c r="C108" s="137"/>
      <c r="D108" s="137"/>
      <c r="E108" s="137"/>
      <c r="F108" s="137"/>
      <c r="G108" s="137"/>
      <c r="H108" s="147">
        <v>0</v>
      </c>
      <c r="I108" s="147">
        <v>0</v>
      </c>
      <c r="J108" s="147">
        <v>0</v>
      </c>
      <c r="K108" s="147">
        <v>50000</v>
      </c>
      <c r="L108" s="147"/>
      <c r="M108" s="10">
        <f t="shared" si="1"/>
        <v>50000</v>
      </c>
    </row>
    <row r="109" spans="1:13" ht="15">
      <c r="A109" s="136" t="s">
        <v>331</v>
      </c>
      <c r="B109" s="137" t="s">
        <v>332</v>
      </c>
      <c r="C109" s="137"/>
      <c r="D109" s="137"/>
      <c r="E109" s="137"/>
      <c r="F109" s="137"/>
      <c r="G109" s="137"/>
      <c r="H109" s="147">
        <v>12333571.24</v>
      </c>
      <c r="I109" s="147">
        <v>16722091.02</v>
      </c>
      <c r="J109" s="147">
        <v>27381729.44</v>
      </c>
      <c r="K109" s="147">
        <v>9232234.65</v>
      </c>
      <c r="L109" s="147">
        <v>10836958.3</v>
      </c>
      <c r="M109" s="10">
        <f t="shared" si="1"/>
        <v>76506584.65</v>
      </c>
    </row>
    <row r="110" spans="1:13" ht="15">
      <c r="A110" s="136" t="s">
        <v>333</v>
      </c>
      <c r="B110" s="137" t="s">
        <v>334</v>
      </c>
      <c r="C110" s="137"/>
      <c r="D110" s="137"/>
      <c r="E110" s="137"/>
      <c r="F110" s="137"/>
      <c r="G110" s="137"/>
      <c r="H110" s="147">
        <v>0</v>
      </c>
      <c r="I110" s="147">
        <v>0</v>
      </c>
      <c r="J110" s="147">
        <v>3734248.05</v>
      </c>
      <c r="K110" s="147">
        <v>2417535.24</v>
      </c>
      <c r="L110" s="147">
        <v>1733711.08</v>
      </c>
      <c r="M110" s="10">
        <f t="shared" si="1"/>
        <v>7885494.37</v>
      </c>
    </row>
    <row r="111" spans="1:13" ht="15">
      <c r="A111" s="136" t="s">
        <v>335</v>
      </c>
      <c r="B111" s="150" t="s">
        <v>103</v>
      </c>
      <c r="C111" s="150"/>
      <c r="D111" s="150"/>
      <c r="E111" s="150"/>
      <c r="F111" s="150"/>
      <c r="G111" s="150"/>
      <c r="H111" s="138">
        <f>H112+H145+H148+H150</f>
        <v>1138411990.8400002</v>
      </c>
      <c r="I111" s="138">
        <f>I112+I145+I148+I150</f>
        <v>1307969998.17</v>
      </c>
      <c r="J111" s="138">
        <f>J112+J145+J148+J150</f>
        <v>1636905447.74</v>
      </c>
      <c r="K111" s="138">
        <f>K112+K145+K148+K150</f>
        <v>1904587844.24</v>
      </c>
      <c r="L111" s="138">
        <f>L112+L145+L148+L150</f>
        <v>1978713349.53</v>
      </c>
      <c r="M111" s="10">
        <f t="shared" si="1"/>
        <v>7966588630.5199995</v>
      </c>
    </row>
    <row r="112" spans="1:13" ht="15">
      <c r="A112" s="136" t="s">
        <v>336</v>
      </c>
      <c r="B112" s="150" t="s">
        <v>337</v>
      </c>
      <c r="C112" s="150"/>
      <c r="D112" s="150"/>
      <c r="E112" s="150"/>
      <c r="F112" s="150"/>
      <c r="G112" s="150"/>
      <c r="H112" s="138">
        <f>H113+H122+H124</f>
        <v>766402877.8400002</v>
      </c>
      <c r="I112" s="138">
        <f>I113+I122+I124</f>
        <v>897579529.1700001</v>
      </c>
      <c r="J112" s="138">
        <f>J113+J122+J124</f>
        <v>1028768353.74</v>
      </c>
      <c r="K112" s="138">
        <f>K113+K122+K124</f>
        <v>1489528000.24</v>
      </c>
      <c r="L112" s="138">
        <f>L113+L122+L124</f>
        <v>1426304204.33</v>
      </c>
      <c r="M112" s="10">
        <f t="shared" si="1"/>
        <v>5608582965.32</v>
      </c>
    </row>
    <row r="113" spans="1:13" ht="15">
      <c r="A113" s="136" t="s">
        <v>338</v>
      </c>
      <c r="B113" s="150" t="s">
        <v>339</v>
      </c>
      <c r="C113" s="150"/>
      <c r="D113" s="150"/>
      <c r="E113" s="150"/>
      <c r="F113" s="150"/>
      <c r="G113" s="150"/>
      <c r="H113" s="138">
        <f>SUM(H114:H121)</f>
        <v>733069780.1400001</v>
      </c>
      <c r="I113" s="138">
        <f>SUM(I114:I121)</f>
        <v>854445169.22</v>
      </c>
      <c r="J113" s="138">
        <f>SUM(J114:J121)</f>
        <v>977136419.27</v>
      </c>
      <c r="K113" s="138">
        <f>SUM(K114:K121)</f>
        <v>708214880.99</v>
      </c>
      <c r="L113" s="138">
        <f>SUM(L114:L121)</f>
        <v>600275976.6700001</v>
      </c>
      <c r="M113" s="10">
        <f t="shared" si="1"/>
        <v>3873142226.29</v>
      </c>
    </row>
    <row r="114" spans="1:13" ht="15">
      <c r="A114" s="136" t="s">
        <v>340</v>
      </c>
      <c r="B114" s="137" t="s">
        <v>341</v>
      </c>
      <c r="C114" s="137"/>
      <c r="D114" s="137"/>
      <c r="E114" s="137"/>
      <c r="F114" s="137"/>
      <c r="G114" s="137"/>
      <c r="H114" s="147">
        <v>402155641</v>
      </c>
      <c r="I114" s="147">
        <v>425162383</v>
      </c>
      <c r="J114" s="147">
        <v>443430630</v>
      </c>
      <c r="K114" s="147">
        <v>441919776</v>
      </c>
      <c r="L114" s="147">
        <v>389702357.22</v>
      </c>
      <c r="M114" s="10">
        <f t="shared" si="1"/>
        <v>2102370787.22</v>
      </c>
    </row>
    <row r="115" spans="1:13" ht="15">
      <c r="A115" s="136" t="s">
        <v>342</v>
      </c>
      <c r="B115" s="137" t="s">
        <v>343</v>
      </c>
      <c r="C115" s="137"/>
      <c r="D115" s="137"/>
      <c r="E115" s="137"/>
      <c r="F115" s="137"/>
      <c r="G115" s="137"/>
      <c r="H115" s="147">
        <v>0</v>
      </c>
      <c r="I115" s="147">
        <v>4275284</v>
      </c>
      <c r="J115" s="147">
        <v>4342366</v>
      </c>
      <c r="K115" s="147">
        <v>4351267</v>
      </c>
      <c r="L115" s="147"/>
      <c r="M115" s="10">
        <f t="shared" si="1"/>
        <v>12968917</v>
      </c>
    </row>
    <row r="116" spans="1:13" ht="15">
      <c r="A116" s="136" t="s">
        <v>344</v>
      </c>
      <c r="B116" s="137" t="s">
        <v>345</v>
      </c>
      <c r="C116" s="137"/>
      <c r="D116" s="137"/>
      <c r="E116" s="137"/>
      <c r="F116" s="137"/>
      <c r="G116" s="137"/>
      <c r="H116" s="147">
        <v>281607640</v>
      </c>
      <c r="I116" s="147">
        <v>416086825</v>
      </c>
      <c r="J116" s="147">
        <v>318900956.46</v>
      </c>
      <c r="K116" s="147">
        <v>73654742.2</v>
      </c>
      <c r="L116" s="147"/>
      <c r="M116" s="10">
        <f t="shared" si="1"/>
        <v>1090250163.66</v>
      </c>
    </row>
    <row r="117" spans="1:13" ht="15">
      <c r="A117" s="136" t="s">
        <v>346</v>
      </c>
      <c r="B117" s="137" t="s">
        <v>347</v>
      </c>
      <c r="C117" s="137"/>
      <c r="D117" s="137"/>
      <c r="E117" s="137"/>
      <c r="F117" s="137"/>
      <c r="G117" s="137"/>
      <c r="H117" s="147">
        <v>40090357.45</v>
      </c>
      <c r="I117" s="147">
        <v>0</v>
      </c>
      <c r="J117" s="147">
        <v>113203359</v>
      </c>
      <c r="K117" s="147">
        <v>57833618</v>
      </c>
      <c r="L117" s="147">
        <v>80858546</v>
      </c>
      <c r="M117" s="10">
        <f t="shared" si="1"/>
        <v>291985880.45</v>
      </c>
    </row>
    <row r="118" spans="1:13" ht="15">
      <c r="A118" s="136" t="s">
        <v>348</v>
      </c>
      <c r="B118" s="137" t="s">
        <v>349</v>
      </c>
      <c r="C118" s="137"/>
      <c r="D118" s="137"/>
      <c r="E118" s="137"/>
      <c r="F118" s="137"/>
      <c r="G118" s="137"/>
      <c r="H118" s="147">
        <v>9216141.69</v>
      </c>
      <c r="I118" s="147">
        <v>8920677.22</v>
      </c>
      <c r="J118" s="147">
        <v>7335220.81</v>
      </c>
      <c r="K118" s="147">
        <v>7676905.79</v>
      </c>
      <c r="L118" s="147">
        <v>7388873.45</v>
      </c>
      <c r="M118" s="10">
        <f t="shared" si="1"/>
        <v>40537818.96</v>
      </c>
    </row>
    <row r="119" spans="1:13" ht="15">
      <c r="A119" s="136" t="s">
        <v>350</v>
      </c>
      <c r="B119" s="137" t="s">
        <v>351</v>
      </c>
      <c r="C119" s="137"/>
      <c r="D119" s="137"/>
      <c r="E119" s="137"/>
      <c r="F119" s="137"/>
      <c r="G119" s="137"/>
      <c r="H119" s="147">
        <v>0</v>
      </c>
      <c r="I119" s="147">
        <v>0</v>
      </c>
      <c r="J119" s="147">
        <v>89923887</v>
      </c>
      <c r="K119" s="147">
        <v>44449104</v>
      </c>
      <c r="L119" s="147">
        <v>122326200</v>
      </c>
      <c r="M119" s="10">
        <f t="shared" si="1"/>
        <v>256699191</v>
      </c>
    </row>
    <row r="120" spans="1:13" ht="15">
      <c r="A120" s="136"/>
      <c r="B120" s="137" t="s">
        <v>534</v>
      </c>
      <c r="C120" s="137"/>
      <c r="D120" s="137"/>
      <c r="E120" s="137"/>
      <c r="F120" s="137"/>
      <c r="G120" s="137"/>
      <c r="H120" s="147">
        <v>0</v>
      </c>
      <c r="I120" s="147">
        <v>0</v>
      </c>
      <c r="J120" s="147">
        <v>0</v>
      </c>
      <c r="K120" s="147">
        <v>40396568</v>
      </c>
      <c r="L120" s="147"/>
      <c r="M120" s="10">
        <f t="shared" si="1"/>
        <v>40396568</v>
      </c>
    </row>
    <row r="121" spans="1:13" ht="15">
      <c r="A121" s="136"/>
      <c r="B121" s="137" t="s">
        <v>535</v>
      </c>
      <c r="C121" s="137"/>
      <c r="D121" s="137"/>
      <c r="E121" s="137"/>
      <c r="F121" s="137"/>
      <c r="G121" s="137"/>
      <c r="H121" s="147">
        <v>0</v>
      </c>
      <c r="I121" s="147">
        <v>0</v>
      </c>
      <c r="J121" s="147">
        <v>0</v>
      </c>
      <c r="K121" s="147">
        <v>37932900</v>
      </c>
      <c r="L121" s="147"/>
      <c r="M121" s="10">
        <f t="shared" si="1"/>
        <v>37932900</v>
      </c>
    </row>
    <row r="122" spans="1:13" ht="15">
      <c r="A122" s="136" t="s">
        <v>352</v>
      </c>
      <c r="B122" s="150" t="s">
        <v>353</v>
      </c>
      <c r="C122" s="150"/>
      <c r="D122" s="150"/>
      <c r="E122" s="150"/>
      <c r="F122" s="150"/>
      <c r="G122" s="150"/>
      <c r="H122" s="138">
        <f>H123</f>
        <v>25206217</v>
      </c>
      <c r="I122" s="138">
        <f>I123</f>
        <v>31201083</v>
      </c>
      <c r="J122" s="138">
        <f>J123</f>
        <v>35450220</v>
      </c>
      <c r="K122" s="138">
        <f>K123</f>
        <v>38879802</v>
      </c>
      <c r="L122" s="138">
        <f>L123</f>
        <v>40362686</v>
      </c>
      <c r="M122" s="10">
        <f t="shared" si="1"/>
        <v>171100008</v>
      </c>
    </row>
    <row r="123" spans="1:13" ht="15">
      <c r="A123" s="136" t="s">
        <v>354</v>
      </c>
      <c r="B123" s="137" t="s">
        <v>355</v>
      </c>
      <c r="C123" s="137"/>
      <c r="D123" s="137"/>
      <c r="E123" s="137"/>
      <c r="F123" s="137"/>
      <c r="G123" s="137"/>
      <c r="H123" s="147">
        <v>25206217</v>
      </c>
      <c r="I123" s="147">
        <v>31201083</v>
      </c>
      <c r="J123" s="147">
        <v>35450220</v>
      </c>
      <c r="K123" s="147">
        <v>38879802</v>
      </c>
      <c r="L123" s="147">
        <v>40362686</v>
      </c>
      <c r="M123" s="10">
        <f t="shared" si="1"/>
        <v>171100008</v>
      </c>
    </row>
    <row r="124" spans="1:13" ht="15">
      <c r="A124" s="136" t="s">
        <v>356</v>
      </c>
      <c r="B124" s="150" t="s">
        <v>357</v>
      </c>
      <c r="C124" s="150"/>
      <c r="D124" s="150"/>
      <c r="E124" s="150"/>
      <c r="F124" s="150"/>
      <c r="G124" s="150"/>
      <c r="H124" s="138">
        <f>H125+H133+H142</f>
        <v>8126880.7</v>
      </c>
      <c r="I124" s="138">
        <f>I125+I133+I142</f>
        <v>11933276.950000001</v>
      </c>
      <c r="J124" s="138">
        <f>J125+J133+J142</f>
        <v>16181714.469999999</v>
      </c>
      <c r="K124" s="138">
        <f>K125+K133+K142</f>
        <v>742433317.25</v>
      </c>
      <c r="L124" s="138">
        <f>L125+L133+L142</f>
        <v>785665541.66</v>
      </c>
      <c r="M124" s="10">
        <f t="shared" si="1"/>
        <v>1564340731.03</v>
      </c>
    </row>
    <row r="125" spans="1:13" ht="15">
      <c r="A125" s="136" t="s">
        <v>358</v>
      </c>
      <c r="B125" s="150" t="s">
        <v>359</v>
      </c>
      <c r="C125" s="150"/>
      <c r="D125" s="150"/>
      <c r="E125" s="150"/>
      <c r="F125" s="150"/>
      <c r="G125" s="150"/>
      <c r="H125" s="138">
        <f>SUM(H126:H132)</f>
        <v>0</v>
      </c>
      <c r="I125" s="138">
        <f>SUM(I126:I132)</f>
        <v>0</v>
      </c>
      <c r="J125" s="138">
        <f>SUM(J126:J132)</f>
        <v>3164182.02</v>
      </c>
      <c r="K125" s="138">
        <f>SUM(K126:K132)</f>
        <v>197328824</v>
      </c>
      <c r="L125" s="138">
        <f>SUM(L126:L132)</f>
        <v>417429583.18</v>
      </c>
      <c r="M125" s="10">
        <f t="shared" si="1"/>
        <v>617922589.2</v>
      </c>
    </row>
    <row r="126" spans="1:13" ht="15">
      <c r="A126" s="136" t="s">
        <v>360</v>
      </c>
      <c r="B126" s="137" t="s">
        <v>361</v>
      </c>
      <c r="C126" s="137"/>
      <c r="D126" s="137"/>
      <c r="E126" s="137"/>
      <c r="F126" s="137"/>
      <c r="G126" s="137"/>
      <c r="H126" s="147">
        <v>0</v>
      </c>
      <c r="I126" s="147">
        <v>0</v>
      </c>
      <c r="J126" s="147">
        <v>0</v>
      </c>
      <c r="K126" s="147">
        <v>256930</v>
      </c>
      <c r="L126" s="147">
        <v>6386820.71</v>
      </c>
      <c r="M126" s="10">
        <f t="shared" si="1"/>
        <v>6643750.71</v>
      </c>
    </row>
    <row r="127" spans="1:13" ht="15">
      <c r="A127" s="136" t="s">
        <v>362</v>
      </c>
      <c r="B127" s="137" t="s">
        <v>363</v>
      </c>
      <c r="C127" s="137"/>
      <c r="D127" s="137"/>
      <c r="E127" s="137"/>
      <c r="F127" s="137"/>
      <c r="G127" s="137"/>
      <c r="H127" s="147">
        <v>0</v>
      </c>
      <c r="I127" s="147">
        <v>0</v>
      </c>
      <c r="J127" s="147">
        <v>0</v>
      </c>
      <c r="K127" s="147">
        <v>0</v>
      </c>
      <c r="L127" s="147"/>
      <c r="M127" s="10">
        <f t="shared" si="1"/>
        <v>0</v>
      </c>
    </row>
    <row r="128" spans="1:13" ht="15">
      <c r="A128" s="136" t="s">
        <v>364</v>
      </c>
      <c r="B128" s="137" t="s">
        <v>365</v>
      </c>
      <c r="C128" s="137"/>
      <c r="D128" s="137"/>
      <c r="E128" s="137"/>
      <c r="F128" s="137"/>
      <c r="G128" s="137"/>
      <c r="H128" s="147">
        <v>0</v>
      </c>
      <c r="I128" s="147">
        <v>0</v>
      </c>
      <c r="J128" s="147">
        <v>3164182.02</v>
      </c>
      <c r="K128" s="147">
        <v>1897143</v>
      </c>
      <c r="L128" s="147">
        <v>358965</v>
      </c>
      <c r="M128" s="10">
        <f t="shared" si="1"/>
        <v>5420290.02</v>
      </c>
    </row>
    <row r="129" spans="1:13" ht="15">
      <c r="A129" s="136" t="s">
        <v>366</v>
      </c>
      <c r="B129" s="137" t="s">
        <v>367</v>
      </c>
      <c r="C129" s="137"/>
      <c r="D129" s="137"/>
      <c r="E129" s="137"/>
      <c r="F129" s="137"/>
      <c r="G129" s="137"/>
      <c r="H129" s="147">
        <v>0</v>
      </c>
      <c r="I129" s="147">
        <v>0</v>
      </c>
      <c r="J129" s="147">
        <v>0</v>
      </c>
      <c r="K129" s="147">
        <v>0</v>
      </c>
      <c r="L129" s="147"/>
      <c r="M129" s="10">
        <f t="shared" si="1"/>
        <v>0</v>
      </c>
    </row>
    <row r="130" spans="1:13" ht="15">
      <c r="A130" s="136" t="s">
        <v>368</v>
      </c>
      <c r="B130" s="137" t="s">
        <v>369</v>
      </c>
      <c r="C130" s="137"/>
      <c r="D130" s="137"/>
      <c r="E130" s="137"/>
      <c r="F130" s="137"/>
      <c r="G130" s="137"/>
      <c r="H130" s="147">
        <v>0</v>
      </c>
      <c r="I130" s="147">
        <v>0</v>
      </c>
      <c r="J130" s="147">
        <v>0</v>
      </c>
      <c r="K130" s="147">
        <v>53207005</v>
      </c>
      <c r="L130" s="147"/>
      <c r="M130" s="10">
        <f t="shared" si="1"/>
        <v>53207005</v>
      </c>
    </row>
    <row r="131" spans="1:13" ht="15">
      <c r="A131" s="136"/>
      <c r="B131" s="137" t="s">
        <v>536</v>
      </c>
      <c r="C131" s="137"/>
      <c r="D131" s="137"/>
      <c r="E131" s="137"/>
      <c r="F131" s="137"/>
      <c r="G131" s="137"/>
      <c r="H131" s="147">
        <v>0</v>
      </c>
      <c r="I131" s="147">
        <v>0</v>
      </c>
      <c r="J131" s="147">
        <v>0</v>
      </c>
      <c r="K131" s="147">
        <v>133666485</v>
      </c>
      <c r="L131" s="147">
        <v>400228563.87</v>
      </c>
      <c r="M131" s="10">
        <f t="shared" si="1"/>
        <v>533895048.87</v>
      </c>
    </row>
    <row r="132" spans="1:13" ht="15">
      <c r="A132" s="136"/>
      <c r="B132" s="137" t="s">
        <v>537</v>
      </c>
      <c r="C132" s="137"/>
      <c r="D132" s="137"/>
      <c r="E132" s="137"/>
      <c r="F132" s="137"/>
      <c r="G132" s="137"/>
      <c r="H132" s="147">
        <v>0</v>
      </c>
      <c r="I132" s="147">
        <v>0</v>
      </c>
      <c r="J132" s="147">
        <v>0</v>
      </c>
      <c r="K132" s="147">
        <v>8301261</v>
      </c>
      <c r="L132" s="147">
        <v>10455233.6</v>
      </c>
      <c r="M132" s="10">
        <f t="shared" si="1"/>
        <v>18756494.6</v>
      </c>
    </row>
    <row r="133" spans="1:13" ht="15">
      <c r="A133" s="136" t="s">
        <v>374</v>
      </c>
      <c r="B133" s="150" t="s">
        <v>375</v>
      </c>
      <c r="C133" s="150"/>
      <c r="D133" s="150"/>
      <c r="E133" s="150"/>
      <c r="F133" s="150"/>
      <c r="G133" s="150"/>
      <c r="H133" s="138">
        <f>SUM(H134:H141)</f>
        <v>0</v>
      </c>
      <c r="I133" s="138">
        <f>SUM(I134:I141)</f>
        <v>0</v>
      </c>
      <c r="J133" s="138">
        <f>SUM(J134:J141)</f>
        <v>0</v>
      </c>
      <c r="K133" s="138">
        <f>SUM(K134:K141)</f>
        <v>532831364.46</v>
      </c>
      <c r="L133" s="138">
        <f>SUM(L134:L141)</f>
        <v>358193433.09000003</v>
      </c>
      <c r="M133" s="10">
        <f t="shared" si="1"/>
        <v>891024797.55</v>
      </c>
    </row>
    <row r="134" spans="1:13" ht="15">
      <c r="A134" s="136" t="s">
        <v>376</v>
      </c>
      <c r="B134" s="137" t="s">
        <v>361</v>
      </c>
      <c r="C134" s="137"/>
      <c r="D134" s="137"/>
      <c r="E134" s="137"/>
      <c r="F134" s="137"/>
      <c r="G134" s="137"/>
      <c r="H134" s="147">
        <v>0</v>
      </c>
      <c r="I134" s="147">
        <v>0</v>
      </c>
      <c r="J134" s="147">
        <v>0</v>
      </c>
      <c r="K134" s="147">
        <v>410916134.4</v>
      </c>
      <c r="L134" s="147">
        <v>111555684.09</v>
      </c>
      <c r="M134" s="10">
        <f aca="true" t="shared" si="2" ref="M134:M166">SUM(H134:L134)</f>
        <v>522471818.49</v>
      </c>
    </row>
    <row r="135" spans="1:13" ht="15">
      <c r="A135" s="136" t="s">
        <v>377</v>
      </c>
      <c r="B135" s="137" t="s">
        <v>363</v>
      </c>
      <c r="C135" s="137"/>
      <c r="D135" s="137"/>
      <c r="E135" s="137"/>
      <c r="F135" s="137"/>
      <c r="G135" s="137"/>
      <c r="H135" s="147">
        <v>0</v>
      </c>
      <c r="I135" s="147">
        <v>0</v>
      </c>
      <c r="J135" s="147">
        <v>0</v>
      </c>
      <c r="K135" s="147">
        <v>0</v>
      </c>
      <c r="L135" s="147"/>
      <c r="M135" s="10">
        <f t="shared" si="2"/>
        <v>0</v>
      </c>
    </row>
    <row r="136" spans="1:13" ht="15">
      <c r="A136" s="136" t="s">
        <v>378</v>
      </c>
      <c r="B136" s="137" t="s">
        <v>365</v>
      </c>
      <c r="C136" s="137"/>
      <c r="D136" s="137"/>
      <c r="E136" s="137"/>
      <c r="F136" s="137"/>
      <c r="G136" s="137"/>
      <c r="H136" s="147">
        <v>0</v>
      </c>
      <c r="I136" s="147">
        <v>0</v>
      </c>
      <c r="J136" s="147">
        <v>0</v>
      </c>
      <c r="K136" s="147">
        <v>0</v>
      </c>
      <c r="L136" s="147"/>
      <c r="M136" s="10">
        <f t="shared" si="2"/>
        <v>0</v>
      </c>
    </row>
    <row r="137" spans="1:13" ht="15">
      <c r="A137" s="136" t="s">
        <v>379</v>
      </c>
      <c r="B137" s="137" t="s">
        <v>367</v>
      </c>
      <c r="C137" s="137"/>
      <c r="D137" s="137"/>
      <c r="E137" s="137"/>
      <c r="F137" s="137"/>
      <c r="G137" s="137"/>
      <c r="H137" s="147">
        <v>0</v>
      </c>
      <c r="I137" s="147">
        <v>0</v>
      </c>
      <c r="J137" s="147">
        <v>0</v>
      </c>
      <c r="K137" s="147">
        <v>121915230.06</v>
      </c>
      <c r="L137" s="147"/>
      <c r="M137" s="10">
        <f t="shared" si="2"/>
        <v>121915230.06</v>
      </c>
    </row>
    <row r="138" spans="1:13" ht="15">
      <c r="A138" s="136" t="s">
        <v>380</v>
      </c>
      <c r="B138" s="137" t="s">
        <v>369</v>
      </c>
      <c r="C138" s="137"/>
      <c r="D138" s="137"/>
      <c r="E138" s="137"/>
      <c r="F138" s="137"/>
      <c r="G138" s="137"/>
      <c r="H138" s="147">
        <v>0</v>
      </c>
      <c r="I138" s="147">
        <v>0</v>
      </c>
      <c r="J138" s="147">
        <v>0</v>
      </c>
      <c r="K138" s="147">
        <v>0</v>
      </c>
      <c r="L138" s="147">
        <v>15795031</v>
      </c>
      <c r="M138" s="10">
        <f t="shared" si="2"/>
        <v>15795031</v>
      </c>
    </row>
    <row r="139" spans="1:13" ht="15">
      <c r="A139" s="136"/>
      <c r="B139" s="137" t="s">
        <v>382</v>
      </c>
      <c r="C139" s="137"/>
      <c r="D139" s="137"/>
      <c r="E139" s="137"/>
      <c r="F139" s="137"/>
      <c r="G139" s="137"/>
      <c r="H139" s="147"/>
      <c r="I139" s="147"/>
      <c r="J139" s="147"/>
      <c r="K139" s="147"/>
      <c r="L139" s="147">
        <v>56946615</v>
      </c>
      <c r="M139" s="10">
        <f t="shared" si="2"/>
        <v>56946615</v>
      </c>
    </row>
    <row r="140" spans="1:13" ht="15">
      <c r="A140" s="136"/>
      <c r="B140" s="137" t="s">
        <v>384</v>
      </c>
      <c r="C140" s="137"/>
      <c r="D140" s="137"/>
      <c r="E140" s="137"/>
      <c r="F140" s="137"/>
      <c r="G140" s="137"/>
      <c r="H140" s="147"/>
      <c r="I140" s="147"/>
      <c r="J140" s="147"/>
      <c r="K140" s="147"/>
      <c r="L140" s="147">
        <v>66468432</v>
      </c>
      <c r="M140" s="10">
        <f t="shared" si="2"/>
        <v>66468432</v>
      </c>
    </row>
    <row r="141" spans="1:13" ht="15">
      <c r="A141" s="136"/>
      <c r="B141" s="137" t="s">
        <v>297</v>
      </c>
      <c r="C141" s="137"/>
      <c r="D141" s="137"/>
      <c r="E141" s="137"/>
      <c r="F141" s="137"/>
      <c r="G141" s="137"/>
      <c r="H141" s="147"/>
      <c r="I141" s="147"/>
      <c r="J141" s="147"/>
      <c r="K141" s="147"/>
      <c r="L141" s="147">
        <v>107427671</v>
      </c>
      <c r="M141" s="10">
        <f t="shared" si="2"/>
        <v>107427671</v>
      </c>
    </row>
    <row r="142" spans="1:13" ht="15">
      <c r="A142" s="136" t="s">
        <v>386</v>
      </c>
      <c r="B142" s="150" t="s">
        <v>387</v>
      </c>
      <c r="C142" s="150"/>
      <c r="D142" s="150"/>
      <c r="E142" s="150"/>
      <c r="F142" s="150"/>
      <c r="G142" s="150"/>
      <c r="H142" s="138">
        <f>SUM(H143:H144)</f>
        <v>8126880.7</v>
      </c>
      <c r="I142" s="138">
        <f>SUM(I143:I144)</f>
        <v>11933276.950000001</v>
      </c>
      <c r="J142" s="138">
        <f>SUM(J143:J144)</f>
        <v>13017532.45</v>
      </c>
      <c r="K142" s="138">
        <f>SUM(K143:K144)</f>
        <v>12273128.79</v>
      </c>
      <c r="L142" s="138">
        <f>SUM(L143:L144)</f>
        <v>10042525.389999999</v>
      </c>
      <c r="M142" s="10">
        <f t="shared" si="2"/>
        <v>55393344.28</v>
      </c>
    </row>
    <row r="143" spans="1:13" ht="15">
      <c r="A143" s="136" t="s">
        <v>388</v>
      </c>
      <c r="B143" s="137" t="s">
        <v>532</v>
      </c>
      <c r="C143" s="137"/>
      <c r="D143" s="137"/>
      <c r="E143" s="137"/>
      <c r="F143" s="137"/>
      <c r="G143" s="137"/>
      <c r="H143" s="147">
        <v>7883727.26</v>
      </c>
      <c r="I143" s="147">
        <f>10479222.48+988943.46</f>
        <v>11468165.940000001</v>
      </c>
      <c r="J143" s="147">
        <v>12658018.44</v>
      </c>
      <c r="K143" s="147">
        <v>12016298.77</v>
      </c>
      <c r="L143" s="147">
        <v>9840313.19</v>
      </c>
      <c r="M143" s="10">
        <f t="shared" si="2"/>
        <v>53866523.599999994</v>
      </c>
    </row>
    <row r="144" spans="1:13" ht="15">
      <c r="A144" s="136" t="s">
        <v>390</v>
      </c>
      <c r="B144" s="137" t="s">
        <v>365</v>
      </c>
      <c r="C144" s="137"/>
      <c r="D144" s="137"/>
      <c r="E144" s="137"/>
      <c r="F144" s="137"/>
      <c r="G144" s="137"/>
      <c r="H144" s="147">
        <v>243153.44</v>
      </c>
      <c r="I144" s="147">
        <v>465111.01</v>
      </c>
      <c r="J144" s="147">
        <v>359514.0099999998</v>
      </c>
      <c r="K144" s="147">
        <v>256830.01999999955</v>
      </c>
      <c r="L144" s="147">
        <v>202212.2</v>
      </c>
      <c r="M144" s="10">
        <f t="shared" si="2"/>
        <v>1526820.6799999992</v>
      </c>
    </row>
    <row r="145" spans="1:13" ht="15">
      <c r="A145" s="136">
        <v>1302</v>
      </c>
      <c r="B145" s="150" t="s">
        <v>104</v>
      </c>
      <c r="C145" s="150"/>
      <c r="D145" s="150"/>
      <c r="E145" s="150"/>
      <c r="F145" s="150"/>
      <c r="G145" s="150"/>
      <c r="H145" s="138">
        <f>SUM(H146:H147)</f>
        <v>13745229</v>
      </c>
      <c r="I145" s="138">
        <f>SUM(I146:I147)</f>
        <v>18634000</v>
      </c>
      <c r="J145" s="138">
        <f>SUM(J146:J147)</f>
        <v>229073309</v>
      </c>
      <c r="K145" s="138">
        <f>SUM(K146:K147)</f>
        <v>22308000</v>
      </c>
      <c r="L145" s="138">
        <f>SUM(L146:L147)</f>
        <v>189006110</v>
      </c>
      <c r="M145" s="10">
        <f t="shared" si="2"/>
        <v>472766648</v>
      </c>
    </row>
    <row r="146" spans="1:13" ht="15">
      <c r="A146" s="136">
        <v>130201</v>
      </c>
      <c r="B146" s="137" t="s">
        <v>393</v>
      </c>
      <c r="C146" s="137"/>
      <c r="D146" s="137"/>
      <c r="E146" s="137"/>
      <c r="F146" s="137"/>
      <c r="G146" s="137"/>
      <c r="H146" s="147">
        <v>13745229</v>
      </c>
      <c r="I146" s="147">
        <v>18634000</v>
      </c>
      <c r="J146" s="147">
        <v>229073309</v>
      </c>
      <c r="K146" s="147">
        <v>22308000</v>
      </c>
      <c r="L146" s="147">
        <v>189006110</v>
      </c>
      <c r="M146" s="10">
        <f t="shared" si="2"/>
        <v>472766648</v>
      </c>
    </row>
    <row r="147" spans="1:13" ht="15">
      <c r="A147" s="136">
        <v>130202</v>
      </c>
      <c r="B147" s="137" t="s">
        <v>395</v>
      </c>
      <c r="C147" s="137"/>
      <c r="D147" s="137"/>
      <c r="E147" s="137"/>
      <c r="F147" s="137"/>
      <c r="G147" s="137"/>
      <c r="H147" s="147">
        <v>0</v>
      </c>
      <c r="I147" s="147">
        <v>0</v>
      </c>
      <c r="J147" s="147">
        <v>0</v>
      </c>
      <c r="K147" s="147">
        <v>0</v>
      </c>
      <c r="L147" s="147"/>
      <c r="M147" s="10">
        <f t="shared" si="2"/>
        <v>0</v>
      </c>
    </row>
    <row r="148" spans="1:13" ht="15">
      <c r="A148" s="136">
        <v>1303</v>
      </c>
      <c r="B148" s="150" t="s">
        <v>397</v>
      </c>
      <c r="C148" s="150"/>
      <c r="D148" s="150"/>
      <c r="E148" s="150"/>
      <c r="F148" s="150"/>
      <c r="G148" s="150"/>
      <c r="H148" s="138">
        <f>H149</f>
        <v>0</v>
      </c>
      <c r="I148" s="138">
        <f>I149</f>
        <v>0</v>
      </c>
      <c r="J148" s="138">
        <f>J149</f>
        <v>0</v>
      </c>
      <c r="K148" s="138">
        <f>K149</f>
        <v>0</v>
      </c>
      <c r="L148" s="138">
        <f>L149</f>
        <v>0</v>
      </c>
      <c r="M148" s="10">
        <f t="shared" si="2"/>
        <v>0</v>
      </c>
    </row>
    <row r="149" spans="1:13" ht="15">
      <c r="A149" s="136">
        <v>130301</v>
      </c>
      <c r="B149" s="137" t="s">
        <v>399</v>
      </c>
      <c r="C149" s="137"/>
      <c r="D149" s="137"/>
      <c r="E149" s="137"/>
      <c r="F149" s="137"/>
      <c r="G149" s="137"/>
      <c r="H149" s="147">
        <v>0</v>
      </c>
      <c r="I149" s="147">
        <v>0</v>
      </c>
      <c r="J149" s="147">
        <v>0</v>
      </c>
      <c r="K149" s="147">
        <v>0</v>
      </c>
      <c r="L149" s="147"/>
      <c r="M149" s="10">
        <f t="shared" si="2"/>
        <v>0</v>
      </c>
    </row>
    <row r="150" spans="1:13" ht="15">
      <c r="A150" s="136">
        <v>1304</v>
      </c>
      <c r="B150" s="150" t="s">
        <v>401</v>
      </c>
      <c r="C150" s="150"/>
      <c r="D150" s="150"/>
      <c r="E150" s="150"/>
      <c r="F150" s="150"/>
      <c r="G150" s="150"/>
      <c r="H150" s="138">
        <f>H151+H160+H163+H165</f>
        <v>358263884</v>
      </c>
      <c r="I150" s="138">
        <f>I151+I160+I163+I165</f>
        <v>391756469</v>
      </c>
      <c r="J150" s="138">
        <f>J151+J160+J163+J165</f>
        <v>379063785</v>
      </c>
      <c r="K150" s="138">
        <f>K151+K160+K163+K165</f>
        <v>392751844</v>
      </c>
      <c r="L150" s="138">
        <f>L151+L160+L163+L165</f>
        <v>363403035.2</v>
      </c>
      <c r="M150" s="10">
        <f t="shared" si="2"/>
        <v>1885239017.2</v>
      </c>
    </row>
    <row r="151" spans="1:13" ht="15">
      <c r="A151" s="136">
        <v>130401</v>
      </c>
      <c r="B151" s="150" t="s">
        <v>403</v>
      </c>
      <c r="C151" s="150"/>
      <c r="D151" s="150"/>
      <c r="E151" s="150"/>
      <c r="F151" s="150"/>
      <c r="G151" s="150"/>
      <c r="H151" s="138">
        <f>SUM(H152:H159)</f>
        <v>219493427</v>
      </c>
      <c r="I151" s="138">
        <f>SUM(I152:I159)</f>
        <v>214718626</v>
      </c>
      <c r="J151" s="138">
        <f>SUM(J152:J159)</f>
        <v>211326136</v>
      </c>
      <c r="K151" s="138">
        <f>SUM(K152:K159)</f>
        <v>233368304</v>
      </c>
      <c r="L151" s="138">
        <f>SUM(L152:L159)</f>
        <v>211308204.2</v>
      </c>
      <c r="M151" s="10">
        <f t="shared" si="2"/>
        <v>1090214697.2</v>
      </c>
    </row>
    <row r="152" spans="1:13" ht="15">
      <c r="A152" s="136">
        <v>13040101</v>
      </c>
      <c r="B152" s="137" t="s">
        <v>405</v>
      </c>
      <c r="C152" s="137"/>
      <c r="D152" s="137"/>
      <c r="E152" s="137"/>
      <c r="F152" s="137"/>
      <c r="G152" s="137"/>
      <c r="H152" s="147">
        <v>36643766</v>
      </c>
      <c r="I152" s="147">
        <v>43375900</v>
      </c>
      <c r="J152" s="147">
        <v>33702913</v>
      </c>
      <c r="K152" s="147">
        <v>35449661</v>
      </c>
      <c r="L152" s="147">
        <v>31084912</v>
      </c>
      <c r="M152" s="10">
        <f t="shared" si="2"/>
        <v>180257152</v>
      </c>
    </row>
    <row r="153" spans="1:13" ht="15">
      <c r="A153" s="136">
        <v>13040102</v>
      </c>
      <c r="B153" s="137" t="s">
        <v>106</v>
      </c>
      <c r="C153" s="137"/>
      <c r="D153" s="137"/>
      <c r="E153" s="137"/>
      <c r="F153" s="137"/>
      <c r="G153" s="137"/>
      <c r="H153" s="147">
        <v>126642277</v>
      </c>
      <c r="I153" s="147">
        <v>116710813</v>
      </c>
      <c r="J153" s="147">
        <v>126171481</v>
      </c>
      <c r="K153" s="147">
        <v>136025901</v>
      </c>
      <c r="L153" s="147">
        <v>139800263.2</v>
      </c>
      <c r="M153" s="10">
        <f t="shared" si="2"/>
        <v>645350735.2</v>
      </c>
    </row>
    <row r="154" spans="1:13" ht="15">
      <c r="A154" s="136">
        <v>13040103</v>
      </c>
      <c r="B154" s="137" t="s">
        <v>408</v>
      </c>
      <c r="C154" s="137"/>
      <c r="D154" s="137"/>
      <c r="E154" s="137"/>
      <c r="F154" s="137"/>
      <c r="G154" s="137"/>
      <c r="H154" s="147">
        <v>2843062</v>
      </c>
      <c r="I154" s="147">
        <v>1245308</v>
      </c>
      <c r="J154" s="147">
        <v>5271163</v>
      </c>
      <c r="K154" s="147">
        <v>8060388</v>
      </c>
      <c r="L154" s="147">
        <v>1439214</v>
      </c>
      <c r="M154" s="10">
        <f t="shared" si="2"/>
        <v>18859135</v>
      </c>
    </row>
    <row r="155" spans="1:13" ht="15">
      <c r="A155" s="136">
        <v>13040104</v>
      </c>
      <c r="B155" s="137" t="s">
        <v>410</v>
      </c>
      <c r="C155" s="137"/>
      <c r="D155" s="137"/>
      <c r="E155" s="137"/>
      <c r="F155" s="137"/>
      <c r="G155" s="137"/>
      <c r="H155" s="147">
        <v>75957</v>
      </c>
      <c r="I155" s="147">
        <v>15840</v>
      </c>
      <c r="J155" s="147">
        <v>10200</v>
      </c>
      <c r="K155" s="147">
        <v>0</v>
      </c>
      <c r="L155" s="147">
        <v>263900</v>
      </c>
      <c r="M155" s="10">
        <f t="shared" si="2"/>
        <v>365897</v>
      </c>
    </row>
    <row r="156" spans="1:13" ht="15">
      <c r="A156" s="136">
        <v>13040105</v>
      </c>
      <c r="B156" s="137" t="s">
        <v>107</v>
      </c>
      <c r="C156" s="137"/>
      <c r="D156" s="137"/>
      <c r="E156" s="137"/>
      <c r="F156" s="137"/>
      <c r="G156" s="137"/>
      <c r="H156" s="147">
        <v>824816</v>
      </c>
      <c r="I156" s="147">
        <v>1335152</v>
      </c>
      <c r="J156" s="147">
        <v>1407000</v>
      </c>
      <c r="K156" s="147">
        <v>1962600</v>
      </c>
      <c r="L156" s="147">
        <v>1662000</v>
      </c>
      <c r="M156" s="10">
        <f t="shared" si="2"/>
        <v>7191568</v>
      </c>
    </row>
    <row r="157" spans="1:13" ht="15">
      <c r="A157" s="136">
        <v>13040106</v>
      </c>
      <c r="B157" s="137" t="s">
        <v>413</v>
      </c>
      <c r="C157" s="137"/>
      <c r="D157" s="137"/>
      <c r="E157" s="137"/>
      <c r="F157" s="137"/>
      <c r="G157" s="137"/>
      <c r="H157" s="147">
        <v>18899</v>
      </c>
      <c r="I157" s="147">
        <v>0</v>
      </c>
      <c r="J157" s="147">
        <v>66600</v>
      </c>
      <c r="K157" s="147">
        <v>350000</v>
      </c>
      <c r="L157" s="147"/>
      <c r="M157" s="10">
        <f t="shared" si="2"/>
        <v>435499</v>
      </c>
    </row>
    <row r="158" spans="1:13" ht="15">
      <c r="A158" s="136">
        <v>13040107</v>
      </c>
      <c r="B158" s="137" t="s">
        <v>109</v>
      </c>
      <c r="C158" s="137"/>
      <c r="D158" s="137"/>
      <c r="E158" s="137"/>
      <c r="F158" s="137"/>
      <c r="G158" s="137"/>
      <c r="H158" s="147">
        <v>47872146</v>
      </c>
      <c r="I158" s="147">
        <v>47157021</v>
      </c>
      <c r="J158" s="147">
        <v>39812706.5</v>
      </c>
      <c r="K158" s="147">
        <v>48167733</v>
      </c>
      <c r="L158" s="147">
        <v>33713797</v>
      </c>
      <c r="M158" s="10">
        <f t="shared" si="2"/>
        <v>216723403.5</v>
      </c>
    </row>
    <row r="159" spans="1:13" ht="15">
      <c r="A159" s="136">
        <v>13040108</v>
      </c>
      <c r="B159" s="137" t="s">
        <v>416</v>
      </c>
      <c r="C159" s="137"/>
      <c r="D159" s="137"/>
      <c r="E159" s="137"/>
      <c r="F159" s="137"/>
      <c r="G159" s="137"/>
      <c r="H159" s="147">
        <v>4572504</v>
      </c>
      <c r="I159" s="147">
        <v>4878592</v>
      </c>
      <c r="J159" s="147">
        <v>4884072.5</v>
      </c>
      <c r="K159" s="147">
        <v>3352021</v>
      </c>
      <c r="L159" s="147">
        <v>3344118</v>
      </c>
      <c r="M159" s="10">
        <f t="shared" si="2"/>
        <v>21031307.5</v>
      </c>
    </row>
    <row r="160" spans="1:13" ht="15">
      <c r="A160" s="136">
        <v>130402</v>
      </c>
      <c r="B160" s="150" t="s">
        <v>418</v>
      </c>
      <c r="C160" s="150"/>
      <c r="D160" s="150"/>
      <c r="E160" s="150"/>
      <c r="F160" s="150"/>
      <c r="G160" s="150"/>
      <c r="H160" s="138">
        <f>SUM(H161:H162)</f>
        <v>49967513</v>
      </c>
      <c r="I160" s="138">
        <f>SUM(I161:I162)</f>
        <v>48607742</v>
      </c>
      <c r="J160" s="138">
        <f>SUM(J161:J162)</f>
        <v>56674757</v>
      </c>
      <c r="K160" s="138">
        <f>SUM(K161:K162)</f>
        <v>47720166</v>
      </c>
      <c r="L160" s="138">
        <f>SUM(L161:L162)</f>
        <v>47023146</v>
      </c>
      <c r="M160" s="10">
        <f t="shared" si="2"/>
        <v>249993324</v>
      </c>
    </row>
    <row r="161" spans="1:13" ht="15">
      <c r="A161" s="136">
        <v>13040201</v>
      </c>
      <c r="B161" s="137" t="s">
        <v>420</v>
      </c>
      <c r="C161" s="137"/>
      <c r="D161" s="137"/>
      <c r="E161" s="137"/>
      <c r="F161" s="137"/>
      <c r="G161" s="137"/>
      <c r="H161" s="147">
        <v>49647680</v>
      </c>
      <c r="I161" s="147">
        <v>46065757</v>
      </c>
      <c r="J161" s="147">
        <v>56674757</v>
      </c>
      <c r="K161" s="147">
        <v>47720166</v>
      </c>
      <c r="L161" s="147">
        <v>47023146</v>
      </c>
      <c r="M161" s="10">
        <f t="shared" si="2"/>
        <v>247131506</v>
      </c>
    </row>
    <row r="162" spans="1:13" ht="15">
      <c r="A162" s="136">
        <v>13040202</v>
      </c>
      <c r="B162" s="137" t="s">
        <v>108</v>
      </c>
      <c r="C162" s="137"/>
      <c r="D162" s="137"/>
      <c r="E162" s="137"/>
      <c r="F162" s="137"/>
      <c r="G162" s="137"/>
      <c r="H162" s="147">
        <v>319833</v>
      </c>
      <c r="I162" s="147">
        <v>2541985</v>
      </c>
      <c r="J162" s="147">
        <v>0</v>
      </c>
      <c r="K162" s="147">
        <v>0</v>
      </c>
      <c r="L162" s="147"/>
      <c r="M162" s="10">
        <f t="shared" si="2"/>
        <v>2861818</v>
      </c>
    </row>
    <row r="163" spans="1:13" ht="15">
      <c r="A163" s="136">
        <v>130403</v>
      </c>
      <c r="B163" s="150" t="s">
        <v>423</v>
      </c>
      <c r="C163" s="150"/>
      <c r="D163" s="150"/>
      <c r="E163" s="150"/>
      <c r="F163" s="150"/>
      <c r="G163" s="150"/>
      <c r="H163" s="138">
        <f>+H164</f>
        <v>50357104</v>
      </c>
      <c r="I163" s="138">
        <f>+I164</f>
        <v>52852477</v>
      </c>
      <c r="J163" s="138">
        <f>+J164</f>
        <v>44156408</v>
      </c>
      <c r="K163" s="138">
        <f>+K164</f>
        <v>51103490</v>
      </c>
      <c r="L163" s="138">
        <f>+L164</f>
        <v>45740077</v>
      </c>
      <c r="M163" s="10">
        <f t="shared" si="2"/>
        <v>244209556</v>
      </c>
    </row>
    <row r="164" spans="1:13" ht="15">
      <c r="A164" s="136">
        <v>13040301</v>
      </c>
      <c r="B164" s="137" t="s">
        <v>425</v>
      </c>
      <c r="C164" s="137"/>
      <c r="D164" s="137"/>
      <c r="E164" s="137"/>
      <c r="F164" s="137"/>
      <c r="G164" s="137"/>
      <c r="H164" s="147">
        <v>50357104</v>
      </c>
      <c r="I164" s="147">
        <v>52852477</v>
      </c>
      <c r="J164" s="147">
        <v>44156408</v>
      </c>
      <c r="K164" s="147">
        <v>51103490</v>
      </c>
      <c r="L164" s="147">
        <v>45740077</v>
      </c>
      <c r="M164" s="10">
        <f t="shared" si="2"/>
        <v>244209556</v>
      </c>
    </row>
    <row r="165" spans="1:13" ht="15">
      <c r="A165" s="148" t="s">
        <v>426</v>
      </c>
      <c r="B165" s="152" t="s">
        <v>423</v>
      </c>
      <c r="C165" s="152"/>
      <c r="D165" s="152"/>
      <c r="E165" s="152"/>
      <c r="F165" s="152"/>
      <c r="G165" s="152"/>
      <c r="H165" s="138">
        <f>H166</f>
        <v>38445840</v>
      </c>
      <c r="I165" s="138">
        <f>I166</f>
        <v>75577624</v>
      </c>
      <c r="J165" s="138">
        <f>J166</f>
        <v>66906484</v>
      </c>
      <c r="K165" s="138">
        <f>K166</f>
        <v>60559884</v>
      </c>
      <c r="L165" s="138">
        <f>L166</f>
        <v>59331608</v>
      </c>
      <c r="M165" s="10">
        <f t="shared" si="2"/>
        <v>300821440</v>
      </c>
    </row>
    <row r="166" spans="1:13" ht="15">
      <c r="A166" s="148" t="s">
        <v>427</v>
      </c>
      <c r="B166" s="149" t="s">
        <v>428</v>
      </c>
      <c r="C166" s="149"/>
      <c r="D166" s="149"/>
      <c r="E166" s="149"/>
      <c r="F166" s="149"/>
      <c r="G166" s="149"/>
      <c r="H166" s="147">
        <v>38445840</v>
      </c>
      <c r="I166" s="147">
        <v>75577624</v>
      </c>
      <c r="J166" s="147">
        <v>66906484</v>
      </c>
      <c r="K166" s="147">
        <v>60559884</v>
      </c>
      <c r="L166" s="147">
        <v>59331608</v>
      </c>
      <c r="M166" s="10">
        <f t="shared" si="2"/>
        <v>300821440</v>
      </c>
    </row>
    <row r="167" spans="1:11" ht="15">
      <c r="A167" s="139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</row>
    <row r="168" spans="1:11" ht="15">
      <c r="A168" s="142"/>
      <c r="B168" s="143"/>
      <c r="C168" s="146"/>
      <c r="D168" s="146"/>
      <c r="E168" s="146"/>
      <c r="F168" s="146"/>
      <c r="G168" s="146"/>
      <c r="H168" s="146"/>
      <c r="I168" s="146"/>
      <c r="J168" s="146"/>
      <c r="K168" s="146"/>
    </row>
    <row r="169" spans="1:11" ht="15">
      <c r="A169" s="142"/>
      <c r="B169" s="143"/>
      <c r="C169" s="146"/>
      <c r="D169" s="146"/>
      <c r="E169" s="146"/>
      <c r="F169" s="146"/>
      <c r="G169" s="146"/>
      <c r="H169" s="146"/>
      <c r="I169" s="146"/>
      <c r="J169" s="146"/>
      <c r="K169" s="146"/>
    </row>
    <row r="170" spans="1:11" ht="15">
      <c r="A170" s="142"/>
      <c r="B170" s="143"/>
      <c r="C170" s="146"/>
      <c r="D170" s="146"/>
      <c r="E170" s="146"/>
      <c r="F170" s="146"/>
      <c r="G170" s="146"/>
      <c r="H170" s="146"/>
      <c r="I170" s="146"/>
      <c r="J170" s="146"/>
      <c r="K170" s="146"/>
    </row>
    <row r="171" spans="1:11" ht="15">
      <c r="A171" s="142"/>
      <c r="B171" s="143"/>
      <c r="C171" s="146"/>
      <c r="D171" s="146"/>
      <c r="E171" s="146"/>
      <c r="F171" s="146"/>
      <c r="G171" s="146"/>
      <c r="H171" s="146"/>
      <c r="I171" s="146"/>
      <c r="J171" s="146"/>
      <c r="K171" s="146"/>
    </row>
    <row r="172" spans="1:11" ht="15">
      <c r="A172" s="142"/>
      <c r="B172" s="143"/>
      <c r="C172" s="146"/>
      <c r="D172" s="146"/>
      <c r="E172" s="146"/>
      <c r="F172" s="146"/>
      <c r="G172" s="146"/>
      <c r="H172" s="146"/>
      <c r="I172" s="146"/>
      <c r="J172" s="146"/>
      <c r="K172" s="146"/>
    </row>
    <row r="173" spans="1:11" ht="15">
      <c r="A173" s="142"/>
      <c r="B173" s="143"/>
      <c r="C173" s="146"/>
      <c r="D173" s="146"/>
      <c r="E173" s="146"/>
      <c r="F173" s="146"/>
      <c r="G173" s="146"/>
      <c r="H173" s="146"/>
      <c r="I173" s="146"/>
      <c r="J173" s="146"/>
      <c r="K173" s="146"/>
    </row>
    <row r="174" spans="1:11" ht="15">
      <c r="A174" s="142"/>
      <c r="B174" s="143"/>
      <c r="C174" s="146"/>
      <c r="D174" s="146"/>
      <c r="E174" s="146"/>
      <c r="F174" s="146"/>
      <c r="G174" s="146"/>
      <c r="H174" s="146"/>
      <c r="I174" s="146"/>
      <c r="J174" s="146"/>
      <c r="K174" s="146"/>
    </row>
    <row r="175" spans="1:11" ht="15">
      <c r="A175" s="142"/>
      <c r="B175" s="143"/>
      <c r="C175" s="146"/>
      <c r="D175" s="146"/>
      <c r="E175" s="146"/>
      <c r="F175" s="146"/>
      <c r="G175" s="146"/>
      <c r="H175" s="146"/>
      <c r="I175" s="146"/>
      <c r="J175" s="146"/>
      <c r="K175" s="146"/>
    </row>
    <row r="176" spans="1:11" ht="15">
      <c r="A176" s="142"/>
      <c r="B176" s="143"/>
      <c r="C176" s="146"/>
      <c r="D176" s="146"/>
      <c r="E176" s="146"/>
      <c r="F176" s="146"/>
      <c r="G176" s="146"/>
      <c r="H176" s="146"/>
      <c r="I176" s="146"/>
      <c r="J176" s="146"/>
      <c r="K176" s="146"/>
    </row>
    <row r="177" spans="1:11" ht="15">
      <c r="A177" s="142"/>
      <c r="B177" s="143"/>
      <c r="C177" s="146"/>
      <c r="D177" s="146"/>
      <c r="E177" s="146"/>
      <c r="F177" s="146"/>
      <c r="G177" s="146"/>
      <c r="H177" s="146"/>
      <c r="I177" s="146"/>
      <c r="J177" s="146"/>
      <c r="K177" s="146"/>
    </row>
    <row r="178" spans="1:11" ht="15">
      <c r="A178" s="142"/>
      <c r="B178" s="143"/>
      <c r="C178" s="146"/>
      <c r="D178" s="146"/>
      <c r="E178" s="146"/>
      <c r="F178" s="146"/>
      <c r="G178" s="146"/>
      <c r="H178" s="146"/>
      <c r="I178" s="146"/>
      <c r="J178" s="146"/>
      <c r="K178" s="146"/>
    </row>
    <row r="179" spans="1:11" ht="15">
      <c r="A179" s="142"/>
      <c r="B179" s="143"/>
      <c r="C179" s="146"/>
      <c r="D179" s="146"/>
      <c r="E179" s="146"/>
      <c r="F179" s="146"/>
      <c r="G179" s="146"/>
      <c r="H179" s="146"/>
      <c r="I179" s="146"/>
      <c r="J179" s="146"/>
      <c r="K179" s="146"/>
    </row>
    <row r="180" spans="1:11" ht="15">
      <c r="A180" s="142"/>
      <c r="B180" s="143"/>
      <c r="C180" s="146"/>
      <c r="D180" s="146"/>
      <c r="E180" s="146"/>
      <c r="F180" s="146"/>
      <c r="G180" s="146"/>
      <c r="H180" s="146"/>
      <c r="I180" s="146"/>
      <c r="J180" s="146"/>
      <c r="K180" s="146"/>
    </row>
    <row r="181" spans="1:11" ht="15">
      <c r="A181" s="142"/>
      <c r="B181" s="143"/>
      <c r="C181" s="146"/>
      <c r="D181" s="146"/>
      <c r="E181" s="146"/>
      <c r="F181" s="146"/>
      <c r="G181" s="146"/>
      <c r="H181" s="146"/>
      <c r="I181" s="146"/>
      <c r="J181" s="146"/>
      <c r="K181" s="146"/>
    </row>
    <row r="182" spans="1:11" ht="15">
      <c r="A182" s="142"/>
      <c r="B182" s="143"/>
      <c r="C182" s="146"/>
      <c r="D182" s="146"/>
      <c r="E182" s="146"/>
      <c r="F182" s="146"/>
      <c r="G182" s="146"/>
      <c r="H182" s="146"/>
      <c r="I182" s="146"/>
      <c r="J182" s="146"/>
      <c r="K182" s="146"/>
    </row>
    <row r="183" spans="1:11" ht="15">
      <c r="A183" s="142"/>
      <c r="B183" s="143"/>
      <c r="C183" s="146"/>
      <c r="D183" s="146"/>
      <c r="E183" s="146"/>
      <c r="F183" s="146"/>
      <c r="G183" s="146"/>
      <c r="H183" s="146"/>
      <c r="I183" s="146"/>
      <c r="J183" s="146"/>
      <c r="K183" s="146"/>
    </row>
  </sheetData>
  <sheetProtection/>
  <mergeCells count="16">
    <mergeCell ref="S8:S9"/>
    <mergeCell ref="O8:O9"/>
    <mergeCell ref="Q2:Q3"/>
    <mergeCell ref="R2:R3"/>
    <mergeCell ref="P8:P9"/>
    <mergeCell ref="Q8:Q9"/>
    <mergeCell ref="R8:R9"/>
    <mergeCell ref="S2:S3"/>
    <mergeCell ref="P2:P3"/>
    <mergeCell ref="O2:O3"/>
    <mergeCell ref="B1:L1"/>
    <mergeCell ref="I2:I3"/>
    <mergeCell ref="J2:J3"/>
    <mergeCell ref="K2:K3"/>
    <mergeCell ref="L2:L3"/>
    <mergeCell ref="H2:H3"/>
  </mergeCells>
  <printOptions/>
  <pageMargins left="0.55" right="0.55" top="0.7480314960629921" bottom="0.7480314960629921" header="0.31496062992125984" footer="0.31496062992125984"/>
  <pageSetup horizontalDpi="600" verticalDpi="600" orientation="landscape" scale="90" r:id="rId2"/>
  <ignoredErrors>
    <ignoredError sqref="H11:K11 J12:K12 H60:K60 H67:K67 H94 H12:I12 H57:K57 H91:K91 I94:K94" formulaRange="1"/>
    <ignoredError sqref="H105 I143" unlockedFormula="1"/>
    <ignoredError sqref="A4:A17 A19:A36 A38:A48 A77:A87 A89:A119 A122:A130 A142:A144 A165:A166 A133:A138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3" sqref="G3"/>
    </sheetView>
  </sheetViews>
  <sheetFormatPr defaultColWidth="11.421875" defaultRowHeight="15"/>
  <cols>
    <col min="1" max="1" width="13.140625" style="0" customWidth="1"/>
    <col min="2" max="2" width="49.28125" style="0" customWidth="1"/>
    <col min="3" max="3" width="16.421875" style="225" customWidth="1"/>
    <col min="4" max="4" width="15.28125" style="242" bestFit="1" customWidth="1"/>
    <col min="5" max="5" width="15.421875" style="242" customWidth="1"/>
    <col min="6" max="6" width="15.28125" style="175" bestFit="1" customWidth="1"/>
    <col min="7" max="7" width="16.421875" style="0" bestFit="1" customWidth="1"/>
    <col min="9" max="9" width="15.421875" style="0" bestFit="1" customWidth="1"/>
    <col min="10" max="10" width="15.28125" style="0" bestFit="1" customWidth="1"/>
  </cols>
  <sheetData>
    <row r="1" spans="1:7" ht="24" customHeight="1">
      <c r="A1" s="297" t="s">
        <v>556</v>
      </c>
      <c r="B1" s="295" t="s">
        <v>67</v>
      </c>
      <c r="C1" s="299" t="s">
        <v>829</v>
      </c>
      <c r="D1" s="301" t="s">
        <v>830</v>
      </c>
      <c r="E1" s="301" t="s">
        <v>831</v>
      </c>
      <c r="F1" s="295" t="s">
        <v>832</v>
      </c>
      <c r="G1" s="295" t="s">
        <v>1226</v>
      </c>
    </row>
    <row r="2" spans="1:7" ht="16.5" customHeight="1">
      <c r="A2" s="298"/>
      <c r="B2" s="296"/>
      <c r="C2" s="300"/>
      <c r="D2" s="302"/>
      <c r="E2" s="302"/>
      <c r="F2" s="296"/>
      <c r="G2" s="296"/>
    </row>
    <row r="3" spans="1:7" ht="12.75" customHeight="1">
      <c r="A3" s="158" t="s">
        <v>557</v>
      </c>
      <c r="B3" s="159" t="s">
        <v>558</v>
      </c>
      <c r="C3" s="220">
        <f>C4+C193+C200</f>
        <v>8910814294.07</v>
      </c>
      <c r="D3" s="220">
        <f>D4+D193+D200</f>
        <v>5292764550.27</v>
      </c>
      <c r="E3" s="220">
        <f>E4+E193+E200</f>
        <v>7464857878.76</v>
      </c>
      <c r="F3" s="220">
        <f>F4+F193+F200</f>
        <v>6824106475.39</v>
      </c>
      <c r="G3" s="220">
        <f>G4+G193+G200</f>
        <v>8979289839.67</v>
      </c>
    </row>
    <row r="4" spans="1:10" ht="15">
      <c r="A4" s="161" t="s">
        <v>559</v>
      </c>
      <c r="B4" s="162" t="s">
        <v>451</v>
      </c>
      <c r="C4" s="221">
        <f>C5+C42+C81+C152</f>
        <v>1620794660.31</v>
      </c>
      <c r="D4" s="238">
        <f>D5+D42+D81+D152</f>
        <v>1805752204.62</v>
      </c>
      <c r="E4" s="238">
        <f>E5+E42+E81+E152</f>
        <v>1796470439.4</v>
      </c>
      <c r="F4" s="163">
        <f>F5+F42+F81+F152</f>
        <v>1789892498.29</v>
      </c>
      <c r="G4" s="163">
        <f>G5+G42+G81+G152</f>
        <v>1297926713.49</v>
      </c>
      <c r="I4" t="s">
        <v>432</v>
      </c>
      <c r="J4" s="10">
        <f>D4</f>
        <v>1805752204.62</v>
      </c>
    </row>
    <row r="5" spans="1:10" ht="15">
      <c r="A5" s="161" t="s">
        <v>560</v>
      </c>
      <c r="B5" s="162" t="s">
        <v>132</v>
      </c>
      <c r="C5" s="221">
        <f>C6+C28</f>
        <v>70991366</v>
      </c>
      <c r="D5" s="238">
        <f>D6+D28</f>
        <v>84719153</v>
      </c>
      <c r="E5" s="238">
        <f>E6+E28</f>
        <v>88023299</v>
      </c>
      <c r="F5" s="163">
        <f>F6+F28</f>
        <v>101976810</v>
      </c>
      <c r="G5" s="163">
        <f>G6+G28</f>
        <v>59672597</v>
      </c>
      <c r="I5" t="s">
        <v>433</v>
      </c>
      <c r="J5" s="10">
        <f>D193</f>
        <v>145220888</v>
      </c>
    </row>
    <row r="6" spans="1:10" ht="15">
      <c r="A6" s="161" t="s">
        <v>561</v>
      </c>
      <c r="B6" s="162" t="s">
        <v>562</v>
      </c>
      <c r="C6" s="221">
        <f>C7+C16+C18</f>
        <v>50942756</v>
      </c>
      <c r="D6" s="238">
        <f>D7+D16+D18</f>
        <v>72249587</v>
      </c>
      <c r="E6" s="238">
        <f>E7+E16+E18</f>
        <v>75338564</v>
      </c>
      <c r="F6" s="163">
        <f>F7+F16+F18</f>
        <v>87308308</v>
      </c>
      <c r="G6" s="163">
        <f>G7+G16+G18</f>
        <v>53351857</v>
      </c>
      <c r="I6" t="s">
        <v>57</v>
      </c>
      <c r="J6" s="10">
        <f>D200</f>
        <v>3341791457.65</v>
      </c>
    </row>
    <row r="7" spans="1:7" ht="11.25" customHeight="1">
      <c r="A7" s="161" t="s">
        <v>563</v>
      </c>
      <c r="B7" s="162" t="s">
        <v>564</v>
      </c>
      <c r="C7" s="221">
        <f>SUM(C8:C15)</f>
        <v>10229342</v>
      </c>
      <c r="D7" s="238">
        <f>SUM(D8:D15)</f>
        <v>9995305</v>
      </c>
      <c r="E7" s="238">
        <f>SUM(E8:E15)</f>
        <v>11844092</v>
      </c>
      <c r="F7" s="163">
        <f>SUM(F8:F15)</f>
        <v>12626134</v>
      </c>
      <c r="G7" s="163">
        <f>SUM(G8:G15)</f>
        <v>9286102</v>
      </c>
    </row>
    <row r="8" spans="1:7" ht="15">
      <c r="A8" s="164" t="s">
        <v>565</v>
      </c>
      <c r="B8" s="165" t="s">
        <v>566</v>
      </c>
      <c r="C8" s="222">
        <v>7358136</v>
      </c>
      <c r="D8" s="239">
        <v>7799616</v>
      </c>
      <c r="E8" s="239">
        <v>8401019</v>
      </c>
      <c r="F8" s="166">
        <v>9196053</v>
      </c>
      <c r="G8" s="166">
        <v>7441875</v>
      </c>
    </row>
    <row r="9" spans="1:7" ht="15">
      <c r="A9" s="164" t="s">
        <v>567</v>
      </c>
      <c r="B9" s="165" t="s">
        <v>568</v>
      </c>
      <c r="C9" s="222">
        <v>600000</v>
      </c>
      <c r="D9" s="239"/>
      <c r="E9" s="239">
        <v>90890</v>
      </c>
      <c r="F9" s="166">
        <v>46655</v>
      </c>
      <c r="G9" s="166">
        <v>55125</v>
      </c>
    </row>
    <row r="10" spans="1:7" ht="15">
      <c r="A10" s="164" t="s">
        <v>569</v>
      </c>
      <c r="B10" s="165" t="s">
        <v>570</v>
      </c>
      <c r="C10" s="222">
        <v>719826</v>
      </c>
      <c r="D10" s="239">
        <v>732809</v>
      </c>
      <c r="E10" s="239">
        <v>737563</v>
      </c>
      <c r="F10" s="166">
        <v>811446</v>
      </c>
      <c r="G10" s="166"/>
    </row>
    <row r="11" spans="1:7" ht="15">
      <c r="A11" s="164" t="s">
        <v>571</v>
      </c>
      <c r="B11" s="165" t="s">
        <v>572</v>
      </c>
      <c r="C11" s="222">
        <v>331989</v>
      </c>
      <c r="D11" s="239">
        <v>352484</v>
      </c>
      <c r="E11" s="239">
        <v>236529</v>
      </c>
      <c r="F11" s="166">
        <v>400867</v>
      </c>
      <c r="G11" s="166">
        <v>466502</v>
      </c>
    </row>
    <row r="12" spans="1:7" ht="15">
      <c r="A12" s="164" t="s">
        <v>573</v>
      </c>
      <c r="B12" s="165" t="s">
        <v>574</v>
      </c>
      <c r="C12" s="222">
        <v>331989</v>
      </c>
      <c r="D12" s="239"/>
      <c r="E12" s="239">
        <v>807615</v>
      </c>
      <c r="F12" s="166">
        <v>400867</v>
      </c>
      <c r="G12" s="166">
        <v>466501</v>
      </c>
    </row>
    <row r="13" spans="1:7" ht="15">
      <c r="A13" s="164" t="s">
        <v>575</v>
      </c>
      <c r="B13" s="165" t="s">
        <v>576</v>
      </c>
      <c r="C13" s="222"/>
      <c r="D13" s="239">
        <v>450396</v>
      </c>
      <c r="E13" s="239">
        <v>453853</v>
      </c>
      <c r="F13" s="166">
        <v>483333</v>
      </c>
      <c r="G13" s="166">
        <v>343059</v>
      </c>
    </row>
    <row r="14" spans="1:7" ht="15">
      <c r="A14" s="164" t="s">
        <v>577</v>
      </c>
      <c r="B14" s="165" t="s">
        <v>578</v>
      </c>
      <c r="C14" s="222">
        <v>580813</v>
      </c>
      <c r="D14" s="239">
        <v>660000</v>
      </c>
      <c r="E14" s="239">
        <v>668113</v>
      </c>
      <c r="F14" s="166">
        <v>725700</v>
      </c>
      <c r="G14" s="166">
        <v>513040</v>
      </c>
    </row>
    <row r="15" spans="1:7" ht="15">
      <c r="A15" s="164" t="s">
        <v>579</v>
      </c>
      <c r="B15" s="165" t="s">
        <v>580</v>
      </c>
      <c r="C15" s="222">
        <v>306589</v>
      </c>
      <c r="D15" s="239"/>
      <c r="E15" s="239">
        <v>448510</v>
      </c>
      <c r="F15" s="166">
        <v>561213</v>
      </c>
      <c r="G15" s="166"/>
    </row>
    <row r="16" spans="1:7" ht="15">
      <c r="A16" s="161" t="s">
        <v>581</v>
      </c>
      <c r="B16" s="162" t="s">
        <v>582</v>
      </c>
      <c r="C16" s="221">
        <f>C17</f>
        <v>37630483</v>
      </c>
      <c r="D16" s="238">
        <f>D17</f>
        <v>58972694</v>
      </c>
      <c r="E16" s="238">
        <f>E17</f>
        <v>60041286</v>
      </c>
      <c r="F16" s="163">
        <f>F17</f>
        <v>70985181</v>
      </c>
      <c r="G16" s="163">
        <f>G17</f>
        <v>41041743</v>
      </c>
    </row>
    <row r="17" spans="1:7" ht="15">
      <c r="A17" s="164" t="s">
        <v>583</v>
      </c>
      <c r="B17" s="165" t="s">
        <v>584</v>
      </c>
      <c r="C17" s="222">
        <v>37630483</v>
      </c>
      <c r="D17" s="239">
        <v>58972694</v>
      </c>
      <c r="E17" s="239">
        <v>60041286</v>
      </c>
      <c r="F17" s="166">
        <v>70985181</v>
      </c>
      <c r="G17" s="166">
        <v>41041743</v>
      </c>
    </row>
    <row r="18" spans="1:7" ht="15">
      <c r="A18" s="161" t="s">
        <v>585</v>
      </c>
      <c r="B18" s="162" t="s">
        <v>586</v>
      </c>
      <c r="C18" s="221">
        <f>SUM(C19:C27)</f>
        <v>3082931</v>
      </c>
      <c r="D18" s="238">
        <f>SUM(D19:D27)</f>
        <v>3281588</v>
      </c>
      <c r="E18" s="238">
        <f>SUM(E19:E27)</f>
        <v>3453186</v>
      </c>
      <c r="F18" s="163">
        <f>SUM(F19:F27)</f>
        <v>3696993</v>
      </c>
      <c r="G18" s="163">
        <f>SUM(G19:G27)</f>
        <v>3024012</v>
      </c>
    </row>
    <row r="19" spans="1:7" ht="15">
      <c r="A19" s="164" t="s">
        <v>587</v>
      </c>
      <c r="B19" s="165" t="s">
        <v>588</v>
      </c>
      <c r="C19" s="222">
        <v>307527</v>
      </c>
      <c r="D19" s="239">
        <v>332906</v>
      </c>
      <c r="E19" s="239">
        <v>333800</v>
      </c>
      <c r="F19" s="166">
        <v>367900</v>
      </c>
      <c r="G19" s="166">
        <v>335040</v>
      </c>
    </row>
    <row r="20" spans="1:7" ht="15">
      <c r="A20" s="164" t="s">
        <v>589</v>
      </c>
      <c r="B20" s="165" t="s">
        <v>590</v>
      </c>
      <c r="C20" s="222">
        <v>624922</v>
      </c>
      <c r="D20" s="239">
        <v>711205</v>
      </c>
      <c r="E20" s="239">
        <v>709267</v>
      </c>
      <c r="F20" s="166">
        <v>781557</v>
      </c>
      <c r="G20" s="166">
        <v>632525</v>
      </c>
    </row>
    <row r="21" spans="1:7" ht="15">
      <c r="A21" s="164" t="s">
        <v>591</v>
      </c>
      <c r="B21" s="165" t="s">
        <v>592</v>
      </c>
      <c r="C21" s="222">
        <v>854911</v>
      </c>
      <c r="D21" s="239">
        <v>879369</v>
      </c>
      <c r="E21" s="239">
        <v>1001467</v>
      </c>
      <c r="F21" s="166">
        <v>1103257</v>
      </c>
      <c r="G21" s="166">
        <v>892525</v>
      </c>
    </row>
    <row r="22" spans="1:7" ht="15">
      <c r="A22" s="164" t="s">
        <v>593</v>
      </c>
      <c r="B22" s="165" t="s">
        <v>594</v>
      </c>
      <c r="C22" s="222">
        <v>872762</v>
      </c>
      <c r="D22" s="239">
        <v>890858</v>
      </c>
      <c r="E22" s="239">
        <v>949202</v>
      </c>
      <c r="F22" s="166">
        <v>936199</v>
      </c>
      <c r="G22" s="166">
        <v>706418</v>
      </c>
    </row>
    <row r="23" spans="1:7" ht="15">
      <c r="A23" s="164" t="s">
        <v>595</v>
      </c>
      <c r="B23" s="165" t="s">
        <v>596</v>
      </c>
      <c r="C23" s="222">
        <v>230645</v>
      </c>
      <c r="D23" s="239">
        <v>255930</v>
      </c>
      <c r="E23" s="239">
        <v>250350</v>
      </c>
      <c r="F23" s="166">
        <v>275925</v>
      </c>
      <c r="G23" s="166">
        <v>251280</v>
      </c>
    </row>
    <row r="24" spans="1:7" ht="15">
      <c r="A24" s="164" t="s">
        <v>597</v>
      </c>
      <c r="B24" s="165" t="s">
        <v>598</v>
      </c>
      <c r="C24" s="222">
        <v>76882</v>
      </c>
      <c r="D24" s="239">
        <v>85310</v>
      </c>
      <c r="E24" s="239">
        <v>83450</v>
      </c>
      <c r="F24" s="166">
        <v>91975</v>
      </c>
      <c r="G24" s="166">
        <v>83760</v>
      </c>
    </row>
    <row r="25" spans="1:7" ht="15">
      <c r="A25" s="164" t="s">
        <v>599</v>
      </c>
      <c r="B25" s="165" t="s">
        <v>600</v>
      </c>
      <c r="C25" s="222">
        <v>38441</v>
      </c>
      <c r="D25" s="239">
        <v>42655</v>
      </c>
      <c r="E25" s="239">
        <v>41725</v>
      </c>
      <c r="F25" s="166">
        <v>45990</v>
      </c>
      <c r="G25" s="166">
        <v>41882</v>
      </c>
    </row>
    <row r="26" spans="1:7" ht="15">
      <c r="A26" s="164" t="s">
        <v>601</v>
      </c>
      <c r="B26" s="165" t="s">
        <v>602</v>
      </c>
      <c r="C26" s="222">
        <v>38441</v>
      </c>
      <c r="D26" s="239">
        <v>42655</v>
      </c>
      <c r="E26" s="239">
        <v>41725</v>
      </c>
      <c r="F26" s="166">
        <v>45990</v>
      </c>
      <c r="G26" s="166">
        <v>41882</v>
      </c>
    </row>
    <row r="27" spans="1:7" ht="15">
      <c r="A27" s="164" t="s">
        <v>603</v>
      </c>
      <c r="B27" s="165" t="s">
        <v>604</v>
      </c>
      <c r="C27" s="222">
        <v>38400</v>
      </c>
      <c r="D27" s="239">
        <v>40700</v>
      </c>
      <c r="E27" s="239">
        <v>42200</v>
      </c>
      <c r="F27" s="166">
        <v>48200</v>
      </c>
      <c r="G27" s="166">
        <v>38700</v>
      </c>
    </row>
    <row r="28" spans="1:7" ht="15">
      <c r="A28" s="161" t="s">
        <v>605</v>
      </c>
      <c r="B28" s="162" t="s">
        <v>606</v>
      </c>
      <c r="C28" s="221">
        <f>C29+C33</f>
        <v>20048610</v>
      </c>
      <c r="D28" s="238">
        <f>D29+D33</f>
        <v>12469566</v>
      </c>
      <c r="E28" s="238">
        <f>E29+E33</f>
        <v>12684735</v>
      </c>
      <c r="F28" s="163">
        <f>F29+F33</f>
        <v>14668502</v>
      </c>
      <c r="G28" s="163">
        <f>G29+G33</f>
        <v>6320740</v>
      </c>
    </row>
    <row r="29" spans="1:7" ht="15">
      <c r="A29" s="161" t="s">
        <v>607</v>
      </c>
      <c r="B29" s="162" t="s">
        <v>608</v>
      </c>
      <c r="C29" s="221">
        <f>SUM(C30:C32)</f>
        <v>1899952</v>
      </c>
      <c r="D29" s="238">
        <f>SUM(D30:D32)</f>
        <v>3676626</v>
      </c>
      <c r="E29" s="238">
        <f>SUM(E30:E32)</f>
        <v>4783300</v>
      </c>
      <c r="F29" s="163">
        <f>SUM(F30:F32)</f>
        <v>13904722</v>
      </c>
      <c r="G29" s="163">
        <f>SUM(G30:G32)</f>
        <v>5114540</v>
      </c>
    </row>
    <row r="30" spans="1:7" ht="15">
      <c r="A30" s="164" t="s">
        <v>609</v>
      </c>
      <c r="B30" s="165" t="s">
        <v>610</v>
      </c>
      <c r="C30" s="222">
        <v>1899952</v>
      </c>
      <c r="D30" s="239">
        <v>1134726</v>
      </c>
      <c r="E30" s="239">
        <v>1243300</v>
      </c>
      <c r="F30" s="166">
        <v>837722</v>
      </c>
      <c r="G30" s="166">
        <v>3098540</v>
      </c>
    </row>
    <row r="31" spans="1:7" ht="15">
      <c r="A31" s="164" t="s">
        <v>611</v>
      </c>
      <c r="B31" s="165" t="s">
        <v>612</v>
      </c>
      <c r="C31" s="222"/>
      <c r="D31" s="239">
        <v>2541900</v>
      </c>
      <c r="E31" s="239">
        <v>2900000</v>
      </c>
      <c r="F31" s="166">
        <v>12417000</v>
      </c>
      <c r="G31" s="166">
        <v>2016000</v>
      </c>
    </row>
    <row r="32" spans="1:7" ht="15">
      <c r="A32" s="164" t="s">
        <v>613</v>
      </c>
      <c r="B32" s="165" t="s">
        <v>614</v>
      </c>
      <c r="C32" s="222"/>
      <c r="D32" s="239"/>
      <c r="E32" s="239">
        <v>640000</v>
      </c>
      <c r="F32" s="166">
        <v>650000</v>
      </c>
      <c r="G32" s="166"/>
    </row>
    <row r="33" spans="1:7" ht="15">
      <c r="A33" s="161" t="s">
        <v>615</v>
      </c>
      <c r="B33" s="162" t="s">
        <v>616</v>
      </c>
      <c r="C33" s="221">
        <f>SUM(C34:C41)</f>
        <v>18148658</v>
      </c>
      <c r="D33" s="238">
        <f>SUM(D34:D41)</f>
        <v>8792940</v>
      </c>
      <c r="E33" s="238">
        <f>SUM(E34:E41)</f>
        <v>7901435</v>
      </c>
      <c r="F33" s="163">
        <f>SUM(F34:F41)</f>
        <v>763780</v>
      </c>
      <c r="G33" s="163">
        <f>SUM(G34:G41)</f>
        <v>1206200</v>
      </c>
    </row>
    <row r="34" spans="1:7" ht="15">
      <c r="A34" s="164" t="s">
        <v>617</v>
      </c>
      <c r="B34" s="165" t="s">
        <v>618</v>
      </c>
      <c r="C34" s="222">
        <v>100000</v>
      </c>
      <c r="D34" s="239"/>
      <c r="E34" s="239">
        <v>140000</v>
      </c>
      <c r="F34" s="166"/>
      <c r="G34" s="166">
        <v>715000</v>
      </c>
    </row>
    <row r="35" spans="1:7" ht="15">
      <c r="A35" s="164" t="s">
        <v>619</v>
      </c>
      <c r="B35" s="165" t="s">
        <v>620</v>
      </c>
      <c r="C35" s="222">
        <v>9996288</v>
      </c>
      <c r="D35" s="239"/>
      <c r="E35" s="239"/>
      <c r="F35" s="166"/>
      <c r="G35" s="166"/>
    </row>
    <row r="36" spans="1:7" ht="15">
      <c r="A36" s="164" t="s">
        <v>621</v>
      </c>
      <c r="B36" s="165" t="s">
        <v>622</v>
      </c>
      <c r="C36" s="222"/>
      <c r="D36" s="239"/>
      <c r="E36" s="239"/>
      <c r="F36" s="166"/>
      <c r="G36" s="166"/>
    </row>
    <row r="37" spans="1:7" ht="15">
      <c r="A37" s="164" t="s">
        <v>623</v>
      </c>
      <c r="B37" s="165" t="s">
        <v>624</v>
      </c>
      <c r="C37" s="222">
        <v>917370</v>
      </c>
      <c r="D37" s="239">
        <v>792940</v>
      </c>
      <c r="E37" s="239">
        <v>761435</v>
      </c>
      <c r="F37" s="166">
        <v>763780</v>
      </c>
      <c r="G37" s="166">
        <v>491200</v>
      </c>
    </row>
    <row r="38" spans="1:7" ht="15">
      <c r="A38" s="164" t="s">
        <v>625</v>
      </c>
      <c r="B38" s="165" t="s">
        <v>626</v>
      </c>
      <c r="C38" s="222"/>
      <c r="D38" s="239"/>
      <c r="E38" s="239"/>
      <c r="F38" s="166"/>
      <c r="G38" s="166"/>
    </row>
    <row r="39" spans="1:7" ht="15">
      <c r="A39" s="164" t="s">
        <v>627</v>
      </c>
      <c r="B39" s="165" t="s">
        <v>628</v>
      </c>
      <c r="C39" s="222">
        <v>5185000</v>
      </c>
      <c r="D39" s="239">
        <v>8000000</v>
      </c>
      <c r="E39" s="239">
        <v>7000000</v>
      </c>
      <c r="F39" s="166"/>
      <c r="G39" s="166"/>
    </row>
    <row r="40" spans="1:7" ht="15">
      <c r="A40" s="164" t="s">
        <v>629</v>
      </c>
      <c r="B40" s="165" t="s">
        <v>630</v>
      </c>
      <c r="C40" s="222">
        <v>1950000</v>
      </c>
      <c r="D40" s="239"/>
      <c r="E40" s="239"/>
      <c r="F40" s="166"/>
      <c r="G40" s="166"/>
    </row>
    <row r="41" spans="1:7" ht="15">
      <c r="A41" s="164" t="s">
        <v>631</v>
      </c>
      <c r="B41" s="165" t="s">
        <v>632</v>
      </c>
      <c r="C41" s="222"/>
      <c r="D41" s="239"/>
      <c r="E41" s="239"/>
      <c r="F41" s="166"/>
      <c r="G41" s="166"/>
    </row>
    <row r="42" spans="1:7" ht="15">
      <c r="A42" s="161" t="s">
        <v>633</v>
      </c>
      <c r="B42" s="162" t="s">
        <v>133</v>
      </c>
      <c r="C42" s="221">
        <f>C43+C66</f>
        <v>59835334</v>
      </c>
      <c r="D42" s="238">
        <f>D43+D66</f>
        <v>61986085</v>
      </c>
      <c r="E42" s="238">
        <f>E43+E66</f>
        <v>72445259</v>
      </c>
      <c r="F42" s="163">
        <f>F43+F66</f>
        <v>75873085</v>
      </c>
      <c r="G42" s="163">
        <f>G43+G66</f>
        <v>50170142</v>
      </c>
    </row>
    <row r="43" spans="1:7" ht="15">
      <c r="A43" s="161" t="s">
        <v>634</v>
      </c>
      <c r="B43" s="162" t="s">
        <v>562</v>
      </c>
      <c r="C43" s="221">
        <f>C44+C53+C56</f>
        <v>57735554</v>
      </c>
      <c r="D43" s="238">
        <f>D44+D53+D56</f>
        <v>60369605</v>
      </c>
      <c r="E43" s="238">
        <f>E44+E53+E56</f>
        <v>69880042</v>
      </c>
      <c r="F43" s="163">
        <f>F44+F53+F56</f>
        <v>68686807</v>
      </c>
      <c r="G43" s="163">
        <f>G44+G53+G56</f>
        <v>48208812</v>
      </c>
    </row>
    <row r="44" spans="1:7" ht="12.75" customHeight="1">
      <c r="A44" s="161" t="s">
        <v>635</v>
      </c>
      <c r="B44" s="162" t="s">
        <v>564</v>
      </c>
      <c r="C44" s="221">
        <f>SUM(C45:C52)</f>
        <v>41907461</v>
      </c>
      <c r="D44" s="238">
        <f>SUM(D45:D52)</f>
        <v>45037090</v>
      </c>
      <c r="E44" s="238">
        <f>SUM(E45:E52)</f>
        <v>48968604</v>
      </c>
      <c r="F44" s="163">
        <f>SUM(F45:F52)</f>
        <v>52038295</v>
      </c>
      <c r="G44" s="163">
        <f>SUM(G45:G52)</f>
        <v>38281544</v>
      </c>
    </row>
    <row r="45" spans="1:7" ht="15">
      <c r="A45" s="164" t="s">
        <v>636</v>
      </c>
      <c r="B45" s="165" t="s">
        <v>566</v>
      </c>
      <c r="C45" s="222">
        <v>34837296</v>
      </c>
      <c r="D45" s="239">
        <v>36842352</v>
      </c>
      <c r="E45" s="239">
        <v>39426149</v>
      </c>
      <c r="F45" s="166">
        <v>41345736</v>
      </c>
      <c r="G45" s="166">
        <v>32121999</v>
      </c>
    </row>
    <row r="46" spans="1:7" ht="15">
      <c r="A46" s="164" t="s">
        <v>637</v>
      </c>
      <c r="B46" s="165" t="s">
        <v>568</v>
      </c>
      <c r="C46" s="222"/>
      <c r="D46" s="239">
        <v>204679</v>
      </c>
      <c r="E46" s="239">
        <v>220379</v>
      </c>
      <c r="F46" s="166">
        <v>261693</v>
      </c>
      <c r="G46" s="166">
        <v>177199</v>
      </c>
    </row>
    <row r="47" spans="1:7" ht="15">
      <c r="A47" s="164" t="s">
        <v>638</v>
      </c>
      <c r="B47" s="165" t="s">
        <v>570</v>
      </c>
      <c r="C47" s="222">
        <v>3200068</v>
      </c>
      <c r="D47" s="239">
        <v>3277824</v>
      </c>
      <c r="E47" s="239">
        <v>3858948</v>
      </c>
      <c r="F47" s="166">
        <v>3472090</v>
      </c>
      <c r="G47" s="166"/>
    </row>
    <row r="48" spans="1:7" ht="15">
      <c r="A48" s="164" t="s">
        <v>639</v>
      </c>
      <c r="B48" s="165" t="s">
        <v>572</v>
      </c>
      <c r="C48" s="222">
        <v>1476954</v>
      </c>
      <c r="D48" s="239">
        <v>1562598</v>
      </c>
      <c r="E48" s="239">
        <v>1803540</v>
      </c>
      <c r="F48" s="166">
        <v>1571060</v>
      </c>
      <c r="G48" s="166">
        <v>1837620</v>
      </c>
    </row>
    <row r="49" spans="1:7" ht="15">
      <c r="A49" s="164" t="s">
        <v>640</v>
      </c>
      <c r="B49" s="165" t="s">
        <v>574</v>
      </c>
      <c r="C49" s="222">
        <v>1476954</v>
      </c>
      <c r="D49" s="239">
        <v>1562598</v>
      </c>
      <c r="E49" s="239">
        <v>1803539</v>
      </c>
      <c r="F49" s="166">
        <v>2014055</v>
      </c>
      <c r="G49" s="166">
        <v>1328989</v>
      </c>
    </row>
    <row r="50" spans="1:7" ht="15">
      <c r="A50" s="164" t="s">
        <v>641</v>
      </c>
      <c r="B50" s="165" t="s">
        <v>642</v>
      </c>
      <c r="C50" s="222"/>
      <c r="D50" s="239">
        <v>450396</v>
      </c>
      <c r="E50" s="239">
        <v>483344</v>
      </c>
      <c r="F50" s="166">
        <v>491416</v>
      </c>
      <c r="G50" s="166">
        <v>382752</v>
      </c>
    </row>
    <row r="51" spans="1:7" ht="15">
      <c r="A51" s="164" t="s">
        <v>643</v>
      </c>
      <c r="B51" s="165" t="s">
        <v>578</v>
      </c>
      <c r="C51" s="222">
        <v>609600</v>
      </c>
      <c r="D51" s="239">
        <v>660000</v>
      </c>
      <c r="E51" s="239">
        <v>711600</v>
      </c>
      <c r="F51" s="166">
        <v>735800</v>
      </c>
      <c r="G51" s="166">
        <v>572400</v>
      </c>
    </row>
    <row r="52" spans="1:7" ht="15">
      <c r="A52" s="164" t="s">
        <v>644</v>
      </c>
      <c r="B52" s="165" t="s">
        <v>580</v>
      </c>
      <c r="C52" s="222">
        <v>306589</v>
      </c>
      <c r="D52" s="239">
        <v>476643</v>
      </c>
      <c r="E52" s="239">
        <v>661105</v>
      </c>
      <c r="F52" s="166">
        <v>2146445</v>
      </c>
      <c r="G52" s="166">
        <v>1860585</v>
      </c>
    </row>
    <row r="53" spans="1:7" ht="15">
      <c r="A53" s="161" t="s">
        <v>645</v>
      </c>
      <c r="B53" s="162" t="s">
        <v>582</v>
      </c>
      <c r="C53" s="221">
        <f>SUM(C54:C55)</f>
        <v>1602951</v>
      </c>
      <c r="D53" s="238">
        <f>SUM(D54:D55)</f>
        <v>0</v>
      </c>
      <c r="E53" s="238">
        <f>SUM(E54:E55)</f>
        <v>3344538</v>
      </c>
      <c r="F53" s="163">
        <f>SUM(F54:F55)</f>
        <v>0</v>
      </c>
      <c r="G53" s="163">
        <f>SUM(G54:G55)</f>
        <v>0</v>
      </c>
    </row>
    <row r="54" spans="1:7" ht="15">
      <c r="A54" s="164" t="s">
        <v>646</v>
      </c>
      <c r="B54" s="165" t="s">
        <v>651</v>
      </c>
      <c r="C54" s="222"/>
      <c r="D54" s="239"/>
      <c r="E54" s="239">
        <v>3344538</v>
      </c>
      <c r="F54" s="166"/>
      <c r="G54" s="166"/>
    </row>
    <row r="55" spans="1:7" ht="15">
      <c r="A55" s="164" t="s">
        <v>652</v>
      </c>
      <c r="B55" s="165" t="s">
        <v>653</v>
      </c>
      <c r="C55" s="222">
        <v>1602951</v>
      </c>
      <c r="D55" s="239"/>
      <c r="E55" s="239"/>
      <c r="F55" s="166"/>
      <c r="G55" s="166"/>
    </row>
    <row r="56" spans="1:7" ht="15">
      <c r="A56" s="161" t="s">
        <v>654</v>
      </c>
      <c r="B56" s="162" t="s">
        <v>586</v>
      </c>
      <c r="C56" s="221">
        <f>SUM(C57:C65)</f>
        <v>14225142</v>
      </c>
      <c r="D56" s="238">
        <f>SUM(D57:D65)</f>
        <v>15332515</v>
      </c>
      <c r="E56" s="238">
        <f>SUM(E57:E65)</f>
        <v>17566900</v>
      </c>
      <c r="F56" s="163">
        <f>SUM(F57:F65)</f>
        <v>16648512</v>
      </c>
      <c r="G56" s="163">
        <f>SUM(G57:G65)</f>
        <v>9927268</v>
      </c>
    </row>
    <row r="57" spans="1:7" ht="15">
      <c r="A57" s="164" t="s">
        <v>655</v>
      </c>
      <c r="B57" s="165" t="s">
        <v>588</v>
      </c>
      <c r="C57" s="222">
        <v>1436700</v>
      </c>
      <c r="D57" s="239">
        <v>1618800</v>
      </c>
      <c r="E57" s="239">
        <v>1802680</v>
      </c>
      <c r="F57" s="166">
        <v>1669940</v>
      </c>
      <c r="G57" s="166">
        <v>1411520</v>
      </c>
    </row>
    <row r="58" spans="1:7" ht="15">
      <c r="A58" s="164" t="s">
        <v>656</v>
      </c>
      <c r="B58" s="165" t="s">
        <v>590</v>
      </c>
      <c r="C58" s="222">
        <v>2926749</v>
      </c>
      <c r="D58" s="239">
        <v>3127761</v>
      </c>
      <c r="E58" s="239">
        <v>3664418</v>
      </c>
      <c r="F58" s="166">
        <v>3513872</v>
      </c>
      <c r="G58" s="166">
        <v>2729822</v>
      </c>
    </row>
    <row r="59" spans="1:7" ht="15">
      <c r="A59" s="164" t="s">
        <v>657</v>
      </c>
      <c r="B59" s="165" t="s">
        <v>592</v>
      </c>
      <c r="C59" s="222">
        <v>4003031</v>
      </c>
      <c r="D59" s="239">
        <v>4417961</v>
      </c>
      <c r="E59" s="239">
        <v>4949118</v>
      </c>
      <c r="F59" s="166">
        <v>4961572</v>
      </c>
      <c r="G59" s="166">
        <v>3853922</v>
      </c>
    </row>
    <row r="60" spans="1:7" ht="15">
      <c r="A60" s="164" t="s">
        <v>658</v>
      </c>
      <c r="B60" s="165" t="s">
        <v>594</v>
      </c>
      <c r="C60" s="222">
        <v>3882748</v>
      </c>
      <c r="D60" s="239">
        <v>3951993</v>
      </c>
      <c r="E60" s="239">
        <v>4679634</v>
      </c>
      <c r="F60" s="166">
        <v>4199198</v>
      </c>
      <c r="G60" s="166"/>
    </row>
    <row r="61" spans="1:7" ht="15">
      <c r="A61" s="164" t="s">
        <v>659</v>
      </c>
      <c r="B61" s="165" t="s">
        <v>596</v>
      </c>
      <c r="C61" s="222">
        <v>1077525</v>
      </c>
      <c r="D61" s="239">
        <v>1214100</v>
      </c>
      <c r="E61" s="239">
        <v>1352010</v>
      </c>
      <c r="F61" s="166">
        <v>1252455</v>
      </c>
      <c r="G61" s="166">
        <v>1058640</v>
      </c>
    </row>
    <row r="62" spans="1:7" ht="15">
      <c r="A62" s="164" t="s">
        <v>660</v>
      </c>
      <c r="B62" s="165" t="s">
        <v>598</v>
      </c>
      <c r="C62" s="222">
        <v>359176</v>
      </c>
      <c r="D62" s="239">
        <v>404700</v>
      </c>
      <c r="E62" s="239">
        <v>450670</v>
      </c>
      <c r="F62" s="166">
        <v>417485</v>
      </c>
      <c r="G62" s="166">
        <v>352880</v>
      </c>
    </row>
    <row r="63" spans="1:7" ht="15">
      <c r="A63" s="164" t="s">
        <v>661</v>
      </c>
      <c r="B63" s="165" t="s">
        <v>600</v>
      </c>
      <c r="C63" s="222">
        <v>179587</v>
      </c>
      <c r="D63" s="239">
        <v>202350</v>
      </c>
      <c r="E63" s="239">
        <v>225335</v>
      </c>
      <c r="F63" s="166">
        <v>208745</v>
      </c>
      <c r="G63" s="166">
        <v>176442</v>
      </c>
    </row>
    <row r="64" spans="1:7" ht="15">
      <c r="A64" s="164" t="s">
        <v>662</v>
      </c>
      <c r="B64" s="165" t="s">
        <v>602</v>
      </c>
      <c r="C64" s="222">
        <v>179587</v>
      </c>
      <c r="D64" s="239">
        <v>202350</v>
      </c>
      <c r="E64" s="239">
        <v>225335</v>
      </c>
      <c r="F64" s="166">
        <v>208745</v>
      </c>
      <c r="G64" s="166">
        <v>176442</v>
      </c>
    </row>
    <row r="65" spans="1:7" ht="15">
      <c r="A65" s="164" t="s">
        <v>663</v>
      </c>
      <c r="B65" s="165" t="s">
        <v>604</v>
      </c>
      <c r="C65" s="222">
        <v>180039</v>
      </c>
      <c r="D65" s="239">
        <v>192500</v>
      </c>
      <c r="E65" s="239">
        <v>217700</v>
      </c>
      <c r="F65" s="166">
        <v>216500</v>
      </c>
      <c r="G65" s="166">
        <v>167600</v>
      </c>
    </row>
    <row r="66" spans="1:7" ht="15">
      <c r="A66" s="161" t="s">
        <v>664</v>
      </c>
      <c r="B66" s="162" t="s">
        <v>606</v>
      </c>
      <c r="C66" s="221">
        <f>C67+C71</f>
        <v>2099780</v>
      </c>
      <c r="D66" s="238">
        <f>D67+D71</f>
        <v>1616480</v>
      </c>
      <c r="E66" s="238">
        <f>E67+E71</f>
        <v>2565217</v>
      </c>
      <c r="F66" s="163">
        <f>F67+F71</f>
        <v>7186278</v>
      </c>
      <c r="G66" s="163">
        <f>G67+G71</f>
        <v>1961330</v>
      </c>
    </row>
    <row r="67" spans="1:7" ht="15">
      <c r="A67" s="161" t="s">
        <v>665</v>
      </c>
      <c r="B67" s="162" t="s">
        <v>608</v>
      </c>
      <c r="C67" s="221">
        <f>SUM(C68:C70)</f>
        <v>1800000</v>
      </c>
      <c r="D67" s="238">
        <f>SUM(D68:D70)</f>
        <v>1374500</v>
      </c>
      <c r="E67" s="238">
        <f>SUM(E68:E70)</f>
        <v>1731500</v>
      </c>
      <c r="F67" s="163">
        <f>SUM(F68:F70)</f>
        <v>6047418</v>
      </c>
      <c r="G67" s="163">
        <f>SUM(G68:G70)</f>
        <v>0</v>
      </c>
    </row>
    <row r="68" spans="1:7" ht="15">
      <c r="A68" s="164" t="s">
        <v>666</v>
      </c>
      <c r="B68" s="165" t="s">
        <v>610</v>
      </c>
      <c r="C68" s="222">
        <v>1800000</v>
      </c>
      <c r="D68" s="239">
        <v>384500</v>
      </c>
      <c r="E68" s="239">
        <v>741500</v>
      </c>
      <c r="F68" s="166">
        <v>1748700</v>
      </c>
      <c r="G68" s="166"/>
    </row>
    <row r="69" spans="1:7" ht="15">
      <c r="A69" s="164" t="s">
        <v>667</v>
      </c>
      <c r="B69" s="165" t="s">
        <v>612</v>
      </c>
      <c r="C69" s="222"/>
      <c r="D69" s="239"/>
      <c r="E69" s="239"/>
      <c r="F69" s="166">
        <v>3298800</v>
      </c>
      <c r="G69" s="166"/>
    </row>
    <row r="70" spans="1:7" ht="15">
      <c r="A70" s="164" t="s">
        <v>668</v>
      </c>
      <c r="B70" s="165" t="s">
        <v>614</v>
      </c>
      <c r="C70" s="222"/>
      <c r="D70" s="239">
        <v>990000</v>
      </c>
      <c r="E70" s="239">
        <v>990000</v>
      </c>
      <c r="F70" s="166">
        <v>999918</v>
      </c>
      <c r="G70" s="166"/>
    </row>
    <row r="71" spans="1:7" ht="15">
      <c r="A71" s="161" t="s">
        <v>669</v>
      </c>
      <c r="B71" s="162" t="s">
        <v>616</v>
      </c>
      <c r="C71" s="221">
        <f>SUM(C72:C80)</f>
        <v>299780</v>
      </c>
      <c r="D71" s="238">
        <f>SUM(D72:D80)</f>
        <v>241980</v>
      </c>
      <c r="E71" s="238">
        <f>SUM(E72:E80)</f>
        <v>833717</v>
      </c>
      <c r="F71" s="163">
        <f>SUM(F72:F80)</f>
        <v>1138860</v>
      </c>
      <c r="G71" s="163">
        <f>SUM(G72:G80)</f>
        <v>1961330</v>
      </c>
    </row>
    <row r="72" spans="1:7" ht="15">
      <c r="A72" s="164" t="s">
        <v>670</v>
      </c>
      <c r="B72" s="165" t="s">
        <v>618</v>
      </c>
      <c r="C72" s="222"/>
      <c r="D72" s="239"/>
      <c r="E72" s="239"/>
      <c r="F72" s="166">
        <v>269140</v>
      </c>
      <c r="G72" s="166"/>
    </row>
    <row r="73" spans="1:7" ht="15">
      <c r="A73" s="164" t="s">
        <v>671</v>
      </c>
      <c r="B73" s="165" t="s">
        <v>624</v>
      </c>
      <c r="C73" s="222">
        <v>299780</v>
      </c>
      <c r="D73" s="239">
        <v>241980</v>
      </c>
      <c r="E73" s="239">
        <v>280990</v>
      </c>
      <c r="F73" s="166">
        <v>669720</v>
      </c>
      <c r="G73" s="166">
        <v>260490</v>
      </c>
    </row>
    <row r="74" spans="1:7" ht="15">
      <c r="A74" s="164" t="s">
        <v>672</v>
      </c>
      <c r="B74" s="165" t="s">
        <v>673</v>
      </c>
      <c r="C74" s="222"/>
      <c r="D74" s="239"/>
      <c r="E74" s="239"/>
      <c r="F74" s="166"/>
      <c r="G74" s="166">
        <v>1100840</v>
      </c>
    </row>
    <row r="75" spans="1:7" ht="15">
      <c r="A75" s="164" t="s">
        <v>674</v>
      </c>
      <c r="B75" s="165" t="s">
        <v>626</v>
      </c>
      <c r="C75" s="222"/>
      <c r="D75" s="239"/>
      <c r="E75" s="239"/>
      <c r="F75" s="166"/>
      <c r="G75" s="166"/>
    </row>
    <row r="76" spans="1:7" ht="15">
      <c r="A76" s="164" t="s">
        <v>675</v>
      </c>
      <c r="B76" s="165" t="s">
        <v>676</v>
      </c>
      <c r="C76" s="222"/>
      <c r="D76" s="239"/>
      <c r="E76" s="239">
        <v>552727</v>
      </c>
      <c r="F76" s="166"/>
      <c r="G76" s="166">
        <v>600000</v>
      </c>
    </row>
    <row r="77" spans="1:7" ht="15">
      <c r="A77" s="164" t="s">
        <v>677</v>
      </c>
      <c r="B77" s="165" t="s">
        <v>628</v>
      </c>
      <c r="C77" s="222"/>
      <c r="D77" s="239"/>
      <c r="E77" s="239"/>
      <c r="F77" s="166"/>
      <c r="G77" s="166"/>
    </row>
    <row r="78" spans="1:7" ht="15">
      <c r="A78" s="164" t="s">
        <v>678</v>
      </c>
      <c r="B78" s="165" t="s">
        <v>679</v>
      </c>
      <c r="C78" s="222"/>
      <c r="D78" s="239"/>
      <c r="E78" s="239"/>
      <c r="F78" s="166"/>
      <c r="G78" s="166"/>
    </row>
    <row r="79" spans="1:7" ht="15">
      <c r="A79" s="164" t="s">
        <v>680</v>
      </c>
      <c r="B79" s="165" t="s">
        <v>681</v>
      </c>
      <c r="C79" s="222"/>
      <c r="D79" s="239"/>
      <c r="E79" s="239"/>
      <c r="F79" s="166">
        <v>200000</v>
      </c>
      <c r="G79" s="166"/>
    </row>
    <row r="80" spans="1:7" ht="15">
      <c r="A80" s="164" t="s">
        <v>682</v>
      </c>
      <c r="B80" s="165" t="s">
        <v>683</v>
      </c>
      <c r="C80" s="222"/>
      <c r="D80" s="239"/>
      <c r="E80" s="239"/>
      <c r="F80" s="166"/>
      <c r="G80" s="166"/>
    </row>
    <row r="81" spans="1:7" ht="26.25">
      <c r="A81" s="161" t="s">
        <v>684</v>
      </c>
      <c r="B81" s="162" t="s">
        <v>685</v>
      </c>
      <c r="C81" s="221">
        <f>C82+C109+C141</f>
        <v>1164521024.31</v>
      </c>
      <c r="D81" s="238">
        <f>D82+D109+D141</f>
        <v>1293761395.62</v>
      </c>
      <c r="E81" s="238">
        <f>E82+E109+E141</f>
        <v>1293207720.4</v>
      </c>
      <c r="F81" s="163">
        <f>F82+F109+F141</f>
        <v>1225463332.29</v>
      </c>
      <c r="G81" s="163">
        <f>G82+G109+G141</f>
        <v>863143713.49</v>
      </c>
    </row>
    <row r="82" spans="1:7" ht="15">
      <c r="A82" s="161" t="s">
        <v>686</v>
      </c>
      <c r="B82" s="162" t="s">
        <v>562</v>
      </c>
      <c r="C82" s="221">
        <f>C83+C93+C98</f>
        <v>693181981.5</v>
      </c>
      <c r="D82" s="238">
        <f>D83+D93+D98</f>
        <v>806828214</v>
      </c>
      <c r="E82" s="238">
        <f>E83+E93+E98</f>
        <v>819187005</v>
      </c>
      <c r="F82" s="163">
        <f>F83+F93+F98</f>
        <v>685050625</v>
      </c>
      <c r="G82" s="163">
        <f>G83+G93+G98</f>
        <v>496995239</v>
      </c>
    </row>
    <row r="83" spans="1:7" ht="15" customHeight="1">
      <c r="A83" s="161" t="s">
        <v>687</v>
      </c>
      <c r="B83" s="162" t="s">
        <v>564</v>
      </c>
      <c r="C83" s="221">
        <f>SUM(C84:C92)</f>
        <v>487028784.5</v>
      </c>
      <c r="D83" s="238">
        <f>SUM(D84:D92)</f>
        <v>533617045</v>
      </c>
      <c r="E83" s="238">
        <f>SUM(E84:E92)</f>
        <v>566721076</v>
      </c>
      <c r="F83" s="163">
        <f>SUM(F84:F92)</f>
        <v>497123249</v>
      </c>
      <c r="G83" s="163">
        <f>SUM(G84:G92)</f>
        <v>354451473</v>
      </c>
    </row>
    <row r="84" spans="1:7" ht="15">
      <c r="A84" s="164" t="s">
        <v>688</v>
      </c>
      <c r="B84" s="165" t="s">
        <v>689</v>
      </c>
      <c r="C84" s="222">
        <v>391090910</v>
      </c>
      <c r="D84" s="239">
        <v>418800194</v>
      </c>
      <c r="E84" s="239">
        <v>428980111</v>
      </c>
      <c r="F84" s="166">
        <v>377474476</v>
      </c>
      <c r="G84" s="166">
        <v>298816246</v>
      </c>
    </row>
    <row r="85" spans="1:7" ht="15">
      <c r="A85" s="164" t="s">
        <v>690</v>
      </c>
      <c r="B85" s="165" t="s">
        <v>568</v>
      </c>
      <c r="C85" s="222"/>
      <c r="D85" s="239">
        <v>705883</v>
      </c>
      <c r="E85" s="239">
        <v>2736491</v>
      </c>
      <c r="F85" s="166">
        <v>2414789</v>
      </c>
      <c r="G85" s="166">
        <v>814495</v>
      </c>
    </row>
    <row r="86" spans="1:7" ht="15">
      <c r="A86" s="164" t="s">
        <v>691</v>
      </c>
      <c r="B86" s="165" t="s">
        <v>692</v>
      </c>
      <c r="C86" s="222">
        <v>13739580</v>
      </c>
      <c r="D86" s="239">
        <v>19361823</v>
      </c>
      <c r="E86" s="239">
        <v>20846880</v>
      </c>
      <c r="F86" s="166">
        <v>21263824</v>
      </c>
      <c r="G86" s="166">
        <v>14625259</v>
      </c>
    </row>
    <row r="87" spans="1:7" ht="15">
      <c r="A87" s="164" t="s">
        <v>693</v>
      </c>
      <c r="B87" s="165" t="s">
        <v>570</v>
      </c>
      <c r="C87" s="222">
        <v>36142303</v>
      </c>
      <c r="D87" s="239">
        <v>37391317</v>
      </c>
      <c r="E87" s="239">
        <v>39079252</v>
      </c>
      <c r="F87" s="166">
        <v>35557109</v>
      </c>
      <c r="G87" s="166">
        <v>150218</v>
      </c>
    </row>
    <row r="88" spans="1:7" ht="15">
      <c r="A88" s="164" t="s">
        <v>694</v>
      </c>
      <c r="B88" s="165" t="s">
        <v>572</v>
      </c>
      <c r="C88" s="222">
        <v>16537320</v>
      </c>
      <c r="D88" s="239">
        <v>17421344</v>
      </c>
      <c r="E88" s="239">
        <v>19472368</v>
      </c>
      <c r="F88" s="166">
        <v>15123656</v>
      </c>
      <c r="G88" s="166">
        <v>16285095</v>
      </c>
    </row>
    <row r="89" spans="1:7" ht="15">
      <c r="A89" s="164" t="s">
        <v>695</v>
      </c>
      <c r="B89" s="165" t="s">
        <v>574</v>
      </c>
      <c r="C89" s="222">
        <v>17265132.5</v>
      </c>
      <c r="D89" s="239">
        <v>13254281</v>
      </c>
      <c r="E89" s="239">
        <v>21701443</v>
      </c>
      <c r="F89" s="166">
        <v>18747877</v>
      </c>
      <c r="G89" s="166">
        <v>6625697</v>
      </c>
    </row>
    <row r="90" spans="1:7" ht="15">
      <c r="A90" s="164" t="s">
        <v>696</v>
      </c>
      <c r="B90" s="165" t="s">
        <v>642</v>
      </c>
      <c r="C90" s="222"/>
      <c r="D90" s="239">
        <v>8735180</v>
      </c>
      <c r="E90" s="239">
        <v>7874532</v>
      </c>
      <c r="F90" s="166">
        <v>5986708</v>
      </c>
      <c r="G90" s="166">
        <v>4899875</v>
      </c>
    </row>
    <row r="91" spans="1:7" ht="15">
      <c r="A91" s="164" t="s">
        <v>697</v>
      </c>
      <c r="B91" s="165" t="s">
        <v>578</v>
      </c>
      <c r="C91" s="222">
        <v>8564875</v>
      </c>
      <c r="D91" s="239">
        <v>9528333</v>
      </c>
      <c r="E91" s="239">
        <v>9620438</v>
      </c>
      <c r="F91" s="166">
        <v>8318900</v>
      </c>
      <c r="G91" s="166">
        <v>6771280</v>
      </c>
    </row>
    <row r="92" spans="1:7" ht="15">
      <c r="A92" s="164" t="s">
        <v>698</v>
      </c>
      <c r="B92" s="165" t="s">
        <v>580</v>
      </c>
      <c r="C92" s="222">
        <v>3688664</v>
      </c>
      <c r="D92" s="239">
        <v>8418690</v>
      </c>
      <c r="E92" s="239">
        <v>16409561</v>
      </c>
      <c r="F92" s="166">
        <v>12235910</v>
      </c>
      <c r="G92" s="166">
        <v>5463308</v>
      </c>
    </row>
    <row r="93" spans="1:7" ht="15">
      <c r="A93" s="161" t="s">
        <v>699</v>
      </c>
      <c r="B93" s="162" t="s">
        <v>582</v>
      </c>
      <c r="C93" s="221">
        <f>SUM(C94:C97)</f>
        <v>43313364</v>
      </c>
      <c r="D93" s="238">
        <f>SUM(D94:D97)</f>
        <v>80910327</v>
      </c>
      <c r="E93" s="238">
        <f>SUM(E94:E97)</f>
        <v>62857272</v>
      </c>
      <c r="F93" s="163">
        <f>SUM(F94:F97)</f>
        <v>24687580</v>
      </c>
      <c r="G93" s="163">
        <f>SUM(G94:G97)</f>
        <v>31100000</v>
      </c>
    </row>
    <row r="94" spans="1:7" ht="15">
      <c r="A94" s="164" t="s">
        <v>700</v>
      </c>
      <c r="B94" s="165" t="s">
        <v>651</v>
      </c>
      <c r="C94" s="222">
        <v>27703333</v>
      </c>
      <c r="D94" s="239">
        <v>69276500</v>
      </c>
      <c r="E94" s="239">
        <f>47000000-3000000</f>
        <v>44000000</v>
      </c>
      <c r="F94" s="166">
        <f>16725000-120000-675000</f>
        <v>15930000</v>
      </c>
      <c r="G94" s="166">
        <f>50500000-20700000-2200000</f>
        <v>27600000</v>
      </c>
    </row>
    <row r="95" spans="1:7" ht="15">
      <c r="A95" s="164" t="s">
        <v>701</v>
      </c>
      <c r="B95" s="165" t="s">
        <v>702</v>
      </c>
      <c r="C95" s="222"/>
      <c r="D95" s="239"/>
      <c r="E95" s="239">
        <v>16757272</v>
      </c>
      <c r="F95" s="166">
        <f>17857580-14000000</f>
        <v>3857580</v>
      </c>
      <c r="G95" s="166">
        <v>3500000</v>
      </c>
    </row>
    <row r="96" spans="1:7" ht="15">
      <c r="A96" s="164" t="s">
        <v>703</v>
      </c>
      <c r="B96" s="165" t="s">
        <v>704</v>
      </c>
      <c r="C96" s="222"/>
      <c r="D96" s="239"/>
      <c r="E96" s="239"/>
      <c r="F96" s="166"/>
      <c r="G96" s="166"/>
    </row>
    <row r="97" spans="1:7" ht="15">
      <c r="A97" s="164" t="s">
        <v>705</v>
      </c>
      <c r="B97" s="165" t="s">
        <v>653</v>
      </c>
      <c r="C97" s="222">
        <v>15610031</v>
      </c>
      <c r="D97" s="239">
        <v>11633827</v>
      </c>
      <c r="E97" s="239">
        <v>2100000</v>
      </c>
      <c r="F97" s="166">
        <v>4900000</v>
      </c>
      <c r="G97" s="166"/>
    </row>
    <row r="98" spans="1:7" ht="15">
      <c r="A98" s="161" t="s">
        <v>706</v>
      </c>
      <c r="B98" s="162" t="s">
        <v>586</v>
      </c>
      <c r="C98" s="221">
        <f>SUM(C99:C108)</f>
        <v>162839833</v>
      </c>
      <c r="D98" s="238">
        <f>SUM(D99:D108)</f>
        <v>192300842</v>
      </c>
      <c r="E98" s="238">
        <f>SUM(E99:E108)</f>
        <v>189608657</v>
      </c>
      <c r="F98" s="163">
        <f>SUM(F99:F108)</f>
        <v>163239796</v>
      </c>
      <c r="G98" s="163">
        <f>SUM(G99:G108)</f>
        <v>111443766</v>
      </c>
    </row>
    <row r="99" spans="1:7" ht="15">
      <c r="A99" s="164" t="s">
        <v>707</v>
      </c>
      <c r="B99" s="165" t="s">
        <v>588</v>
      </c>
      <c r="C99" s="222">
        <v>16661971</v>
      </c>
      <c r="D99" s="239">
        <v>20034294</v>
      </c>
      <c r="E99" s="239">
        <v>19614760</v>
      </c>
      <c r="F99" s="166">
        <v>16867350</v>
      </c>
      <c r="G99" s="166">
        <v>12833432</v>
      </c>
    </row>
    <row r="100" spans="1:7" ht="15">
      <c r="A100" s="164" t="s">
        <v>708</v>
      </c>
      <c r="B100" s="165" t="s">
        <v>709</v>
      </c>
      <c r="C100" s="222"/>
      <c r="D100" s="239"/>
      <c r="E100" s="239">
        <v>6010697</v>
      </c>
      <c r="F100" s="166">
        <v>6502988</v>
      </c>
      <c r="G100" s="166">
        <v>6462422</v>
      </c>
    </row>
    <row r="101" spans="1:7" ht="15">
      <c r="A101" s="164" t="s">
        <v>710</v>
      </c>
      <c r="B101" s="165" t="s">
        <v>590</v>
      </c>
      <c r="C101" s="222">
        <v>33830139</v>
      </c>
      <c r="D101" s="239">
        <v>40657141</v>
      </c>
      <c r="E101" s="239">
        <v>38013336</v>
      </c>
      <c r="F101" s="166">
        <v>32629356</v>
      </c>
      <c r="G101" s="166">
        <v>25425524</v>
      </c>
    </row>
    <row r="102" spans="1:7" ht="15">
      <c r="A102" s="164" t="s">
        <v>711</v>
      </c>
      <c r="B102" s="165" t="s">
        <v>592</v>
      </c>
      <c r="C102" s="222">
        <v>46004206</v>
      </c>
      <c r="D102" s="239">
        <v>50398008</v>
      </c>
      <c r="E102" s="239">
        <v>51411729</v>
      </c>
      <c r="F102" s="166">
        <v>43105606</v>
      </c>
      <c r="G102" s="166">
        <v>35892474</v>
      </c>
    </row>
    <row r="103" spans="1:7" ht="15">
      <c r="A103" s="164" t="s">
        <v>712</v>
      </c>
      <c r="B103" s="165" t="s">
        <v>594</v>
      </c>
      <c r="C103" s="222">
        <v>43439508</v>
      </c>
      <c r="D103" s="239">
        <v>46175243</v>
      </c>
      <c r="E103" s="239">
        <v>47707785</v>
      </c>
      <c r="F103" s="166">
        <v>41049496</v>
      </c>
      <c r="G103" s="166">
        <v>13226514</v>
      </c>
    </row>
    <row r="104" spans="1:7" ht="15">
      <c r="A104" s="164" t="s">
        <v>713</v>
      </c>
      <c r="B104" s="165" t="s">
        <v>596</v>
      </c>
      <c r="C104" s="222">
        <v>12496666</v>
      </c>
      <c r="D104" s="239">
        <v>22674576</v>
      </c>
      <c r="E104" s="239">
        <v>14711070</v>
      </c>
      <c r="F104" s="166">
        <v>12650520</v>
      </c>
      <c r="G104" s="166">
        <v>9625080</v>
      </c>
    </row>
    <row r="105" spans="1:7" ht="15">
      <c r="A105" s="164" t="s">
        <v>714</v>
      </c>
      <c r="B105" s="165" t="s">
        <v>598</v>
      </c>
      <c r="C105" s="222">
        <v>4165605</v>
      </c>
      <c r="D105" s="239">
        <v>5006490</v>
      </c>
      <c r="E105" s="239">
        <v>4903690</v>
      </c>
      <c r="F105" s="166">
        <v>4216840</v>
      </c>
      <c r="G105" s="166">
        <v>3208360</v>
      </c>
    </row>
    <row r="106" spans="1:7" ht="15">
      <c r="A106" s="164" t="s">
        <v>715</v>
      </c>
      <c r="B106" s="165" t="s">
        <v>600</v>
      </c>
      <c r="C106" s="222">
        <v>2082878</v>
      </c>
      <c r="D106" s="239">
        <v>2503245</v>
      </c>
      <c r="E106" s="239">
        <v>2451845</v>
      </c>
      <c r="F106" s="166">
        <v>2108420</v>
      </c>
      <c r="G106" s="166">
        <v>1604180</v>
      </c>
    </row>
    <row r="107" spans="1:7" ht="15">
      <c r="A107" s="164" t="s">
        <v>716</v>
      </c>
      <c r="B107" s="165" t="s">
        <v>602</v>
      </c>
      <c r="C107" s="222">
        <v>2082878</v>
      </c>
      <c r="D107" s="239">
        <v>2503245</v>
      </c>
      <c r="E107" s="239">
        <v>2451845</v>
      </c>
      <c r="F107" s="166">
        <v>2108420</v>
      </c>
      <c r="G107" s="166">
        <v>1604180</v>
      </c>
    </row>
    <row r="108" spans="1:7" ht="15">
      <c r="A108" s="164" t="s">
        <v>717</v>
      </c>
      <c r="B108" s="165" t="s">
        <v>604</v>
      </c>
      <c r="C108" s="222">
        <v>2075982</v>
      </c>
      <c r="D108" s="239">
        <v>2348600</v>
      </c>
      <c r="E108" s="239">
        <v>2331900</v>
      </c>
      <c r="F108" s="166">
        <v>2000800</v>
      </c>
      <c r="G108" s="166">
        <v>1561600</v>
      </c>
    </row>
    <row r="109" spans="1:7" ht="15">
      <c r="A109" s="161" t="s">
        <v>718</v>
      </c>
      <c r="B109" s="162" t="s">
        <v>606</v>
      </c>
      <c r="C109" s="221">
        <f>C110+C116</f>
        <v>432446075.33</v>
      </c>
      <c r="D109" s="238">
        <f>D110+D116</f>
        <v>433093912.05</v>
      </c>
      <c r="E109" s="238">
        <f>E110+E116</f>
        <v>437760929.40000004</v>
      </c>
      <c r="F109" s="163">
        <f>F110+F116</f>
        <v>516543378.29</v>
      </c>
      <c r="G109" s="163">
        <f>G110+G116</f>
        <v>346829280.49</v>
      </c>
    </row>
    <row r="110" spans="1:7" ht="15">
      <c r="A110" s="161" t="s">
        <v>719</v>
      </c>
      <c r="B110" s="162" t="s">
        <v>608</v>
      </c>
      <c r="C110" s="221">
        <f>SUM(C111:C115)</f>
        <v>138187167</v>
      </c>
      <c r="D110" s="238">
        <f>SUM(D111:D115)</f>
        <v>108591695</v>
      </c>
      <c r="E110" s="238">
        <f>SUM(E111:E115)</f>
        <v>79479785</v>
      </c>
      <c r="F110" s="163">
        <f>SUM(F111:F115)</f>
        <v>179151540.36</v>
      </c>
      <c r="G110" s="163">
        <f>SUM(G111:G115)</f>
        <v>88297556</v>
      </c>
    </row>
    <row r="111" spans="1:7" ht="15">
      <c r="A111" s="164" t="s">
        <v>720</v>
      </c>
      <c r="B111" s="165" t="s">
        <v>610</v>
      </c>
      <c r="C111" s="222">
        <v>62854089</v>
      </c>
      <c r="D111" s="239">
        <v>37565779</v>
      </c>
      <c r="E111" s="239">
        <v>36262452</v>
      </c>
      <c r="F111" s="166">
        <v>37319682</v>
      </c>
      <c r="G111" s="166">
        <v>41339101</v>
      </c>
    </row>
    <row r="112" spans="1:7" ht="15">
      <c r="A112" s="164" t="s">
        <v>721</v>
      </c>
      <c r="B112" s="165" t="s">
        <v>722</v>
      </c>
      <c r="C112" s="222">
        <v>61863078</v>
      </c>
      <c r="D112" s="239">
        <f>56277800-1400000</f>
        <v>54877800</v>
      </c>
      <c r="E112" s="239">
        <v>35565333</v>
      </c>
      <c r="F112" s="166">
        <f>38058108-8693.64</f>
        <v>38049414.36</v>
      </c>
      <c r="G112" s="166">
        <v>38814455</v>
      </c>
    </row>
    <row r="113" spans="1:7" ht="15">
      <c r="A113" s="164" t="s">
        <v>723</v>
      </c>
      <c r="B113" s="165" t="s">
        <v>612</v>
      </c>
      <c r="C113" s="222">
        <v>13470000</v>
      </c>
      <c r="D113" s="239">
        <v>9735616</v>
      </c>
      <c r="E113" s="239">
        <v>7652000</v>
      </c>
      <c r="F113" s="166">
        <v>20076444</v>
      </c>
      <c r="G113" s="166">
        <f>18144000-10000000</f>
        <v>8144000</v>
      </c>
    </row>
    <row r="114" spans="1:7" ht="15">
      <c r="A114" s="164" t="s">
        <v>724</v>
      </c>
      <c r="B114" s="165" t="s">
        <v>614</v>
      </c>
      <c r="C114" s="222"/>
      <c r="D114" s="239">
        <v>6412500</v>
      </c>
      <c r="E114" s="239"/>
      <c r="F114" s="166">
        <v>23706000</v>
      </c>
      <c r="G114" s="166"/>
    </row>
    <row r="115" spans="1:7" ht="15">
      <c r="A115" s="164" t="s">
        <v>1220</v>
      </c>
      <c r="B115" s="171" t="s">
        <v>1221</v>
      </c>
      <c r="C115" s="222">
        <v>0</v>
      </c>
      <c r="D115" s="239"/>
      <c r="E115" s="239"/>
      <c r="F115" s="166">
        <v>60000000</v>
      </c>
      <c r="G115" s="166"/>
    </row>
    <row r="116" spans="1:7" ht="15">
      <c r="A116" s="161" t="s">
        <v>725</v>
      </c>
      <c r="B116" s="162" t="s">
        <v>616</v>
      </c>
      <c r="C116" s="221">
        <f>SUM(C117:C140)</f>
        <v>294258908.33</v>
      </c>
      <c r="D116" s="238">
        <f>SUM(D117:D140)</f>
        <v>324502217.05</v>
      </c>
      <c r="E116" s="238">
        <f>SUM(E117:E140)</f>
        <v>358281144.40000004</v>
      </c>
      <c r="F116" s="163">
        <f>SUM(F117:F140)</f>
        <v>337391837.93</v>
      </c>
      <c r="G116" s="163">
        <f>SUM(G117:G140)</f>
        <v>258531724.49</v>
      </c>
    </row>
    <row r="117" spans="1:7" ht="15">
      <c r="A117" s="164" t="s">
        <v>726</v>
      </c>
      <c r="B117" s="165" t="s">
        <v>727</v>
      </c>
      <c r="C117" s="222">
        <v>39788778</v>
      </c>
      <c r="D117" s="239">
        <v>50719963</v>
      </c>
      <c r="E117" s="239">
        <v>40014800</v>
      </c>
      <c r="F117" s="166">
        <v>41528917</v>
      </c>
      <c r="G117" s="166">
        <v>38415488</v>
      </c>
    </row>
    <row r="118" spans="1:7" ht="15">
      <c r="A118" s="164" t="s">
        <v>728</v>
      </c>
      <c r="B118" s="170" t="s">
        <v>676</v>
      </c>
      <c r="C118" s="223">
        <v>76416473.81</v>
      </c>
      <c r="D118" s="240">
        <v>85542718.09</v>
      </c>
      <c r="E118" s="240">
        <f>103705521-1637415</f>
        <v>102068106</v>
      </c>
      <c r="F118" s="168">
        <f>98149084.89-201.89-18536401.89</f>
        <v>79612481.11</v>
      </c>
      <c r="G118" s="168">
        <f>62747209.53-13531266</f>
        <v>49215943.53</v>
      </c>
    </row>
    <row r="119" spans="1:7" ht="15">
      <c r="A119" s="164" t="s">
        <v>729</v>
      </c>
      <c r="B119" s="165" t="s">
        <v>730</v>
      </c>
      <c r="C119" s="222"/>
      <c r="D119" s="239"/>
      <c r="E119" s="239">
        <v>4974545</v>
      </c>
      <c r="F119" s="166">
        <v>4974545</v>
      </c>
      <c r="G119" s="166">
        <f>10862958.62-4974545</f>
        <v>5888413.619999999</v>
      </c>
    </row>
    <row r="120" spans="1:7" ht="15">
      <c r="A120" s="164" t="s">
        <v>731</v>
      </c>
      <c r="B120" s="171" t="s">
        <v>732</v>
      </c>
      <c r="C120" s="222"/>
      <c r="D120" s="239"/>
      <c r="E120" s="239"/>
      <c r="F120" s="166"/>
      <c r="G120" s="166"/>
    </row>
    <row r="121" spans="1:7" ht="15">
      <c r="A121" s="164" t="s">
        <v>733</v>
      </c>
      <c r="B121" s="165" t="s">
        <v>734</v>
      </c>
      <c r="C121" s="222">
        <v>6731000</v>
      </c>
      <c r="D121" s="239">
        <v>4052000</v>
      </c>
      <c r="E121" s="239">
        <v>120000</v>
      </c>
      <c r="F121" s="166"/>
      <c r="G121" s="166">
        <v>9537000</v>
      </c>
    </row>
    <row r="122" spans="1:7" ht="15">
      <c r="A122" s="164" t="s">
        <v>735</v>
      </c>
      <c r="B122" s="165" t="s">
        <v>624</v>
      </c>
      <c r="C122" s="223">
        <v>121802238.52</v>
      </c>
      <c r="D122" s="240">
        <v>139680158</v>
      </c>
      <c r="E122" s="240">
        <v>179169762</v>
      </c>
      <c r="F122" s="168">
        <v>156841171.55</v>
      </c>
      <c r="G122" s="168">
        <v>121074029.64</v>
      </c>
    </row>
    <row r="123" spans="1:7" ht="15">
      <c r="A123" s="164" t="s">
        <v>736</v>
      </c>
      <c r="B123" s="170" t="s">
        <v>737</v>
      </c>
      <c r="C123" s="222">
        <v>2635700</v>
      </c>
      <c r="D123" s="239">
        <v>5515444</v>
      </c>
      <c r="E123" s="239">
        <v>7337180</v>
      </c>
      <c r="F123" s="166">
        <v>12426415</v>
      </c>
      <c r="G123" s="166">
        <v>1902777</v>
      </c>
    </row>
    <row r="124" spans="1:7" ht="15">
      <c r="A124" s="164" t="s">
        <v>738</v>
      </c>
      <c r="B124" s="165" t="s">
        <v>626</v>
      </c>
      <c r="C124" s="222">
        <v>4947950</v>
      </c>
      <c r="D124" s="239">
        <v>2772130</v>
      </c>
      <c r="E124" s="239">
        <v>3895302</v>
      </c>
      <c r="F124" s="166">
        <v>3117387</v>
      </c>
      <c r="G124" s="166">
        <v>4586549</v>
      </c>
    </row>
    <row r="125" spans="1:7" ht="15">
      <c r="A125" s="164" t="s">
        <v>739</v>
      </c>
      <c r="B125" s="165" t="s">
        <v>740</v>
      </c>
      <c r="C125" s="222"/>
      <c r="D125" s="239">
        <v>4991782</v>
      </c>
      <c r="E125" s="239"/>
      <c r="F125" s="166"/>
      <c r="G125" s="166">
        <v>1000000</v>
      </c>
    </row>
    <row r="126" spans="1:7" ht="15">
      <c r="A126" s="164" t="s">
        <v>741</v>
      </c>
      <c r="B126" s="165" t="s">
        <v>742</v>
      </c>
      <c r="C126" s="222">
        <v>12000000</v>
      </c>
      <c r="D126" s="239">
        <f>9902330-21</f>
        <v>9902309</v>
      </c>
      <c r="E126" s="239">
        <v>11000000</v>
      </c>
      <c r="F126" s="166">
        <v>9000000</v>
      </c>
      <c r="G126" s="166">
        <v>400000</v>
      </c>
    </row>
    <row r="127" spans="1:7" ht="15">
      <c r="A127" s="164" t="s">
        <v>743</v>
      </c>
      <c r="B127" s="165" t="s">
        <v>630</v>
      </c>
      <c r="C127" s="222">
        <v>17100000</v>
      </c>
      <c r="D127" s="239">
        <v>13614640</v>
      </c>
      <c r="E127" s="239">
        <f>18066880-0.4-10000000</f>
        <v>8066879.6000000015</v>
      </c>
      <c r="F127" s="166">
        <f>17438578-800000</f>
        <v>16638578</v>
      </c>
      <c r="G127" s="166">
        <v>21241460</v>
      </c>
    </row>
    <row r="128" spans="1:7" ht="15">
      <c r="A128" s="164" t="s">
        <v>744</v>
      </c>
      <c r="B128" s="165" t="s">
        <v>745</v>
      </c>
      <c r="C128" s="222"/>
      <c r="D128" s="239"/>
      <c r="E128" s="239"/>
      <c r="F128" s="166"/>
      <c r="G128" s="166"/>
    </row>
    <row r="129" spans="1:7" ht="15">
      <c r="A129" s="164" t="s">
        <v>746</v>
      </c>
      <c r="B129" s="165" t="s">
        <v>747</v>
      </c>
      <c r="C129" s="222">
        <v>870000</v>
      </c>
      <c r="D129" s="239"/>
      <c r="E129" s="239"/>
      <c r="F129" s="166">
        <v>840000</v>
      </c>
      <c r="G129" s="166">
        <v>600000</v>
      </c>
    </row>
    <row r="130" spans="1:7" ht="15">
      <c r="A130" s="164" t="s">
        <v>748</v>
      </c>
      <c r="B130" s="165" t="s">
        <v>749</v>
      </c>
      <c r="C130" s="222"/>
      <c r="D130" s="239"/>
      <c r="E130" s="239"/>
      <c r="F130" s="166"/>
      <c r="G130" s="166"/>
    </row>
    <row r="131" spans="1:7" ht="15">
      <c r="A131" s="164" t="s">
        <v>750</v>
      </c>
      <c r="B131" s="165" t="s">
        <v>751</v>
      </c>
      <c r="C131" s="222">
        <v>700000</v>
      </c>
      <c r="D131" s="239">
        <v>400000</v>
      </c>
      <c r="E131" s="239"/>
      <c r="F131" s="166">
        <v>7894027</v>
      </c>
      <c r="G131" s="166"/>
    </row>
    <row r="132" spans="1:7" ht="15">
      <c r="A132" s="164" t="s">
        <v>752</v>
      </c>
      <c r="B132" s="165" t="s">
        <v>753</v>
      </c>
      <c r="C132" s="222">
        <v>1765988</v>
      </c>
      <c r="D132" s="239"/>
      <c r="E132" s="239">
        <v>198000</v>
      </c>
      <c r="F132" s="166">
        <v>3945624</v>
      </c>
      <c r="G132" s="166">
        <v>3000000</v>
      </c>
    </row>
    <row r="133" spans="1:7" ht="15">
      <c r="A133" s="164" t="s">
        <v>754</v>
      </c>
      <c r="B133" s="165" t="s">
        <v>755</v>
      </c>
      <c r="C133" s="222">
        <v>3300000</v>
      </c>
      <c r="D133" s="239"/>
      <c r="E133" s="239"/>
      <c r="F133" s="166"/>
      <c r="G133" s="166">
        <v>300000</v>
      </c>
    </row>
    <row r="134" spans="1:7" ht="26.25">
      <c r="A134" s="164" t="s">
        <v>756</v>
      </c>
      <c r="B134" s="165" t="s">
        <v>757</v>
      </c>
      <c r="C134" s="222"/>
      <c r="D134" s="239">
        <v>6266628.96</v>
      </c>
      <c r="E134" s="239">
        <v>956231</v>
      </c>
      <c r="F134" s="166"/>
      <c r="G134" s="166"/>
    </row>
    <row r="135" spans="1:7" ht="26.25">
      <c r="A135" s="164" t="s">
        <v>758</v>
      </c>
      <c r="B135" s="165" t="s">
        <v>759</v>
      </c>
      <c r="C135" s="222">
        <v>6200780</v>
      </c>
      <c r="D135" s="239"/>
      <c r="E135" s="239"/>
      <c r="F135" s="166"/>
      <c r="G135" s="166">
        <v>300000</v>
      </c>
    </row>
    <row r="136" spans="1:7" ht="15">
      <c r="A136" s="164" t="s">
        <v>760</v>
      </c>
      <c r="B136" s="165" t="s">
        <v>761</v>
      </c>
      <c r="C136" s="222"/>
      <c r="D136" s="239"/>
      <c r="E136" s="239"/>
      <c r="F136" s="166"/>
      <c r="G136" s="166"/>
    </row>
    <row r="137" spans="1:7" ht="15">
      <c r="A137" s="164" t="s">
        <v>762</v>
      </c>
      <c r="B137" s="165" t="s">
        <v>763</v>
      </c>
      <c r="C137" s="222"/>
      <c r="D137" s="239">
        <v>351350</v>
      </c>
      <c r="E137" s="239">
        <v>480338.8</v>
      </c>
      <c r="F137" s="166">
        <v>572692.27</v>
      </c>
      <c r="G137" s="166">
        <v>450303.7</v>
      </c>
    </row>
    <row r="138" spans="1:7" ht="15">
      <c r="A138" s="164" t="s">
        <v>760</v>
      </c>
      <c r="B138" s="165" t="s">
        <v>1413</v>
      </c>
      <c r="C138" s="222"/>
      <c r="D138" s="239">
        <v>693094</v>
      </c>
      <c r="E138" s="239"/>
      <c r="F138" s="166"/>
      <c r="G138" s="166"/>
    </row>
    <row r="139" spans="1:7" ht="15">
      <c r="A139" s="164" t="s">
        <v>1222</v>
      </c>
      <c r="B139" s="171" t="s">
        <v>1223</v>
      </c>
      <c r="C139" s="222"/>
      <c r="D139" s="239"/>
      <c r="E139" s="239"/>
      <c r="F139" s="166"/>
      <c r="G139" s="166">
        <v>619760</v>
      </c>
    </row>
    <row r="140" spans="1:7" ht="15">
      <c r="A140" s="164" t="s">
        <v>1224</v>
      </c>
      <c r="B140" s="165" t="s">
        <v>1225</v>
      </c>
      <c r="C140" s="222"/>
      <c r="D140" s="239"/>
      <c r="E140" s="239"/>
      <c r="F140" s="166"/>
      <c r="G140" s="166"/>
    </row>
    <row r="141" spans="1:7" ht="15">
      <c r="A141" s="161" t="s">
        <v>764</v>
      </c>
      <c r="B141" s="162" t="s">
        <v>238</v>
      </c>
      <c r="C141" s="221">
        <f>SUM(C142:C151)</f>
        <v>38892967.480000004</v>
      </c>
      <c r="D141" s="238">
        <f>SUM(D142:D151)</f>
        <v>53839269.57</v>
      </c>
      <c r="E141" s="238">
        <f>SUM(E142:E151)</f>
        <v>36259786</v>
      </c>
      <c r="F141" s="163">
        <f>SUM(F142:F151)</f>
        <v>23869329</v>
      </c>
      <c r="G141" s="163">
        <f>SUM(G142:G151)</f>
        <v>19319194</v>
      </c>
    </row>
    <row r="142" spans="1:7" ht="15">
      <c r="A142" s="164" t="s">
        <v>765</v>
      </c>
      <c r="B142" s="165" t="s">
        <v>766</v>
      </c>
      <c r="C142" s="222">
        <v>19263712</v>
      </c>
      <c r="D142" s="239">
        <v>13475488</v>
      </c>
      <c r="E142" s="239">
        <v>15544576</v>
      </c>
      <c r="F142" s="166">
        <v>15910000</v>
      </c>
      <c r="G142" s="166">
        <v>11704000</v>
      </c>
    </row>
    <row r="143" spans="1:7" ht="15">
      <c r="A143" s="164" t="s">
        <v>767</v>
      </c>
      <c r="B143" s="165" t="s">
        <v>768</v>
      </c>
      <c r="C143" s="222">
        <v>2530421.48</v>
      </c>
      <c r="D143" s="239">
        <v>20696542.57</v>
      </c>
      <c r="E143" s="239">
        <v>374073</v>
      </c>
      <c r="F143" s="166">
        <v>2649</v>
      </c>
      <c r="G143" s="166"/>
    </row>
    <row r="144" spans="1:7" ht="15">
      <c r="A144" s="164" t="s">
        <v>769</v>
      </c>
      <c r="B144" s="165" t="s">
        <v>770</v>
      </c>
      <c r="C144" s="222">
        <v>1224000</v>
      </c>
      <c r="D144" s="239">
        <v>2385350</v>
      </c>
      <c r="E144" s="239">
        <v>2538250</v>
      </c>
      <c r="F144" s="166">
        <v>2732950</v>
      </c>
      <c r="G144" s="166">
        <v>2832500</v>
      </c>
    </row>
    <row r="145" spans="1:7" ht="15">
      <c r="A145" s="164" t="s">
        <v>771</v>
      </c>
      <c r="B145" s="165" t="s">
        <v>772</v>
      </c>
      <c r="C145" s="222">
        <v>14097620</v>
      </c>
      <c r="D145" s="239">
        <v>15084453</v>
      </c>
      <c r="E145" s="239">
        <v>15989520</v>
      </c>
      <c r="F145" s="166">
        <v>3997380</v>
      </c>
      <c r="G145" s="166">
        <v>3331150</v>
      </c>
    </row>
    <row r="146" spans="1:7" ht="15">
      <c r="A146" s="164" t="s">
        <v>773</v>
      </c>
      <c r="B146" s="165" t="s">
        <v>774</v>
      </c>
      <c r="C146" s="222">
        <v>1777214</v>
      </c>
      <c r="D146" s="239">
        <v>1604116</v>
      </c>
      <c r="E146" s="239">
        <v>908106</v>
      </c>
      <c r="F146" s="166"/>
      <c r="G146" s="166"/>
    </row>
    <row r="147" spans="1:7" ht="15">
      <c r="A147" s="164" t="s">
        <v>775</v>
      </c>
      <c r="B147" s="165" t="s">
        <v>776</v>
      </c>
      <c r="C147" s="222"/>
      <c r="D147" s="239"/>
      <c r="E147" s="239">
        <v>0</v>
      </c>
      <c r="F147" s="166"/>
      <c r="G147" s="166"/>
    </row>
    <row r="148" spans="1:7" ht="15">
      <c r="A148" s="164" t="s">
        <v>777</v>
      </c>
      <c r="B148" s="165" t="s">
        <v>778</v>
      </c>
      <c r="C148" s="222"/>
      <c r="D148" s="239">
        <v>359588</v>
      </c>
      <c r="E148" s="239">
        <v>548643</v>
      </c>
      <c r="F148" s="166">
        <v>633498</v>
      </c>
      <c r="G148" s="166">
        <v>767072</v>
      </c>
    </row>
    <row r="149" spans="1:7" ht="15">
      <c r="A149" s="164" t="s">
        <v>779</v>
      </c>
      <c r="B149" s="165" t="s">
        <v>780</v>
      </c>
      <c r="C149" s="222"/>
      <c r="D149" s="239">
        <v>233732</v>
      </c>
      <c r="E149" s="239">
        <v>356618</v>
      </c>
      <c r="F149" s="166">
        <v>315694</v>
      </c>
      <c r="G149" s="166">
        <v>265070</v>
      </c>
    </row>
    <row r="150" spans="1:7" ht="15">
      <c r="A150" s="164">
        <v>21030309</v>
      </c>
      <c r="B150" s="165" t="s">
        <v>781</v>
      </c>
      <c r="C150" s="222"/>
      <c r="D150" s="239"/>
      <c r="E150" s="239"/>
      <c r="F150" s="166">
        <v>249323</v>
      </c>
      <c r="G150" s="166">
        <v>385697</v>
      </c>
    </row>
    <row r="151" spans="1:7" ht="15">
      <c r="A151" s="164">
        <v>21030310</v>
      </c>
      <c r="B151" s="165" t="s">
        <v>782</v>
      </c>
      <c r="C151" s="222"/>
      <c r="D151" s="239"/>
      <c r="E151" s="239"/>
      <c r="F151" s="166">
        <v>27835</v>
      </c>
      <c r="G151" s="166">
        <v>33705</v>
      </c>
    </row>
    <row r="152" spans="1:7" ht="26.25">
      <c r="A152" s="161" t="s">
        <v>783</v>
      </c>
      <c r="B152" s="162" t="s">
        <v>784</v>
      </c>
      <c r="C152" s="221">
        <f>C153+C178</f>
        <v>325446936</v>
      </c>
      <c r="D152" s="238">
        <f>D153+D178</f>
        <v>365285571</v>
      </c>
      <c r="E152" s="238">
        <f>E153+E178</f>
        <v>342794161</v>
      </c>
      <c r="F152" s="163">
        <f>F153+F178</f>
        <v>386579271</v>
      </c>
      <c r="G152" s="163">
        <f>G153+G178</f>
        <v>324940261</v>
      </c>
    </row>
    <row r="153" spans="1:7" ht="15">
      <c r="A153" s="161" t="s">
        <v>785</v>
      </c>
      <c r="B153" s="162" t="s">
        <v>786</v>
      </c>
      <c r="C153" s="221">
        <f>C154+C163+C168</f>
        <v>167771192</v>
      </c>
      <c r="D153" s="238">
        <f>D154+D163+D168</f>
        <v>182158233</v>
      </c>
      <c r="E153" s="238">
        <f>E154+E163+E168</f>
        <v>207728588</v>
      </c>
      <c r="F153" s="163">
        <f>F154+F163+F168</f>
        <v>201183031</v>
      </c>
      <c r="G153" s="163">
        <f>G154+G163+G168</f>
        <v>152287891</v>
      </c>
    </row>
    <row r="154" spans="1:7" ht="15">
      <c r="A154" s="161" t="s">
        <v>787</v>
      </c>
      <c r="B154" s="162" t="s">
        <v>562</v>
      </c>
      <c r="C154" s="221">
        <f>SUM(C155:C162)</f>
        <v>120656928</v>
      </c>
      <c r="D154" s="238">
        <f>SUM(D155:D162)</f>
        <v>131284977</v>
      </c>
      <c r="E154" s="238">
        <f>SUM(E155:E162)</f>
        <v>150895541</v>
      </c>
      <c r="F154" s="163">
        <f>SUM(F155:F162)</f>
        <v>145368771</v>
      </c>
      <c r="G154" s="163">
        <f>SUM(G155:G162)</f>
        <v>107500739</v>
      </c>
    </row>
    <row r="155" spans="1:7" ht="15">
      <c r="A155" s="164" t="s">
        <v>788</v>
      </c>
      <c r="B155" s="165" t="s">
        <v>789</v>
      </c>
      <c r="C155" s="222">
        <v>96355337</v>
      </c>
      <c r="D155" s="239">
        <v>102806245</v>
      </c>
      <c r="E155" s="239">
        <v>116157355</v>
      </c>
      <c r="F155" s="166">
        <v>109047060</v>
      </c>
      <c r="G155" s="166">
        <v>85386738</v>
      </c>
    </row>
    <row r="156" spans="1:7" ht="15">
      <c r="A156" s="164" t="s">
        <v>790</v>
      </c>
      <c r="B156" s="165" t="s">
        <v>568</v>
      </c>
      <c r="C156" s="222"/>
      <c r="D156" s="239">
        <v>36109</v>
      </c>
      <c r="E156" s="239">
        <v>684078</v>
      </c>
      <c r="F156" s="166">
        <v>624554</v>
      </c>
      <c r="G156" s="166">
        <v>629166</v>
      </c>
    </row>
    <row r="157" spans="1:7" ht="15">
      <c r="A157" s="164" t="s">
        <v>791</v>
      </c>
      <c r="B157" s="165" t="s">
        <v>570</v>
      </c>
      <c r="C157" s="222">
        <v>9436971</v>
      </c>
      <c r="D157" s="239">
        <v>9596154</v>
      </c>
      <c r="E157" s="239">
        <v>10851476</v>
      </c>
      <c r="F157" s="166">
        <v>10962436</v>
      </c>
      <c r="G157" s="166"/>
    </row>
    <row r="158" spans="1:7" ht="15">
      <c r="A158" s="164" t="s">
        <v>792</v>
      </c>
      <c r="B158" s="165" t="s">
        <v>572</v>
      </c>
      <c r="C158" s="222">
        <v>4355527</v>
      </c>
      <c r="D158" s="239">
        <v>4594416</v>
      </c>
      <c r="E158" s="239">
        <v>4323661</v>
      </c>
      <c r="F158" s="166">
        <v>5057238</v>
      </c>
      <c r="G158" s="166">
        <v>5301455</v>
      </c>
    </row>
    <row r="159" spans="1:7" ht="15">
      <c r="A159" s="164" t="s">
        <v>793</v>
      </c>
      <c r="B159" s="165" t="s">
        <v>574</v>
      </c>
      <c r="C159" s="222">
        <v>4355521</v>
      </c>
      <c r="D159" s="239">
        <v>1257457</v>
      </c>
      <c r="E159" s="239">
        <v>5147619</v>
      </c>
      <c r="F159" s="166">
        <v>5118469</v>
      </c>
      <c r="G159" s="166">
        <v>5278062</v>
      </c>
    </row>
    <row r="160" spans="1:7" ht="15">
      <c r="A160" s="164" t="s">
        <v>794</v>
      </c>
      <c r="B160" s="165" t="s">
        <v>576</v>
      </c>
      <c r="C160" s="222"/>
      <c r="D160" s="239">
        <v>4881793</v>
      </c>
      <c r="E160" s="239">
        <v>5109037</v>
      </c>
      <c r="F160" s="166">
        <v>4717218</v>
      </c>
      <c r="G160" s="166">
        <v>3564191</v>
      </c>
    </row>
    <row r="161" spans="1:7" ht="15">
      <c r="A161" s="164" t="s">
        <v>795</v>
      </c>
      <c r="B161" s="165" t="s">
        <v>578</v>
      </c>
      <c r="C161" s="222">
        <v>6153572</v>
      </c>
      <c r="D161" s="239">
        <v>7153665</v>
      </c>
      <c r="E161" s="239">
        <v>7125880</v>
      </c>
      <c r="F161" s="166">
        <v>7082750</v>
      </c>
      <c r="G161" s="166">
        <v>5329680</v>
      </c>
    </row>
    <row r="162" spans="1:7" ht="15">
      <c r="A162" s="164" t="s">
        <v>796</v>
      </c>
      <c r="B162" s="165" t="s">
        <v>580</v>
      </c>
      <c r="C162" s="222"/>
      <c r="D162" s="239">
        <v>959138</v>
      </c>
      <c r="E162" s="239">
        <v>1496435</v>
      </c>
      <c r="F162" s="166">
        <v>2759046</v>
      </c>
      <c r="G162" s="166">
        <v>2011447</v>
      </c>
    </row>
    <row r="163" spans="1:7" ht="15">
      <c r="A163" s="161" t="s">
        <v>797</v>
      </c>
      <c r="B163" s="162" t="s">
        <v>582</v>
      </c>
      <c r="C163" s="221">
        <f>SUM(C164:C167)</f>
        <v>6451698</v>
      </c>
      <c r="D163" s="238">
        <f>SUM(D164:D167)</f>
        <v>7400000</v>
      </c>
      <c r="E163" s="238">
        <f>SUM(E164:E167)</f>
        <v>7983202</v>
      </c>
      <c r="F163" s="163">
        <f>SUM(F164:F167)</f>
        <v>9548956</v>
      </c>
      <c r="G163" s="163">
        <f>SUM(G164:G167)</f>
        <v>12890000</v>
      </c>
    </row>
    <row r="164" spans="1:7" ht="15">
      <c r="A164" s="164" t="s">
        <v>798</v>
      </c>
      <c r="B164" s="165" t="s">
        <v>651</v>
      </c>
      <c r="C164" s="222"/>
      <c r="D164" s="239"/>
      <c r="E164" s="239"/>
      <c r="F164" s="166">
        <v>7500000</v>
      </c>
      <c r="G164" s="166">
        <f>2500000-2500000</f>
        <v>0</v>
      </c>
    </row>
    <row r="165" spans="1:7" ht="15">
      <c r="A165" s="164" t="s">
        <v>799</v>
      </c>
      <c r="B165" s="165" t="s">
        <v>702</v>
      </c>
      <c r="C165" s="222"/>
      <c r="D165" s="239"/>
      <c r="E165" s="239"/>
      <c r="F165" s="166"/>
      <c r="G165" s="166">
        <f>9000000-1110000</f>
        <v>7890000</v>
      </c>
    </row>
    <row r="166" spans="1:7" ht="15">
      <c r="A166" s="164" t="s">
        <v>800</v>
      </c>
      <c r="B166" s="165" t="s">
        <v>704</v>
      </c>
      <c r="C166" s="222"/>
      <c r="D166" s="239"/>
      <c r="E166" s="239"/>
      <c r="F166" s="166"/>
      <c r="G166" s="166"/>
    </row>
    <row r="167" spans="1:7" ht="15">
      <c r="A167" s="164" t="s">
        <v>801</v>
      </c>
      <c r="B167" s="165" t="s">
        <v>653</v>
      </c>
      <c r="C167" s="222">
        <v>6451698</v>
      </c>
      <c r="D167" s="239">
        <v>7400000</v>
      </c>
      <c r="E167" s="239">
        <v>7983202</v>
      </c>
      <c r="F167" s="166">
        <v>2048956</v>
      </c>
      <c r="G167" s="166">
        <v>5000000</v>
      </c>
    </row>
    <row r="168" spans="1:7" ht="15">
      <c r="A168" s="161" t="s">
        <v>802</v>
      </c>
      <c r="B168" s="162" t="s">
        <v>586</v>
      </c>
      <c r="C168" s="221">
        <f>SUM(C169:C177)</f>
        <v>40662566</v>
      </c>
      <c r="D168" s="238">
        <f>SUM(D169:D177)</f>
        <v>43473256</v>
      </c>
      <c r="E168" s="238">
        <f>SUM(E169:E177)</f>
        <v>48849845</v>
      </c>
      <c r="F168" s="163">
        <f>SUM(F169:F177)</f>
        <v>46265304</v>
      </c>
      <c r="G168" s="163">
        <f>SUM(G169:G177)</f>
        <v>31897152</v>
      </c>
    </row>
    <row r="169" spans="1:7" ht="15">
      <c r="A169" s="164" t="s">
        <v>803</v>
      </c>
      <c r="B169" s="165" t="s">
        <v>588</v>
      </c>
      <c r="C169" s="222">
        <v>4067743</v>
      </c>
      <c r="D169" s="239">
        <v>4455840</v>
      </c>
      <c r="E169" s="239">
        <v>5075840</v>
      </c>
      <c r="F169" s="166">
        <v>4716920</v>
      </c>
      <c r="G169" s="166">
        <v>3838920</v>
      </c>
    </row>
    <row r="170" spans="1:7" ht="15">
      <c r="A170" s="164" t="s">
        <v>804</v>
      </c>
      <c r="B170" s="165" t="s">
        <v>590</v>
      </c>
      <c r="C170" s="222">
        <v>8178648</v>
      </c>
      <c r="D170" s="239">
        <v>8803971</v>
      </c>
      <c r="E170" s="239">
        <v>9806371</v>
      </c>
      <c r="F170" s="166">
        <v>9269024</v>
      </c>
      <c r="G170" s="166">
        <v>7300730</v>
      </c>
    </row>
    <row r="171" spans="1:7" ht="15">
      <c r="A171" s="164" t="s">
        <v>805</v>
      </c>
      <c r="B171" s="165" t="s">
        <v>592</v>
      </c>
      <c r="C171" s="222">
        <v>11369059</v>
      </c>
      <c r="D171" s="239">
        <v>12437871</v>
      </c>
      <c r="E171" s="239">
        <v>13847178</v>
      </c>
      <c r="F171" s="166">
        <v>13083124</v>
      </c>
      <c r="G171" s="166">
        <v>10304530</v>
      </c>
    </row>
    <row r="172" spans="1:7" ht="15">
      <c r="A172" s="164" t="s">
        <v>806</v>
      </c>
      <c r="B172" s="165" t="s">
        <v>594</v>
      </c>
      <c r="C172" s="222">
        <v>11450188</v>
      </c>
      <c r="D172" s="239">
        <v>11663474</v>
      </c>
      <c r="E172" s="239">
        <v>13166456</v>
      </c>
      <c r="F172" s="166">
        <v>12730986</v>
      </c>
      <c r="G172" s="166">
        <v>5208722</v>
      </c>
    </row>
    <row r="173" spans="1:7" ht="15">
      <c r="A173" s="164" t="s">
        <v>807</v>
      </c>
      <c r="B173" s="165" t="s">
        <v>596</v>
      </c>
      <c r="C173" s="222">
        <v>3050808</v>
      </c>
      <c r="D173" s="239">
        <v>3341880</v>
      </c>
      <c r="E173" s="239">
        <v>3806880</v>
      </c>
      <c r="F173" s="166">
        <v>3537690</v>
      </c>
      <c r="G173" s="166">
        <v>2879190</v>
      </c>
    </row>
    <row r="174" spans="1:7" ht="15">
      <c r="A174" s="164" t="s">
        <v>808</v>
      </c>
      <c r="B174" s="165" t="s">
        <v>598</v>
      </c>
      <c r="C174" s="222">
        <v>1016936</v>
      </c>
      <c r="D174" s="239">
        <v>1113960</v>
      </c>
      <c r="E174" s="239">
        <v>1268960</v>
      </c>
      <c r="F174" s="166">
        <v>1179230</v>
      </c>
      <c r="G174" s="166">
        <v>959730</v>
      </c>
    </row>
    <row r="175" spans="1:7" ht="15">
      <c r="A175" s="164" t="s">
        <v>809</v>
      </c>
      <c r="B175" s="165" t="s">
        <v>810</v>
      </c>
      <c r="C175" s="222">
        <v>508468</v>
      </c>
      <c r="D175" s="239">
        <v>556980</v>
      </c>
      <c r="E175" s="239">
        <v>634480</v>
      </c>
      <c r="F175" s="166">
        <v>589615</v>
      </c>
      <c r="G175" s="166">
        <v>479865</v>
      </c>
    </row>
    <row r="176" spans="1:7" ht="15">
      <c r="A176" s="164" t="s">
        <v>811</v>
      </c>
      <c r="B176" s="165" t="s">
        <v>602</v>
      </c>
      <c r="C176" s="222">
        <v>508468</v>
      </c>
      <c r="D176" s="239">
        <v>556980</v>
      </c>
      <c r="E176" s="239">
        <v>634480</v>
      </c>
      <c r="F176" s="166">
        <v>589615</v>
      </c>
      <c r="G176" s="166">
        <v>479865</v>
      </c>
    </row>
    <row r="177" spans="1:7" ht="15">
      <c r="A177" s="164" t="s">
        <v>812</v>
      </c>
      <c r="B177" s="165" t="s">
        <v>604</v>
      </c>
      <c r="C177" s="222">
        <v>512248</v>
      </c>
      <c r="D177" s="239">
        <v>542300</v>
      </c>
      <c r="E177" s="239">
        <v>609200</v>
      </c>
      <c r="F177" s="166">
        <v>569100</v>
      </c>
      <c r="G177" s="166">
        <v>445600</v>
      </c>
    </row>
    <row r="178" spans="1:7" ht="15">
      <c r="A178" s="161" t="s">
        <v>813</v>
      </c>
      <c r="B178" s="162" t="s">
        <v>606</v>
      </c>
      <c r="C178" s="221">
        <f>C179+C184</f>
        <v>157675744</v>
      </c>
      <c r="D178" s="238">
        <f>D179+D184</f>
        <v>183127338</v>
      </c>
      <c r="E178" s="238">
        <f>E179+E184</f>
        <v>135065573</v>
      </c>
      <c r="F178" s="163">
        <f>F179+F184</f>
        <v>185396240</v>
      </c>
      <c r="G178" s="163">
        <f>G179+G184</f>
        <v>172652370</v>
      </c>
    </row>
    <row r="179" spans="1:7" ht="15">
      <c r="A179" s="161" t="s">
        <v>814</v>
      </c>
      <c r="B179" s="162" t="s">
        <v>608</v>
      </c>
      <c r="C179" s="221">
        <f>SUM(C180:C183)</f>
        <v>26303123</v>
      </c>
      <c r="D179" s="238">
        <f>SUM(D180:D183)</f>
        <v>24217948</v>
      </c>
      <c r="E179" s="238">
        <f>SUM(E180:E183)</f>
        <v>6762675</v>
      </c>
      <c r="F179" s="163">
        <f>SUM(F180:F183)</f>
        <v>14225000</v>
      </c>
      <c r="G179" s="163">
        <f>SUM(G180:G183)</f>
        <v>6000000</v>
      </c>
    </row>
    <row r="180" spans="1:7" ht="15">
      <c r="A180" s="164" t="s">
        <v>815</v>
      </c>
      <c r="B180" s="165" t="s">
        <v>610</v>
      </c>
      <c r="C180" s="222">
        <v>16220173</v>
      </c>
      <c r="D180" s="239">
        <v>2924150</v>
      </c>
      <c r="E180" s="239">
        <v>2463675</v>
      </c>
      <c r="F180" s="166"/>
      <c r="G180" s="166">
        <v>5000000</v>
      </c>
    </row>
    <row r="181" spans="1:7" ht="15">
      <c r="A181" s="164" t="s">
        <v>816</v>
      </c>
      <c r="B181" s="165" t="s">
        <v>722</v>
      </c>
      <c r="C181" s="222">
        <v>8082950</v>
      </c>
      <c r="D181" s="239">
        <v>14831698</v>
      </c>
      <c r="E181" s="239">
        <v>4299000</v>
      </c>
      <c r="F181" s="166">
        <v>1000000</v>
      </c>
      <c r="G181" s="166">
        <v>1000000</v>
      </c>
    </row>
    <row r="182" spans="1:7" ht="15">
      <c r="A182" s="164" t="s">
        <v>817</v>
      </c>
      <c r="B182" s="165" t="s">
        <v>612</v>
      </c>
      <c r="C182" s="222">
        <v>2000000</v>
      </c>
      <c r="D182" s="239"/>
      <c r="E182" s="239"/>
      <c r="F182" s="166"/>
      <c r="G182" s="166"/>
    </row>
    <row r="183" spans="1:7" ht="15">
      <c r="A183" s="164" t="s">
        <v>818</v>
      </c>
      <c r="B183" s="165" t="s">
        <v>614</v>
      </c>
      <c r="C183" s="222"/>
      <c r="D183" s="239">
        <v>6462100</v>
      </c>
      <c r="E183" s="239"/>
      <c r="F183" s="166">
        <v>13225000</v>
      </c>
      <c r="G183" s="166"/>
    </row>
    <row r="184" spans="1:7" ht="15">
      <c r="A184" s="161" t="s">
        <v>819</v>
      </c>
      <c r="B184" s="162" t="s">
        <v>616</v>
      </c>
      <c r="C184" s="221">
        <f>SUM(C185:C191)</f>
        <v>131372621</v>
      </c>
      <c r="D184" s="238">
        <f>SUM(D185:D191)</f>
        <v>158909390</v>
      </c>
      <c r="E184" s="238">
        <f>SUM(E185:E191)</f>
        <v>128302898</v>
      </c>
      <c r="F184" s="163">
        <f>SUM(F185:F191)</f>
        <v>171171240</v>
      </c>
      <c r="G184" s="163">
        <f>SUM(G185:G191)</f>
        <v>166652370</v>
      </c>
    </row>
    <row r="185" spans="1:7" ht="15">
      <c r="A185" s="164" t="s">
        <v>820</v>
      </c>
      <c r="B185" s="165" t="s">
        <v>618</v>
      </c>
      <c r="C185" s="222">
        <v>3204980</v>
      </c>
      <c r="D185" s="239">
        <v>2586000</v>
      </c>
      <c r="E185" s="239">
        <v>4288000</v>
      </c>
      <c r="F185" s="166"/>
      <c r="G185" s="166"/>
    </row>
    <row r="186" spans="1:7" ht="15">
      <c r="A186" s="164" t="s">
        <v>821</v>
      </c>
      <c r="B186" s="165" t="s">
        <v>624</v>
      </c>
      <c r="C186" s="223">
        <v>122873920</v>
      </c>
      <c r="D186" s="240">
        <v>153795390</v>
      </c>
      <c r="E186" s="240">
        <v>120158990</v>
      </c>
      <c r="F186" s="168">
        <v>162748040</v>
      </c>
      <c r="G186" s="168">
        <v>164930370</v>
      </c>
    </row>
    <row r="187" spans="1:7" ht="15">
      <c r="A187" s="164" t="s">
        <v>822</v>
      </c>
      <c r="B187" s="165" t="s">
        <v>630</v>
      </c>
      <c r="C187" s="222">
        <v>500000</v>
      </c>
      <c r="D187" s="239"/>
      <c r="E187" s="239">
        <v>0</v>
      </c>
      <c r="F187" s="166"/>
      <c r="G187" s="166"/>
    </row>
    <row r="188" spans="1:7" ht="15">
      <c r="A188" s="164" t="s">
        <v>823</v>
      </c>
      <c r="B188" s="165" t="s">
        <v>676</v>
      </c>
      <c r="C188" s="222">
        <v>3109667</v>
      </c>
      <c r="D188" s="239"/>
      <c r="E188" s="239">
        <v>3135408</v>
      </c>
      <c r="F188" s="166"/>
      <c r="G188" s="166"/>
    </row>
    <row r="189" spans="1:7" ht="15">
      <c r="A189" s="164" t="s">
        <v>824</v>
      </c>
      <c r="B189" s="165" t="s">
        <v>825</v>
      </c>
      <c r="C189" s="222"/>
      <c r="D189" s="239"/>
      <c r="E189" s="239">
        <v>0</v>
      </c>
      <c r="F189" s="166"/>
      <c r="G189" s="166"/>
    </row>
    <row r="190" spans="1:7" ht="26.25">
      <c r="A190" s="164" t="s">
        <v>826</v>
      </c>
      <c r="B190" s="165" t="s">
        <v>827</v>
      </c>
      <c r="C190" s="222">
        <v>556054</v>
      </c>
      <c r="D190" s="239">
        <v>1229000</v>
      </c>
      <c r="E190" s="239">
        <v>610500</v>
      </c>
      <c r="F190" s="166">
        <v>8423200</v>
      </c>
      <c r="G190" s="166">
        <v>1122000</v>
      </c>
    </row>
    <row r="191" spans="1:7" ht="15">
      <c r="A191" s="172" t="s">
        <v>828</v>
      </c>
      <c r="B191" s="173" t="s">
        <v>734</v>
      </c>
      <c r="C191" s="224">
        <v>1128000</v>
      </c>
      <c r="D191" s="241">
        <v>1299000</v>
      </c>
      <c r="E191" s="241">
        <v>110000</v>
      </c>
      <c r="F191" s="174"/>
      <c r="G191" s="174">
        <v>600000</v>
      </c>
    </row>
    <row r="193" spans="1:7" ht="15">
      <c r="A193" s="203" t="s">
        <v>1308</v>
      </c>
      <c r="B193" s="204" t="s">
        <v>1309</v>
      </c>
      <c r="C193" s="226">
        <f>C194</f>
        <v>152708531</v>
      </c>
      <c r="D193" s="243">
        <f>D194</f>
        <v>145220888</v>
      </c>
      <c r="E193" s="243">
        <f>E194</f>
        <v>219946853</v>
      </c>
      <c r="F193" s="205">
        <f>F194</f>
        <v>187542467</v>
      </c>
      <c r="G193" s="205">
        <f>G194</f>
        <v>80928277</v>
      </c>
    </row>
    <row r="194" spans="1:7" ht="15">
      <c r="A194" s="206" t="s">
        <v>1310</v>
      </c>
      <c r="B194" s="207" t="s">
        <v>1311</v>
      </c>
      <c r="C194" s="227">
        <f>C195+C197</f>
        <v>152708531</v>
      </c>
      <c r="D194" s="244">
        <f>D195+D197</f>
        <v>145220888</v>
      </c>
      <c r="E194" s="244">
        <f>E195+E197</f>
        <v>219946853</v>
      </c>
      <c r="F194" s="208">
        <f>F195+F197</f>
        <v>187542467</v>
      </c>
      <c r="G194" s="208">
        <f>G195+G197</f>
        <v>80928277</v>
      </c>
    </row>
    <row r="195" spans="1:7" ht="15">
      <c r="A195" s="206" t="s">
        <v>1312</v>
      </c>
      <c r="B195" s="207" t="s">
        <v>1313</v>
      </c>
      <c r="C195" s="227">
        <f>C196</f>
        <v>100000000</v>
      </c>
      <c r="D195" s="244">
        <f>D196</f>
        <v>100000000</v>
      </c>
      <c r="E195" s="244">
        <f>E196</f>
        <v>160000000</v>
      </c>
      <c r="F195" s="208">
        <f>F196</f>
        <v>160000000</v>
      </c>
      <c r="G195" s="208">
        <f>G196</f>
        <v>70000000</v>
      </c>
    </row>
    <row r="196" spans="1:7" ht="15">
      <c r="A196" s="209" t="s">
        <v>1314</v>
      </c>
      <c r="B196" s="210" t="s">
        <v>284</v>
      </c>
      <c r="C196" s="228">
        <v>100000000</v>
      </c>
      <c r="D196" s="245">
        <v>100000000</v>
      </c>
      <c r="E196" s="245">
        <v>160000000</v>
      </c>
      <c r="F196" s="211">
        <v>160000000</v>
      </c>
      <c r="G196" s="211">
        <v>70000000</v>
      </c>
    </row>
    <row r="197" spans="1:7" ht="15">
      <c r="A197" s="212" t="s">
        <v>1315</v>
      </c>
      <c r="B197" s="213" t="s">
        <v>1316</v>
      </c>
      <c r="C197" s="229">
        <f>C198</f>
        <v>52708531</v>
      </c>
      <c r="D197" s="246">
        <f>D198</f>
        <v>45220888</v>
      </c>
      <c r="E197" s="246">
        <f>E198</f>
        <v>59946853</v>
      </c>
      <c r="F197" s="214">
        <f>F198</f>
        <v>27542467</v>
      </c>
      <c r="G197" s="214">
        <f>G198</f>
        <v>10928277</v>
      </c>
    </row>
    <row r="198" spans="1:7" ht="15">
      <c r="A198" s="215" t="s">
        <v>1317</v>
      </c>
      <c r="B198" s="216" t="s">
        <v>284</v>
      </c>
      <c r="C198" s="230">
        <v>52708531</v>
      </c>
      <c r="D198" s="247">
        <v>45220888</v>
      </c>
      <c r="E198" s="247">
        <v>59946853</v>
      </c>
      <c r="F198" s="217">
        <v>27542467</v>
      </c>
      <c r="G198" s="217">
        <v>10928277</v>
      </c>
    </row>
    <row r="200" spans="3:7" ht="15">
      <c r="C200" s="225">
        <f>C202+C247+C271+C300+C351+C382+C417+C437+C467+C540+C570+C585+C606</f>
        <v>7137311102.76</v>
      </c>
      <c r="D200" s="242">
        <f>D202+D247+D271+D300+D351+D382+D417+D437+D467+D540+D570+D585+D606</f>
        <v>3341791457.65</v>
      </c>
      <c r="E200" s="242">
        <f>E202+E247+E271+E300+E351+E382+E417+E437+E467+E540+E570+E585+E606</f>
        <v>5448440586.36</v>
      </c>
      <c r="F200" s="10">
        <f>F202+F247+F271+F300+F351+F382+F417+F437+F467+F540+F570+F585+F606</f>
        <v>4846671510.1</v>
      </c>
      <c r="G200" s="10">
        <f>G202+G247+G271+G300+G351+G382+G417+G437+G467+G540+G570+G585+G606</f>
        <v>7600434849.18</v>
      </c>
    </row>
    <row r="201" ht="15">
      <c r="I201" s="10"/>
    </row>
    <row r="202" spans="1:7" ht="15">
      <c r="A202" s="158" t="s">
        <v>833</v>
      </c>
      <c r="B202" s="176" t="s">
        <v>834</v>
      </c>
      <c r="C202" s="220">
        <f>C203+C216+C237+C242</f>
        <v>547463627.3</v>
      </c>
      <c r="D202" s="237">
        <f>D203+D216+D237+D242</f>
        <v>359246829.48</v>
      </c>
      <c r="E202" s="237">
        <f>E203+E216+E237+E242</f>
        <v>424739361.86</v>
      </c>
      <c r="F202" s="160">
        <f>F203+F216+F237+F242</f>
        <v>483132171.25</v>
      </c>
      <c r="G202" s="160">
        <f>G203+G216+G237+G242</f>
        <v>866132849</v>
      </c>
    </row>
    <row r="203" spans="1:7" ht="26.25">
      <c r="A203" s="161" t="s">
        <v>835</v>
      </c>
      <c r="B203" s="177" t="s">
        <v>836</v>
      </c>
      <c r="C203" s="221">
        <f>C204+C208</f>
        <v>108519075.3</v>
      </c>
      <c r="D203" s="238">
        <f>D204+D208</f>
        <v>58019106</v>
      </c>
      <c r="E203" s="238">
        <f>E204+E208</f>
        <v>93891758</v>
      </c>
      <c r="F203" s="163">
        <f>F204+F208</f>
        <v>73500164</v>
      </c>
      <c r="G203" s="163">
        <f>G204+G208</f>
        <v>78602200</v>
      </c>
    </row>
    <row r="204" spans="1:7" ht="26.25">
      <c r="A204" s="161" t="s">
        <v>837</v>
      </c>
      <c r="B204" s="177" t="s">
        <v>838</v>
      </c>
      <c r="C204" s="221">
        <f>SUM(C205:C207)</f>
        <v>8999694.8</v>
      </c>
      <c r="D204" s="221">
        <f>SUM(D205:D207)</f>
        <v>0</v>
      </c>
      <c r="E204" s="221">
        <f>SUM(E205:E207)</f>
        <v>0</v>
      </c>
      <c r="F204" s="221">
        <f>SUM(F205:F207)</f>
        <v>0</v>
      </c>
      <c r="G204" s="221">
        <f>SUM(G205:G207)</f>
        <v>0</v>
      </c>
    </row>
    <row r="205" spans="1:7" ht="15">
      <c r="A205" s="164" t="s">
        <v>839</v>
      </c>
      <c r="B205" s="178" t="s">
        <v>840</v>
      </c>
      <c r="C205" s="222"/>
      <c r="D205" s="239"/>
      <c r="E205" s="239"/>
      <c r="F205" s="166"/>
      <c r="G205" s="166"/>
    </row>
    <row r="206" spans="1:9" ht="15">
      <c r="A206" s="164"/>
      <c r="B206" s="178" t="s">
        <v>1434</v>
      </c>
      <c r="C206" s="222">
        <v>7999694.8</v>
      </c>
      <c r="D206" s="239"/>
      <c r="E206" s="239"/>
      <c r="F206" s="166"/>
      <c r="G206" s="166"/>
      <c r="I206" s="10"/>
    </row>
    <row r="207" spans="1:9" ht="15">
      <c r="A207" s="164"/>
      <c r="B207" s="178" t="s">
        <v>1435</v>
      </c>
      <c r="C207" s="222">
        <v>1000000</v>
      </c>
      <c r="D207" s="239"/>
      <c r="E207" s="239"/>
      <c r="F207" s="166"/>
      <c r="G207" s="166"/>
      <c r="I207" s="10"/>
    </row>
    <row r="208" spans="1:9" ht="26.25">
      <c r="A208" s="161" t="s">
        <v>841</v>
      </c>
      <c r="B208" s="177" t="s">
        <v>842</v>
      </c>
      <c r="C208" s="221">
        <f>SUM(C209:C215)</f>
        <v>99519380.5</v>
      </c>
      <c r="D208" s="221">
        <f>SUM(D209:D215)</f>
        <v>58019106</v>
      </c>
      <c r="E208" s="221">
        <f>SUM(E209:E215)</f>
        <v>93891758</v>
      </c>
      <c r="F208" s="221">
        <f>SUM(F209:F215)</f>
        <v>73500164</v>
      </c>
      <c r="G208" s="221">
        <f>SUM(G209:G215)</f>
        <v>78602200</v>
      </c>
      <c r="I208" s="10"/>
    </row>
    <row r="209" spans="1:7" ht="15">
      <c r="A209" s="164" t="s">
        <v>843</v>
      </c>
      <c r="B209" s="178" t="s">
        <v>844</v>
      </c>
      <c r="C209" s="222">
        <v>7248000</v>
      </c>
      <c r="D209" s="239"/>
      <c r="E209" s="239">
        <v>7617200</v>
      </c>
      <c r="F209" s="166"/>
      <c r="G209" s="166"/>
    </row>
    <row r="210" spans="1:9" ht="15">
      <c r="A210" s="164" t="s">
        <v>845</v>
      </c>
      <c r="B210" s="178" t="s">
        <v>846</v>
      </c>
      <c r="C210" s="222">
        <v>5980480</v>
      </c>
      <c r="D210" s="239">
        <v>15114640</v>
      </c>
      <c r="E210" s="239">
        <v>11002200</v>
      </c>
      <c r="F210" s="166">
        <v>18825000</v>
      </c>
      <c r="G210" s="166">
        <v>24247200</v>
      </c>
      <c r="I210" s="10"/>
    </row>
    <row r="211" spans="1:7" ht="26.25">
      <c r="A211" s="164"/>
      <c r="B211" s="178" t="s">
        <v>1436</v>
      </c>
      <c r="C211" s="222">
        <v>49685590.5</v>
      </c>
      <c r="D211" s="239"/>
      <c r="E211" s="239"/>
      <c r="F211" s="166"/>
      <c r="G211" s="166"/>
    </row>
    <row r="212" spans="1:7" ht="26.25">
      <c r="A212" s="164" t="s">
        <v>847</v>
      </c>
      <c r="B212" s="178" t="s">
        <v>848</v>
      </c>
      <c r="C212" s="222">
        <f>19605310+13000000</f>
        <v>32605310</v>
      </c>
      <c r="D212" s="239">
        <v>11374466</v>
      </c>
      <c r="E212" s="239">
        <v>27863358</v>
      </c>
      <c r="F212" s="166">
        <f>14876265-9225101</f>
        <v>5651164</v>
      </c>
      <c r="G212" s="166">
        <v>21280000</v>
      </c>
    </row>
    <row r="213" spans="1:7" ht="26.25">
      <c r="A213" s="164" t="s">
        <v>849</v>
      </c>
      <c r="B213" s="178" t="s">
        <v>850</v>
      </c>
      <c r="C213" s="222"/>
      <c r="D213" s="239">
        <v>31530000</v>
      </c>
      <c r="E213" s="239">
        <v>47409000</v>
      </c>
      <c r="F213" s="166">
        <v>49024000</v>
      </c>
      <c r="G213" s="166">
        <v>33075000</v>
      </c>
    </row>
    <row r="214" spans="1:7" ht="15">
      <c r="A214" s="164"/>
      <c r="B214" s="178" t="s">
        <v>1437</v>
      </c>
      <c r="C214" s="222">
        <v>2000000</v>
      </c>
      <c r="D214" s="239"/>
      <c r="E214" s="239"/>
      <c r="F214" s="166"/>
      <c r="G214" s="166"/>
    </row>
    <row r="215" spans="1:7" ht="15">
      <c r="A215" s="164"/>
      <c r="B215" s="178" t="s">
        <v>1438</v>
      </c>
      <c r="C215" s="222">
        <v>2000000</v>
      </c>
      <c r="D215" s="239"/>
      <c r="E215" s="239"/>
      <c r="F215" s="166"/>
      <c r="G215" s="166"/>
    </row>
    <row r="216" spans="1:7" ht="26.25">
      <c r="A216" s="161" t="s">
        <v>851</v>
      </c>
      <c r="B216" s="177" t="s">
        <v>852</v>
      </c>
      <c r="C216" s="221">
        <f>C217+C229+C231+C234</f>
        <v>361957738</v>
      </c>
      <c r="D216" s="238">
        <f>D217+D229+D231+D234</f>
        <v>230934381.48</v>
      </c>
      <c r="E216" s="238">
        <f>E217+E229+E231+E234</f>
        <v>261010940.86</v>
      </c>
      <c r="F216" s="163">
        <f>F217+F229+F231+F234</f>
        <v>304334557.25</v>
      </c>
      <c r="G216" s="163">
        <f>G217+G229+G231+G234</f>
        <v>689650169</v>
      </c>
    </row>
    <row r="217" spans="1:7" ht="26.25">
      <c r="A217" s="161" t="s">
        <v>853</v>
      </c>
      <c r="B217" s="177" t="s">
        <v>854</v>
      </c>
      <c r="C217" s="221">
        <f>SUM(C218:C228)</f>
        <v>343371658</v>
      </c>
      <c r="D217" s="238">
        <f>SUM(D218:D228)</f>
        <v>211979113.48</v>
      </c>
      <c r="E217" s="238">
        <f>SUM(E218:E228)</f>
        <v>232925987.86</v>
      </c>
      <c r="F217" s="163">
        <f>SUM(F218:F228)</f>
        <v>271050647.25</v>
      </c>
      <c r="G217" s="163">
        <f>SUM(G218:G228)</f>
        <v>666284207</v>
      </c>
    </row>
    <row r="218" spans="1:9" ht="39">
      <c r="A218" s="164" t="s">
        <v>855</v>
      </c>
      <c r="B218" s="178" t="s">
        <v>856</v>
      </c>
      <c r="C218" s="222">
        <f>39689123.5+15572260.5</f>
        <v>55261384</v>
      </c>
      <c r="D218" s="239">
        <f>169168954-15572260.5</f>
        <v>153596693.5</v>
      </c>
      <c r="E218" s="239">
        <f>103506373.5-19999966-1222781.5-44719212</f>
        <v>37564414</v>
      </c>
      <c r="F218" s="166">
        <v>176660838.25</v>
      </c>
      <c r="G218" s="166">
        <f>195060610.25-174660838.25</f>
        <v>20399772</v>
      </c>
      <c r="I218" s="10"/>
    </row>
    <row r="219" spans="1:9" ht="15">
      <c r="A219" s="164" t="s">
        <v>857</v>
      </c>
      <c r="B219" s="178" t="s">
        <v>858</v>
      </c>
      <c r="C219" s="222">
        <v>12445000</v>
      </c>
      <c r="D219" s="239">
        <v>22124385</v>
      </c>
      <c r="E219" s="239">
        <v>12000000</v>
      </c>
      <c r="F219" s="166">
        <v>2987000</v>
      </c>
      <c r="G219" s="166">
        <f>5465000-2987000</f>
        <v>2478000</v>
      </c>
      <c r="I219" s="10"/>
    </row>
    <row r="220" spans="1:9" ht="26.25">
      <c r="A220" s="164" t="s">
        <v>859</v>
      </c>
      <c r="B220" s="178" t="s">
        <v>860</v>
      </c>
      <c r="C220" s="222">
        <v>15774301</v>
      </c>
      <c r="D220" s="239">
        <v>29058034.98</v>
      </c>
      <c r="E220" s="239">
        <v>19796865</v>
      </c>
      <c r="F220" s="166">
        <v>21437036</v>
      </c>
      <c r="G220" s="166">
        <v>15235241</v>
      </c>
      <c r="I220" s="10"/>
    </row>
    <row r="221" spans="1:7" ht="15">
      <c r="A221" s="164" t="s">
        <v>861</v>
      </c>
      <c r="B221" s="178" t="s">
        <v>862</v>
      </c>
      <c r="C221" s="222"/>
      <c r="D221" s="239"/>
      <c r="E221" s="239"/>
      <c r="F221" s="166"/>
      <c r="G221" s="166">
        <v>14891970</v>
      </c>
    </row>
    <row r="222" spans="1:7" ht="15">
      <c r="A222" s="164" t="s">
        <v>863</v>
      </c>
      <c r="B222" s="179" t="s">
        <v>864</v>
      </c>
      <c r="C222" s="222"/>
      <c r="D222" s="239"/>
      <c r="E222" s="239">
        <v>115179317.86</v>
      </c>
      <c r="F222" s="166"/>
      <c r="G222" s="166"/>
    </row>
    <row r="223" spans="1:7" ht="15">
      <c r="A223" s="164" t="s">
        <v>865</v>
      </c>
      <c r="B223" s="178" t="s">
        <v>866</v>
      </c>
      <c r="C223" s="222"/>
      <c r="D223" s="239"/>
      <c r="E223" s="239">
        <f>43353217-30466479</f>
        <v>12886738</v>
      </c>
      <c r="F223" s="166"/>
      <c r="G223" s="166"/>
    </row>
    <row r="224" spans="1:7" ht="15">
      <c r="A224" s="164" t="s">
        <v>867</v>
      </c>
      <c r="B224" s="178" t="s">
        <v>868</v>
      </c>
      <c r="C224" s="222"/>
      <c r="D224" s="239">
        <v>7200000</v>
      </c>
      <c r="E224" s="239">
        <v>35498653</v>
      </c>
      <c r="F224" s="166"/>
      <c r="G224" s="166"/>
    </row>
    <row r="225" spans="1:7" ht="26.25">
      <c r="A225" s="164" t="s">
        <v>867</v>
      </c>
      <c r="B225" s="178" t="s">
        <v>1398</v>
      </c>
      <c r="C225" s="222">
        <f>129945486+129945487</f>
        <v>259890973</v>
      </c>
      <c r="D225" s="239"/>
      <c r="E225" s="239"/>
      <c r="F225" s="166"/>
      <c r="G225" s="166"/>
    </row>
    <row r="226" spans="1:7" ht="26.25">
      <c r="A226" s="164" t="s">
        <v>1318</v>
      </c>
      <c r="B226" s="178" t="s">
        <v>1319</v>
      </c>
      <c r="C226" s="222"/>
      <c r="D226" s="239"/>
      <c r="E226" s="239"/>
      <c r="F226" s="166">
        <v>69965773</v>
      </c>
      <c r="G226" s="166"/>
    </row>
    <row r="227" spans="1:7" ht="39">
      <c r="A227" s="164" t="s">
        <v>1320</v>
      </c>
      <c r="B227" s="178" t="s">
        <v>1321</v>
      </c>
      <c r="C227" s="222"/>
      <c r="D227" s="239"/>
      <c r="E227" s="239"/>
      <c r="F227" s="166"/>
      <c r="G227" s="166">
        <v>613279224</v>
      </c>
    </row>
    <row r="228" spans="1:9" ht="39">
      <c r="A228" s="164" t="s">
        <v>1322</v>
      </c>
      <c r="B228" s="178" t="s">
        <v>1323</v>
      </c>
      <c r="C228" s="222"/>
      <c r="D228" s="239"/>
      <c r="E228" s="239"/>
      <c r="F228" s="166"/>
      <c r="G228" s="166"/>
      <c r="I228" s="10"/>
    </row>
    <row r="229" spans="1:9" ht="26.25">
      <c r="A229" s="161" t="s">
        <v>869</v>
      </c>
      <c r="B229" s="177" t="s">
        <v>870</v>
      </c>
      <c r="C229" s="221">
        <f>C230</f>
        <v>0</v>
      </c>
      <c r="D229" s="238">
        <f>D230</f>
        <v>0</v>
      </c>
      <c r="E229" s="238">
        <f>E230</f>
        <v>0</v>
      </c>
      <c r="F229" s="163">
        <f>F230</f>
        <v>0</v>
      </c>
      <c r="G229" s="163">
        <f>G230</f>
        <v>0</v>
      </c>
      <c r="I229" s="10"/>
    </row>
    <row r="230" spans="1:7" ht="26.25">
      <c r="A230" s="164" t="s">
        <v>871</v>
      </c>
      <c r="B230" s="178" t="s">
        <v>872</v>
      </c>
      <c r="C230" s="222"/>
      <c r="D230" s="239"/>
      <c r="E230" s="239"/>
      <c r="F230" s="166"/>
      <c r="G230" s="166"/>
    </row>
    <row r="231" spans="1:9" ht="15">
      <c r="A231" s="161" t="s">
        <v>873</v>
      </c>
      <c r="B231" s="177" t="s">
        <v>874</v>
      </c>
      <c r="C231" s="221">
        <f>SUM(C232:C233)</f>
        <v>0</v>
      </c>
      <c r="D231" s="238">
        <f>SUM(D232:D233)</f>
        <v>14145268</v>
      </c>
      <c r="E231" s="238">
        <f>SUM(E232:E233)</f>
        <v>23251228</v>
      </c>
      <c r="F231" s="163">
        <f>SUM(F232:F233)</f>
        <v>29783910</v>
      </c>
      <c r="G231" s="163">
        <f>SUM(G232:G233)</f>
        <v>20578962</v>
      </c>
      <c r="I231" s="10"/>
    </row>
    <row r="232" spans="1:9" ht="26.25">
      <c r="A232" s="164" t="s">
        <v>875</v>
      </c>
      <c r="B232" s="178" t="s">
        <v>876</v>
      </c>
      <c r="C232" s="222"/>
      <c r="D232" s="239">
        <v>2663136</v>
      </c>
      <c r="E232" s="239">
        <v>12291540</v>
      </c>
      <c r="F232" s="166">
        <v>15000000</v>
      </c>
      <c r="G232" s="166">
        <v>20578962</v>
      </c>
      <c r="I232" s="10"/>
    </row>
    <row r="233" spans="1:9" ht="15">
      <c r="A233" s="164" t="s">
        <v>877</v>
      </c>
      <c r="B233" s="178" t="s">
        <v>878</v>
      </c>
      <c r="C233" s="222"/>
      <c r="D233" s="239">
        <v>11482132</v>
      </c>
      <c r="E233" s="239">
        <v>10959688</v>
      </c>
      <c r="F233" s="166">
        <v>14783910</v>
      </c>
      <c r="G233" s="166"/>
      <c r="I233" s="10"/>
    </row>
    <row r="234" spans="1:9" ht="15">
      <c r="A234" s="161" t="s">
        <v>879</v>
      </c>
      <c r="B234" s="177" t="s">
        <v>880</v>
      </c>
      <c r="C234" s="221">
        <f>SUM(C235:C236)</f>
        <v>18586080</v>
      </c>
      <c r="D234" s="238">
        <f>SUM(D235:D236)</f>
        <v>4810000</v>
      </c>
      <c r="E234" s="238">
        <f>SUM(E235:E236)</f>
        <v>4833725</v>
      </c>
      <c r="F234" s="163">
        <f>SUM(F235:F236)</f>
        <v>3500000</v>
      </c>
      <c r="G234" s="163">
        <f>SUM(G235:G236)</f>
        <v>2787000</v>
      </c>
      <c r="I234" s="10"/>
    </row>
    <row r="235" spans="1:9" ht="26.25">
      <c r="A235" s="164" t="s">
        <v>881</v>
      </c>
      <c r="B235" s="178" t="s">
        <v>882</v>
      </c>
      <c r="C235" s="222">
        <f>8127480+3980000</f>
        <v>12107480</v>
      </c>
      <c r="D235" s="239"/>
      <c r="E235" s="239">
        <v>2999908</v>
      </c>
      <c r="F235" s="166">
        <v>3500000</v>
      </c>
      <c r="G235" s="166"/>
      <c r="I235" s="10"/>
    </row>
    <row r="236" spans="1:7" ht="15">
      <c r="A236" s="164" t="s">
        <v>883</v>
      </c>
      <c r="B236" s="178" t="s">
        <v>884</v>
      </c>
      <c r="C236" s="222">
        <v>6478600</v>
      </c>
      <c r="D236" s="239">
        <v>4810000</v>
      </c>
      <c r="E236" s="239">
        <v>1833817</v>
      </c>
      <c r="F236" s="166"/>
      <c r="G236" s="166">
        <v>2787000</v>
      </c>
    </row>
    <row r="237" spans="1:9" ht="15">
      <c r="A237" s="180" t="s">
        <v>885</v>
      </c>
      <c r="B237" s="181" t="s">
        <v>886</v>
      </c>
      <c r="C237" s="221">
        <f>C238</f>
        <v>76986814</v>
      </c>
      <c r="D237" s="238">
        <f>D238</f>
        <v>70293342</v>
      </c>
      <c r="E237" s="238">
        <f>E238</f>
        <v>69836663</v>
      </c>
      <c r="F237" s="163">
        <f>F238</f>
        <v>105297450</v>
      </c>
      <c r="G237" s="163">
        <f>G238</f>
        <v>97880480</v>
      </c>
      <c r="I237" s="10"/>
    </row>
    <row r="238" spans="1:9" ht="26.25">
      <c r="A238" s="182" t="s">
        <v>887</v>
      </c>
      <c r="B238" s="183" t="s">
        <v>888</v>
      </c>
      <c r="C238" s="221">
        <f>SUM(C239:C241)</f>
        <v>76986814</v>
      </c>
      <c r="D238" s="238">
        <f>SUM(D239:D241)</f>
        <v>70293342</v>
      </c>
      <c r="E238" s="238">
        <f>SUM(E239:E241)</f>
        <v>69836663</v>
      </c>
      <c r="F238" s="163">
        <f>SUM(F239:F241)</f>
        <v>105297450</v>
      </c>
      <c r="G238" s="163">
        <f>SUM(G239:G241)</f>
        <v>97880480</v>
      </c>
      <c r="I238" s="10"/>
    </row>
    <row r="239" spans="1:9" ht="15">
      <c r="A239" s="184" t="s">
        <v>889</v>
      </c>
      <c r="B239" s="185" t="s">
        <v>890</v>
      </c>
      <c r="C239" s="222">
        <v>35821730</v>
      </c>
      <c r="D239" s="239">
        <v>40501686</v>
      </c>
      <c r="E239" s="239">
        <v>39836663</v>
      </c>
      <c r="F239" s="166">
        <v>75542638.97</v>
      </c>
      <c r="G239" s="166">
        <v>67880480</v>
      </c>
      <c r="I239" s="10"/>
    </row>
    <row r="240" spans="1:9" ht="26.25">
      <c r="A240" s="189"/>
      <c r="B240" s="190" t="s">
        <v>1440</v>
      </c>
      <c r="C240" s="222">
        <v>19250080</v>
      </c>
      <c r="D240" s="239"/>
      <c r="E240" s="239"/>
      <c r="F240" s="166"/>
      <c r="G240" s="166"/>
      <c r="I240" s="10"/>
    </row>
    <row r="241" spans="1:9" ht="26.25">
      <c r="A241" s="172" t="s">
        <v>891</v>
      </c>
      <c r="B241" s="186" t="s">
        <v>892</v>
      </c>
      <c r="C241" s="224">
        <v>21915004</v>
      </c>
      <c r="D241" s="241">
        <v>29791656</v>
      </c>
      <c r="E241" s="241">
        <v>30000000</v>
      </c>
      <c r="F241" s="174">
        <f>29756851.03-2040</f>
        <v>29754811.03</v>
      </c>
      <c r="G241" s="174">
        <v>30000000</v>
      </c>
      <c r="I241" s="10"/>
    </row>
    <row r="242" spans="1:9" ht="15">
      <c r="A242" s="187">
        <v>230104</v>
      </c>
      <c r="B242" s="188" t="s">
        <v>893</v>
      </c>
      <c r="C242" s="220">
        <f>C243</f>
        <v>0</v>
      </c>
      <c r="D242" s="237">
        <f>D243</f>
        <v>0</v>
      </c>
      <c r="E242" s="237">
        <f>E243</f>
        <v>0</v>
      </c>
      <c r="F242" s="160">
        <f>F243</f>
        <v>0</v>
      </c>
      <c r="G242" s="160">
        <f>G243</f>
        <v>0</v>
      </c>
      <c r="I242" s="10"/>
    </row>
    <row r="243" spans="1:9" ht="15">
      <c r="A243" s="182">
        <v>23010401</v>
      </c>
      <c r="B243" s="183" t="s">
        <v>894</v>
      </c>
      <c r="C243" s="221">
        <f>SUM(C244:C245)</f>
        <v>0</v>
      </c>
      <c r="D243" s="238">
        <f>SUM(D244:D245)</f>
        <v>0</v>
      </c>
      <c r="E243" s="238">
        <f>SUM(E244:E245)</f>
        <v>0</v>
      </c>
      <c r="F243" s="163">
        <f>SUM(F244:F245)</f>
        <v>0</v>
      </c>
      <c r="G243" s="163">
        <f>SUM(G244:G245)</f>
        <v>0</v>
      </c>
      <c r="I243" s="10"/>
    </row>
    <row r="244" spans="1:9" ht="15">
      <c r="A244" s="189"/>
      <c r="B244" s="190"/>
      <c r="C244" s="222"/>
      <c r="D244" s="239"/>
      <c r="E244" s="239"/>
      <c r="F244" s="166"/>
      <c r="G244" s="166"/>
      <c r="I244" s="10"/>
    </row>
    <row r="245" spans="1:9" ht="15">
      <c r="A245" s="191"/>
      <c r="B245" s="192"/>
      <c r="C245" s="224"/>
      <c r="D245" s="241"/>
      <c r="E245" s="241"/>
      <c r="F245" s="174"/>
      <c r="G245" s="174"/>
      <c r="I245" s="10"/>
    </row>
    <row r="246" spans="1:9" ht="14.25" customHeight="1">
      <c r="A246" s="193"/>
      <c r="B246" s="194"/>
      <c r="C246" s="231"/>
      <c r="D246" s="248"/>
      <c r="E246" s="248"/>
      <c r="F246" s="199"/>
      <c r="G246" s="199"/>
      <c r="I246" s="10"/>
    </row>
    <row r="247" spans="1:9" ht="26.25">
      <c r="A247" s="158" t="s">
        <v>895</v>
      </c>
      <c r="B247" s="198" t="s">
        <v>896</v>
      </c>
      <c r="C247" s="220">
        <f>C248+C256+C259+C266</f>
        <v>1012724511.19</v>
      </c>
      <c r="D247" s="237">
        <f>D248+D256+D259+D266</f>
        <v>1223858463.14</v>
      </c>
      <c r="E247" s="237">
        <f>E248+E256+E259+E266</f>
        <v>1307029964.59</v>
      </c>
      <c r="F247" s="160">
        <f>F248+F256+F259+F266</f>
        <v>1191108932.1299999</v>
      </c>
      <c r="G247" s="160">
        <f>G248+G256+G259+G266</f>
        <v>727208598.4200001</v>
      </c>
      <c r="I247" s="10"/>
    </row>
    <row r="248" spans="1:9" ht="15">
      <c r="A248" s="161" t="s">
        <v>897</v>
      </c>
      <c r="B248" s="177" t="s">
        <v>898</v>
      </c>
      <c r="C248" s="221">
        <f>C249</f>
        <v>960606047.19</v>
      </c>
      <c r="D248" s="238">
        <f>D249</f>
        <v>1190177463.14</v>
      </c>
      <c r="E248" s="238">
        <f>E249</f>
        <v>1251327028.59</v>
      </c>
      <c r="F248" s="163">
        <f>F249</f>
        <v>1136377095.1299999</v>
      </c>
      <c r="G248" s="163">
        <f>G249</f>
        <v>646543410.4200001</v>
      </c>
      <c r="I248" s="10"/>
    </row>
    <row r="249" spans="1:9" ht="26.25">
      <c r="A249" s="161" t="s">
        <v>899</v>
      </c>
      <c r="B249" s="177" t="s">
        <v>900</v>
      </c>
      <c r="C249" s="221">
        <f>SUM(C250:C255)</f>
        <v>960606047.19</v>
      </c>
      <c r="D249" s="238">
        <f>SUM(D250:D255)</f>
        <v>1190177463.14</v>
      </c>
      <c r="E249" s="238">
        <f>SUM(E250:E255)</f>
        <v>1251327028.59</v>
      </c>
      <c r="F249" s="163">
        <f>SUM(F250:F255)</f>
        <v>1136377095.1299999</v>
      </c>
      <c r="G249" s="163">
        <f>SUM(G250:G255)</f>
        <v>646543410.4200001</v>
      </c>
      <c r="I249" s="257"/>
    </row>
    <row r="250" spans="1:9" ht="15">
      <c r="A250" s="164" t="s">
        <v>901</v>
      </c>
      <c r="B250" s="178" t="s">
        <v>902</v>
      </c>
      <c r="C250" s="222">
        <f>581720032.84+378886014.35</f>
        <v>960606047.19</v>
      </c>
      <c r="D250" s="239">
        <v>1190177463.14</v>
      </c>
      <c r="E250" s="239">
        <f>1421228999.93-15500835.17-231793271.39-6417885.78</f>
        <v>1167517007.59</v>
      </c>
      <c r="F250" s="166">
        <v>900580044.1299999</v>
      </c>
      <c r="G250" s="166">
        <f>815045541.95-295828331.53</f>
        <v>519217210.4200001</v>
      </c>
      <c r="I250" s="10"/>
    </row>
    <row r="251" spans="1:9" ht="26.25">
      <c r="A251" s="164" t="s">
        <v>903</v>
      </c>
      <c r="B251" s="178" t="s">
        <v>351</v>
      </c>
      <c r="C251" s="222"/>
      <c r="D251" s="239"/>
      <c r="E251" s="239">
        <v>72273060</v>
      </c>
      <c r="F251" s="166">
        <v>150030816</v>
      </c>
      <c r="G251" s="166">
        <f>188794632-66468432</f>
        <v>122326200</v>
      </c>
      <c r="I251" s="10"/>
    </row>
    <row r="252" spans="1:9" ht="15">
      <c r="A252" s="164" t="s">
        <v>904</v>
      </c>
      <c r="B252" s="178" t="s">
        <v>905</v>
      </c>
      <c r="C252" s="222"/>
      <c r="D252" s="239"/>
      <c r="E252" s="239">
        <v>4200000</v>
      </c>
      <c r="F252" s="166">
        <f>6952057-1400000</f>
        <v>5552057</v>
      </c>
      <c r="G252" s="166">
        <f>8331235-3331235</f>
        <v>5000000</v>
      </c>
      <c r="I252" s="10"/>
    </row>
    <row r="253" spans="1:7" ht="15">
      <c r="A253" s="164" t="s">
        <v>906</v>
      </c>
      <c r="B253" s="178" t="s">
        <v>907</v>
      </c>
      <c r="C253" s="222"/>
      <c r="D253" s="239"/>
      <c r="E253" s="239"/>
      <c r="F253" s="166">
        <v>1884710</v>
      </c>
      <c r="G253" s="166"/>
    </row>
    <row r="254" spans="1:7" ht="39">
      <c r="A254" s="164" t="s">
        <v>1378</v>
      </c>
      <c r="B254" s="178" t="s">
        <v>1379</v>
      </c>
      <c r="C254" s="222"/>
      <c r="D254" s="239"/>
      <c r="E254" s="239">
        <v>7336961</v>
      </c>
      <c r="F254" s="166"/>
      <c r="G254" s="166"/>
    </row>
    <row r="255" spans="1:7" ht="26.25">
      <c r="A255" s="164" t="s">
        <v>1380</v>
      </c>
      <c r="B255" s="178" t="s">
        <v>1381</v>
      </c>
      <c r="C255" s="222"/>
      <c r="D255" s="239"/>
      <c r="E255" s="239"/>
      <c r="F255" s="166">
        <v>78329468</v>
      </c>
      <c r="G255" s="166"/>
    </row>
    <row r="256" spans="1:7" ht="15">
      <c r="A256" s="161" t="s">
        <v>908</v>
      </c>
      <c r="B256" s="177" t="s">
        <v>909</v>
      </c>
      <c r="C256" s="221">
        <f aca="true" t="shared" si="0" ref="C256:G257">C257</f>
        <v>9949812</v>
      </c>
      <c r="D256" s="238">
        <f t="shared" si="0"/>
        <v>1400000</v>
      </c>
      <c r="E256" s="238">
        <f t="shared" si="0"/>
        <v>14600080</v>
      </c>
      <c r="F256" s="163">
        <f t="shared" si="0"/>
        <v>1211000</v>
      </c>
      <c r="G256" s="163">
        <f t="shared" si="0"/>
        <v>22250000</v>
      </c>
    </row>
    <row r="257" spans="1:7" ht="39">
      <c r="A257" s="161" t="s">
        <v>910</v>
      </c>
      <c r="B257" s="177" t="s">
        <v>911</v>
      </c>
      <c r="C257" s="221">
        <f t="shared" si="0"/>
        <v>9949812</v>
      </c>
      <c r="D257" s="238">
        <f t="shared" si="0"/>
        <v>1400000</v>
      </c>
      <c r="E257" s="238">
        <f t="shared" si="0"/>
        <v>14600080</v>
      </c>
      <c r="F257" s="163">
        <f t="shared" si="0"/>
        <v>1211000</v>
      </c>
      <c r="G257" s="163">
        <f t="shared" si="0"/>
        <v>22250000</v>
      </c>
    </row>
    <row r="258" spans="1:7" ht="15">
      <c r="A258" s="164" t="s">
        <v>912</v>
      </c>
      <c r="B258" s="178" t="s">
        <v>913</v>
      </c>
      <c r="C258" s="222">
        <v>9949812</v>
      </c>
      <c r="D258" s="239">
        <v>1400000</v>
      </c>
      <c r="E258" s="239">
        <v>14600080</v>
      </c>
      <c r="F258" s="166">
        <v>1211000</v>
      </c>
      <c r="G258" s="166">
        <v>22250000</v>
      </c>
    </row>
    <row r="259" spans="1:7" ht="15">
      <c r="A259" s="161" t="s">
        <v>914</v>
      </c>
      <c r="B259" s="177" t="s">
        <v>915</v>
      </c>
      <c r="C259" s="221">
        <f>C260+C264</f>
        <v>42168652</v>
      </c>
      <c r="D259" s="238">
        <f>D260+D264</f>
        <v>32281000</v>
      </c>
      <c r="E259" s="238">
        <f>E260+E264</f>
        <v>41102856</v>
      </c>
      <c r="F259" s="163">
        <f>F260+F264</f>
        <v>53520837</v>
      </c>
      <c r="G259" s="163">
        <f>G260+G264</f>
        <v>58415188</v>
      </c>
    </row>
    <row r="260" spans="1:7" ht="26.25">
      <c r="A260" s="161" t="s">
        <v>916</v>
      </c>
      <c r="B260" s="177" t="s">
        <v>917</v>
      </c>
      <c r="C260" s="221">
        <f>SUM(C261:C263)</f>
        <v>42168652</v>
      </c>
      <c r="D260" s="238">
        <f>SUM(D261:D263)</f>
        <v>30286000</v>
      </c>
      <c r="E260" s="238">
        <f>SUM(E261:E263)</f>
        <v>39102856</v>
      </c>
      <c r="F260" s="163">
        <f>SUM(F261:F263)</f>
        <v>50520837</v>
      </c>
      <c r="G260" s="163">
        <f>SUM(G261:G263)</f>
        <v>58415188</v>
      </c>
    </row>
    <row r="261" spans="1:7" ht="15">
      <c r="A261" s="164" t="s">
        <v>918</v>
      </c>
      <c r="B261" s="178" t="s">
        <v>919</v>
      </c>
      <c r="C261" s="222">
        <v>31818652</v>
      </c>
      <c r="D261" s="239">
        <v>30286000</v>
      </c>
      <c r="E261" s="239">
        <f>41302857-2200001</f>
        <v>39102856</v>
      </c>
      <c r="F261" s="166">
        <v>38520837</v>
      </c>
      <c r="G261" s="166">
        <v>46415188</v>
      </c>
    </row>
    <row r="262" spans="1:7" ht="26.25">
      <c r="A262" s="164"/>
      <c r="B262" s="178" t="s">
        <v>6</v>
      </c>
      <c r="C262" s="222">
        <v>10350000</v>
      </c>
      <c r="D262" s="239"/>
      <c r="E262" s="239"/>
      <c r="F262" s="166"/>
      <c r="G262" s="166"/>
    </row>
    <row r="263" spans="1:7" ht="15">
      <c r="A263" s="164">
        <v>2302030102</v>
      </c>
      <c r="B263" s="178" t="s">
        <v>920</v>
      </c>
      <c r="C263" s="222"/>
      <c r="D263" s="239"/>
      <c r="E263" s="239"/>
      <c r="F263" s="166">
        <f>12525000-525000</f>
        <v>12000000</v>
      </c>
      <c r="G263" s="166">
        <v>12000000</v>
      </c>
    </row>
    <row r="264" spans="1:7" ht="15">
      <c r="A264" s="180" t="s">
        <v>921</v>
      </c>
      <c r="B264" s="181" t="s">
        <v>922</v>
      </c>
      <c r="C264" s="221">
        <f>C265</f>
        <v>0</v>
      </c>
      <c r="D264" s="238">
        <f>D265</f>
        <v>1995000</v>
      </c>
      <c r="E264" s="238">
        <f>E265</f>
        <v>2000000</v>
      </c>
      <c r="F264" s="163">
        <f>F265</f>
        <v>3000000</v>
      </c>
      <c r="G264" s="163">
        <f>G265</f>
        <v>0</v>
      </c>
    </row>
    <row r="265" spans="1:7" ht="15">
      <c r="A265" s="191" t="s">
        <v>923</v>
      </c>
      <c r="B265" s="192" t="s">
        <v>924</v>
      </c>
      <c r="C265" s="224"/>
      <c r="D265" s="241">
        <v>1995000</v>
      </c>
      <c r="E265" s="241">
        <v>2000000</v>
      </c>
      <c r="F265" s="174">
        <v>3000000</v>
      </c>
      <c r="G265" s="174"/>
    </row>
    <row r="266" spans="1:7" ht="15">
      <c r="A266" s="182">
        <v>230204</v>
      </c>
      <c r="B266" s="183" t="s">
        <v>893</v>
      </c>
      <c r="C266" s="221">
        <f>C267</f>
        <v>0</v>
      </c>
      <c r="D266" s="238">
        <f>D267</f>
        <v>0</v>
      </c>
      <c r="E266" s="238">
        <f>E267</f>
        <v>0</v>
      </c>
      <c r="F266" s="163">
        <f>F267</f>
        <v>0</v>
      </c>
      <c r="G266" s="163">
        <f>G267</f>
        <v>0</v>
      </c>
    </row>
    <row r="267" spans="1:7" ht="15">
      <c r="A267" s="182">
        <v>23020401</v>
      </c>
      <c r="B267" s="183" t="s">
        <v>894</v>
      </c>
      <c r="C267" s="221">
        <f>SUM(C268:C269)</f>
        <v>0</v>
      </c>
      <c r="D267" s="238">
        <f>SUM(D268:D269)</f>
        <v>0</v>
      </c>
      <c r="E267" s="238">
        <f>SUM(E268:E269)</f>
        <v>0</v>
      </c>
      <c r="F267" s="163">
        <f>SUM(F268:F269)</f>
        <v>0</v>
      </c>
      <c r="G267" s="163">
        <f>SUM(G268:G269)</f>
        <v>0</v>
      </c>
    </row>
    <row r="268" spans="1:7" ht="15">
      <c r="A268" s="189"/>
      <c r="B268" s="190"/>
      <c r="C268" s="222"/>
      <c r="D268" s="239"/>
      <c r="E268" s="239"/>
      <c r="F268" s="166"/>
      <c r="G268" s="166"/>
    </row>
    <row r="269" spans="1:7" ht="15">
      <c r="A269" s="191"/>
      <c r="B269" s="192"/>
      <c r="C269" s="224"/>
      <c r="D269" s="241"/>
      <c r="E269" s="241"/>
      <c r="F269" s="174"/>
      <c r="G269" s="174"/>
    </row>
    <row r="270" spans="1:7" ht="15">
      <c r="A270" s="195"/>
      <c r="B270" s="196"/>
      <c r="F270" s="10"/>
      <c r="G270" s="10"/>
    </row>
    <row r="271" spans="1:7" ht="26.25">
      <c r="A271" s="158" t="s">
        <v>925</v>
      </c>
      <c r="B271" s="198" t="s">
        <v>926</v>
      </c>
      <c r="C271" s="220">
        <f>C272+C286+C295</f>
        <v>65200928</v>
      </c>
      <c r="D271" s="237">
        <f>D272+D286+D295</f>
        <v>33113742</v>
      </c>
      <c r="E271" s="237">
        <f>E272+E286+E295</f>
        <v>82148099</v>
      </c>
      <c r="F271" s="160">
        <f>F272+F286+F295</f>
        <v>89164209</v>
      </c>
      <c r="G271" s="160">
        <f>G272+G286+G295</f>
        <v>170451850</v>
      </c>
    </row>
    <row r="272" spans="1:7" ht="26.25">
      <c r="A272" s="161" t="s">
        <v>927</v>
      </c>
      <c r="B272" s="177" t="s">
        <v>928</v>
      </c>
      <c r="C272" s="221">
        <f>C273+C276</f>
        <v>30758232</v>
      </c>
      <c r="D272" s="238">
        <f>D273+D276</f>
        <v>18150800</v>
      </c>
      <c r="E272" s="238">
        <f>E273+E276</f>
        <v>50614221</v>
      </c>
      <c r="F272" s="163">
        <f>F273+F276</f>
        <v>61345576</v>
      </c>
      <c r="G272" s="163">
        <f>G273+G276</f>
        <v>135451850</v>
      </c>
    </row>
    <row r="273" spans="1:7" ht="26.25">
      <c r="A273" s="161" t="s">
        <v>929</v>
      </c>
      <c r="B273" s="177" t="s">
        <v>930</v>
      </c>
      <c r="C273" s="221">
        <f>SUM(C274:C275)</f>
        <v>0</v>
      </c>
      <c r="D273" s="238">
        <f>SUM(D274:D275)</f>
        <v>5400000</v>
      </c>
      <c r="E273" s="238">
        <f>SUM(E274:E275)</f>
        <v>18237150</v>
      </c>
      <c r="F273" s="163">
        <f>SUM(F274:F275)</f>
        <v>16500000</v>
      </c>
      <c r="G273" s="163">
        <f>SUM(G274:G275)</f>
        <v>10650000</v>
      </c>
    </row>
    <row r="274" spans="1:7" ht="15">
      <c r="A274" s="164" t="s">
        <v>931</v>
      </c>
      <c r="B274" s="178" t="s">
        <v>932</v>
      </c>
      <c r="C274" s="222"/>
      <c r="D274" s="239"/>
      <c r="E274" s="239">
        <v>13237150</v>
      </c>
      <c r="F274" s="166">
        <v>8500000</v>
      </c>
      <c r="G274" s="166">
        <v>650000</v>
      </c>
    </row>
    <row r="275" spans="1:7" ht="15">
      <c r="A275" s="164" t="s">
        <v>933</v>
      </c>
      <c r="B275" s="178" t="s">
        <v>934</v>
      </c>
      <c r="C275" s="222"/>
      <c r="D275" s="239">
        <v>5400000</v>
      </c>
      <c r="E275" s="239">
        <v>5000000</v>
      </c>
      <c r="F275" s="166">
        <v>8000000</v>
      </c>
      <c r="G275" s="166">
        <v>10000000</v>
      </c>
    </row>
    <row r="276" spans="1:7" ht="26.25">
      <c r="A276" s="161" t="s">
        <v>935</v>
      </c>
      <c r="B276" s="177" t="s">
        <v>936</v>
      </c>
      <c r="C276" s="221">
        <f>SUM(C277:C285)</f>
        <v>30758232</v>
      </c>
      <c r="D276" s="238">
        <f>SUM(D277:D285)</f>
        <v>12750800</v>
      </c>
      <c r="E276" s="238">
        <f>SUM(E277:E285)</f>
        <v>32377071</v>
      </c>
      <c r="F276" s="163">
        <f>SUM(F277:F285)</f>
        <v>44845576</v>
      </c>
      <c r="G276" s="163">
        <f>SUM(G277:G285)</f>
        <v>124801850</v>
      </c>
    </row>
    <row r="277" spans="1:9" ht="26.25">
      <c r="A277" s="164" t="s">
        <v>937</v>
      </c>
      <c r="B277" s="178" t="s">
        <v>938</v>
      </c>
      <c r="C277" s="222">
        <v>1000000</v>
      </c>
      <c r="D277" s="239">
        <v>9182000</v>
      </c>
      <c r="E277" s="239">
        <v>12568000</v>
      </c>
      <c r="F277" s="166">
        <v>8486280</v>
      </c>
      <c r="G277" s="166"/>
      <c r="H277" s="39"/>
      <c r="I277" s="39"/>
    </row>
    <row r="278" spans="1:7" ht="15">
      <c r="A278" s="164" t="s">
        <v>1416</v>
      </c>
      <c r="B278" s="178" t="s">
        <v>1417</v>
      </c>
      <c r="C278" s="222">
        <v>21758713</v>
      </c>
      <c r="D278" s="239">
        <v>3568800</v>
      </c>
      <c r="E278" s="239"/>
      <c r="F278" s="166"/>
      <c r="G278" s="166"/>
    </row>
    <row r="279" spans="1:7" ht="15">
      <c r="A279" s="164"/>
      <c r="B279" s="178" t="s">
        <v>16</v>
      </c>
      <c r="C279" s="222">
        <v>999519</v>
      </c>
      <c r="D279" s="239"/>
      <c r="E279" s="239"/>
      <c r="F279" s="166"/>
      <c r="G279" s="166"/>
    </row>
    <row r="280" spans="1:7" ht="15">
      <c r="A280" s="164"/>
      <c r="B280" s="178" t="s">
        <v>17</v>
      </c>
      <c r="C280" s="222">
        <v>2000000</v>
      </c>
      <c r="D280" s="239"/>
      <c r="E280" s="239"/>
      <c r="F280" s="166"/>
      <c r="G280" s="166"/>
    </row>
    <row r="281" spans="1:7" ht="15">
      <c r="A281" s="164"/>
      <c r="B281" s="178" t="s">
        <v>18</v>
      </c>
      <c r="C281" s="222">
        <v>5000000</v>
      </c>
      <c r="D281" s="239"/>
      <c r="E281" s="239"/>
      <c r="F281" s="166"/>
      <c r="G281" s="166"/>
    </row>
    <row r="282" spans="1:7" ht="26.25">
      <c r="A282" s="164" t="s">
        <v>939</v>
      </c>
      <c r="B282" s="178" t="s">
        <v>940</v>
      </c>
      <c r="C282" s="222"/>
      <c r="D282" s="239"/>
      <c r="E282" s="239">
        <v>19809071</v>
      </c>
      <c r="F282" s="166">
        <v>21503296</v>
      </c>
      <c r="G282" s="166">
        <v>15387096</v>
      </c>
    </row>
    <row r="283" spans="1:8" ht="26.25">
      <c r="A283" s="164">
        <v>2303010203</v>
      </c>
      <c r="B283" s="178" t="s">
        <v>941</v>
      </c>
      <c r="C283" s="222"/>
      <c r="D283" s="239"/>
      <c r="E283" s="239"/>
      <c r="F283" s="166">
        <v>14856000</v>
      </c>
      <c r="G283" s="166"/>
      <c r="H283" s="10"/>
    </row>
    <row r="284" spans="1:7" ht="39">
      <c r="A284" s="164" t="s">
        <v>1324</v>
      </c>
      <c r="B284" s="178" t="s">
        <v>1325</v>
      </c>
      <c r="C284" s="222"/>
      <c r="D284" s="239"/>
      <c r="E284" s="239"/>
      <c r="F284" s="166"/>
      <c r="G284" s="166">
        <v>49994053</v>
      </c>
    </row>
    <row r="285" spans="1:7" ht="39">
      <c r="A285" s="164" t="s">
        <v>1326</v>
      </c>
      <c r="B285" s="178" t="s">
        <v>1327</v>
      </c>
      <c r="C285" s="222"/>
      <c r="D285" s="239"/>
      <c r="E285" s="239"/>
      <c r="F285" s="166"/>
      <c r="G285" s="166">
        <v>59420701</v>
      </c>
    </row>
    <row r="286" spans="1:7" ht="26.25">
      <c r="A286" s="161" t="s">
        <v>942</v>
      </c>
      <c r="B286" s="177" t="s">
        <v>943</v>
      </c>
      <c r="C286" s="221">
        <f>C287+C289+C291</f>
        <v>34442696</v>
      </c>
      <c r="D286" s="238">
        <f>D287+D289+D291</f>
        <v>14962942</v>
      </c>
      <c r="E286" s="238">
        <f>E287+E289+E291</f>
        <v>31533878</v>
      </c>
      <c r="F286" s="163">
        <f>F287+F289+F291</f>
        <v>27818633</v>
      </c>
      <c r="G286" s="163">
        <f>G287+G289+G291</f>
        <v>35000000</v>
      </c>
    </row>
    <row r="287" spans="1:7" ht="15">
      <c r="A287" s="161" t="s">
        <v>944</v>
      </c>
      <c r="B287" s="177" t="s">
        <v>945</v>
      </c>
      <c r="C287" s="221">
        <f>C288</f>
        <v>0</v>
      </c>
      <c r="D287" s="238">
        <f>D288</f>
        <v>2164000</v>
      </c>
      <c r="E287" s="238">
        <f>E288</f>
        <v>0</v>
      </c>
      <c r="F287" s="163">
        <f>F288</f>
        <v>0</v>
      </c>
      <c r="G287" s="163">
        <f>G288</f>
        <v>0</v>
      </c>
    </row>
    <row r="288" spans="1:7" ht="15">
      <c r="A288" s="164" t="s">
        <v>946</v>
      </c>
      <c r="B288" s="178" t="s">
        <v>947</v>
      </c>
      <c r="C288" s="222"/>
      <c r="D288" s="239">
        <v>2164000</v>
      </c>
      <c r="E288" s="239"/>
      <c r="F288" s="166"/>
      <c r="G288" s="166"/>
    </row>
    <row r="289" spans="1:7" ht="15">
      <c r="A289" s="161" t="s">
        <v>948</v>
      </c>
      <c r="B289" s="177" t="s">
        <v>949</v>
      </c>
      <c r="C289" s="221">
        <f>C290</f>
        <v>0</v>
      </c>
      <c r="D289" s="238">
        <f>D290</f>
        <v>0</v>
      </c>
      <c r="E289" s="238">
        <f>E290</f>
        <v>0</v>
      </c>
      <c r="F289" s="163">
        <f>F290</f>
        <v>0</v>
      </c>
      <c r="G289" s="163">
        <f>G290</f>
        <v>0</v>
      </c>
    </row>
    <row r="290" spans="1:7" ht="15">
      <c r="A290" s="164" t="s">
        <v>950</v>
      </c>
      <c r="B290" s="178" t="s">
        <v>951</v>
      </c>
      <c r="C290" s="223"/>
      <c r="D290" s="240"/>
      <c r="E290" s="240"/>
      <c r="F290" s="168"/>
      <c r="G290" s="168"/>
    </row>
    <row r="291" spans="1:7" ht="15">
      <c r="A291" s="180" t="s">
        <v>952</v>
      </c>
      <c r="B291" s="181" t="s">
        <v>953</v>
      </c>
      <c r="C291" s="232">
        <f>SUM(C292:C294)</f>
        <v>34442696</v>
      </c>
      <c r="D291" s="249">
        <f>SUM(D292:D294)</f>
        <v>12798942</v>
      </c>
      <c r="E291" s="249">
        <f>SUM(E292:E294)</f>
        <v>31533878</v>
      </c>
      <c r="F291" s="169">
        <f>SUM(F292:F294)</f>
        <v>27818633</v>
      </c>
      <c r="G291" s="169">
        <f>SUM(G292:G294)</f>
        <v>35000000</v>
      </c>
    </row>
    <row r="292" spans="1:7" ht="15">
      <c r="A292" s="189" t="s">
        <v>954</v>
      </c>
      <c r="B292" s="190" t="s">
        <v>955</v>
      </c>
      <c r="C292" s="223"/>
      <c r="D292" s="240"/>
      <c r="E292" s="240">
        <v>3999878</v>
      </c>
      <c r="F292" s="168"/>
      <c r="G292" s="168"/>
    </row>
    <row r="293" spans="1:7" ht="26.25">
      <c r="A293" s="189" t="s">
        <v>956</v>
      </c>
      <c r="B293" s="190" t="s">
        <v>957</v>
      </c>
      <c r="C293" s="223">
        <v>34442696</v>
      </c>
      <c r="D293" s="240">
        <v>12798942</v>
      </c>
      <c r="E293" s="240">
        <v>12534000</v>
      </c>
      <c r="F293" s="168">
        <f>32352633-4534000</f>
        <v>27818633</v>
      </c>
      <c r="G293" s="168">
        <v>35000000</v>
      </c>
    </row>
    <row r="294" spans="1:7" ht="26.25">
      <c r="A294" s="191" t="s">
        <v>1382</v>
      </c>
      <c r="B294" s="192" t="s">
        <v>1383</v>
      </c>
      <c r="C294" s="233"/>
      <c r="D294" s="250"/>
      <c r="E294" s="250">
        <v>15000000</v>
      </c>
      <c r="F294" s="200"/>
      <c r="G294" s="200"/>
    </row>
    <row r="295" spans="1:7" ht="15">
      <c r="A295" s="182">
        <v>230303</v>
      </c>
      <c r="B295" s="183" t="s">
        <v>893</v>
      </c>
      <c r="C295" s="221">
        <f>C296</f>
        <v>0</v>
      </c>
      <c r="D295" s="238">
        <f>D296</f>
        <v>0</v>
      </c>
      <c r="E295" s="238">
        <f>E296</f>
        <v>0</v>
      </c>
      <c r="F295" s="163">
        <f>F296</f>
        <v>0</v>
      </c>
      <c r="G295" s="163">
        <f>G296</f>
        <v>0</v>
      </c>
    </row>
    <row r="296" spans="1:7" ht="15">
      <c r="A296" s="182">
        <v>23030301</v>
      </c>
      <c r="B296" s="183" t="s">
        <v>894</v>
      </c>
      <c r="C296" s="221">
        <f>SUM(C297:C298)</f>
        <v>0</v>
      </c>
      <c r="D296" s="238">
        <f>SUM(D297:D298)</f>
        <v>0</v>
      </c>
      <c r="E296" s="238">
        <f>SUM(E297:E298)</f>
        <v>0</v>
      </c>
      <c r="F296" s="163">
        <f>SUM(F297:F298)</f>
        <v>0</v>
      </c>
      <c r="G296" s="163">
        <f>SUM(G297:G298)</f>
        <v>0</v>
      </c>
    </row>
    <row r="297" spans="1:7" ht="15">
      <c r="A297" s="189"/>
      <c r="B297" s="190"/>
      <c r="C297" s="222"/>
      <c r="D297" s="239"/>
      <c r="E297" s="239"/>
      <c r="F297" s="166"/>
      <c r="G297" s="166"/>
    </row>
    <row r="298" spans="1:7" ht="15">
      <c r="A298" s="191"/>
      <c r="B298" s="192"/>
      <c r="C298" s="224"/>
      <c r="D298" s="241"/>
      <c r="E298" s="241"/>
      <c r="F298" s="174"/>
      <c r="G298" s="174"/>
    </row>
    <row r="299" spans="1:7" ht="15">
      <c r="A299" s="142"/>
      <c r="B299" s="197"/>
      <c r="C299" s="234"/>
      <c r="D299" s="251"/>
      <c r="E299" s="251"/>
      <c r="F299" s="201"/>
      <c r="G299" s="201"/>
    </row>
    <row r="300" spans="1:7" ht="15">
      <c r="A300" s="158" t="s">
        <v>958</v>
      </c>
      <c r="B300" s="198" t="s">
        <v>959</v>
      </c>
      <c r="C300" s="235">
        <f>C301+C332+C346</f>
        <v>351469764.72</v>
      </c>
      <c r="D300" s="252">
        <f>D301+D332+D346</f>
        <v>206175654</v>
      </c>
      <c r="E300" s="252">
        <f>E301+E332+E346</f>
        <v>135893820</v>
      </c>
      <c r="F300" s="202">
        <f>F301+F332+F346</f>
        <v>259782227</v>
      </c>
      <c r="G300" s="202">
        <f>G301+G332+G346</f>
        <v>172131941</v>
      </c>
    </row>
    <row r="301" spans="1:7" ht="26.25">
      <c r="A301" s="161" t="s">
        <v>960</v>
      </c>
      <c r="B301" s="177" t="s">
        <v>961</v>
      </c>
      <c r="C301" s="232">
        <f>C302+C317</f>
        <v>86374432</v>
      </c>
      <c r="D301" s="249">
        <f>D302+D317</f>
        <v>95926509</v>
      </c>
      <c r="E301" s="249">
        <f>E302+E317</f>
        <v>110830000</v>
      </c>
      <c r="F301" s="169">
        <f>F302+F317</f>
        <v>197444000</v>
      </c>
      <c r="G301" s="169">
        <f>G302+G317</f>
        <v>137132000</v>
      </c>
    </row>
    <row r="302" spans="1:7" ht="26.25">
      <c r="A302" s="161" t="s">
        <v>962</v>
      </c>
      <c r="B302" s="177" t="s">
        <v>963</v>
      </c>
      <c r="C302" s="232">
        <f>SUM(C303:C316)</f>
        <v>52569432</v>
      </c>
      <c r="D302" s="249">
        <f>SUM(D303:D316)</f>
        <v>64969999</v>
      </c>
      <c r="E302" s="232">
        <f>SUM(E303:E316)</f>
        <v>71860000</v>
      </c>
      <c r="F302" s="232">
        <f>SUM(F303:F316)</f>
        <v>39000000</v>
      </c>
      <c r="G302" s="232">
        <f>SUM(G303:G316)</f>
        <v>87100000</v>
      </c>
    </row>
    <row r="303" spans="1:7" ht="26.25">
      <c r="A303" s="164" t="s">
        <v>964</v>
      </c>
      <c r="B303" s="178" t="s">
        <v>965</v>
      </c>
      <c r="C303" s="223">
        <v>13198000</v>
      </c>
      <c r="D303" s="240">
        <v>47880000</v>
      </c>
      <c r="E303" s="240">
        <v>49060000</v>
      </c>
      <c r="F303" s="168">
        <v>30000000</v>
      </c>
      <c r="G303" s="168">
        <v>68100000</v>
      </c>
    </row>
    <row r="304" spans="1:7" ht="26.25">
      <c r="A304" s="164" t="s">
        <v>1418</v>
      </c>
      <c r="B304" s="178" t="s">
        <v>1419</v>
      </c>
      <c r="C304" s="223">
        <v>19716832</v>
      </c>
      <c r="D304" s="240">
        <v>4289999</v>
      </c>
      <c r="E304" s="240"/>
      <c r="F304" s="168"/>
      <c r="G304" s="168"/>
    </row>
    <row r="305" spans="1:7" ht="39">
      <c r="A305" s="164"/>
      <c r="B305" s="178" t="s">
        <v>1447</v>
      </c>
      <c r="C305" s="223">
        <v>11497300</v>
      </c>
      <c r="D305" s="240"/>
      <c r="E305" s="240"/>
      <c r="F305" s="168"/>
      <c r="G305" s="168"/>
    </row>
    <row r="306" spans="1:7" ht="39">
      <c r="A306" s="164"/>
      <c r="B306" s="178" t="s">
        <v>1448</v>
      </c>
      <c r="C306" s="223">
        <v>5997300</v>
      </c>
      <c r="D306" s="240"/>
      <c r="E306" s="240"/>
      <c r="F306" s="168"/>
      <c r="G306" s="168"/>
    </row>
    <row r="307" spans="1:7" ht="26.25">
      <c r="A307" s="164"/>
      <c r="B307" s="178" t="s">
        <v>35</v>
      </c>
      <c r="C307" s="223">
        <v>2160000</v>
      </c>
      <c r="D307" s="240"/>
      <c r="E307" s="240"/>
      <c r="F307" s="168"/>
      <c r="G307" s="168"/>
    </row>
    <row r="308" spans="1:7" ht="39">
      <c r="A308" s="164" t="s">
        <v>1328</v>
      </c>
      <c r="B308" s="178" t="s">
        <v>1399</v>
      </c>
      <c r="C308" s="223"/>
      <c r="D308" s="240"/>
      <c r="E308" s="240">
        <v>1500000</v>
      </c>
      <c r="F308" s="168"/>
      <c r="G308" s="168"/>
    </row>
    <row r="309" spans="1:7" ht="39">
      <c r="A309" s="164" t="s">
        <v>1330</v>
      </c>
      <c r="B309" s="178" t="s">
        <v>1400</v>
      </c>
      <c r="C309" s="223"/>
      <c r="D309" s="240"/>
      <c r="E309" s="240">
        <v>13000000</v>
      </c>
      <c r="F309" s="168"/>
      <c r="G309" s="168"/>
    </row>
    <row r="310" spans="1:7" ht="39">
      <c r="A310" s="164" t="s">
        <v>1401</v>
      </c>
      <c r="B310" s="178" t="s">
        <v>1402</v>
      </c>
      <c r="C310" s="223"/>
      <c r="D310" s="240"/>
      <c r="E310" s="240">
        <v>8300000</v>
      </c>
      <c r="F310" s="168"/>
      <c r="G310" s="168"/>
    </row>
    <row r="311" spans="1:7" ht="26.25">
      <c r="A311" s="164" t="s">
        <v>1328</v>
      </c>
      <c r="B311" s="178" t="s">
        <v>1384</v>
      </c>
      <c r="C311" s="223"/>
      <c r="D311" s="240"/>
      <c r="E311" s="240"/>
      <c r="F311" s="168">
        <v>9000000</v>
      </c>
      <c r="G311" s="168"/>
    </row>
    <row r="312" spans="1:7" ht="26.25">
      <c r="A312" s="164" t="s">
        <v>1328</v>
      </c>
      <c r="B312" s="178" t="s">
        <v>1329</v>
      </c>
      <c r="C312" s="223"/>
      <c r="D312" s="240"/>
      <c r="E312" s="240"/>
      <c r="F312" s="168"/>
      <c r="G312" s="168">
        <v>13000000</v>
      </c>
    </row>
    <row r="313" spans="1:9" ht="26.25">
      <c r="A313" s="164" t="s">
        <v>1330</v>
      </c>
      <c r="B313" s="178" t="s">
        <v>1331</v>
      </c>
      <c r="C313" s="223"/>
      <c r="D313" s="240"/>
      <c r="E313" s="240"/>
      <c r="F313" s="168"/>
      <c r="G313" s="168">
        <v>6000000</v>
      </c>
      <c r="I313" s="10"/>
    </row>
    <row r="314" spans="1:9" ht="39">
      <c r="A314" s="164" t="s">
        <v>1420</v>
      </c>
      <c r="B314" s="178" t="s">
        <v>1421</v>
      </c>
      <c r="C314" s="223"/>
      <c r="D314" s="240">
        <v>6000000</v>
      </c>
      <c r="E314" s="240"/>
      <c r="F314" s="168"/>
      <c r="G314" s="168"/>
      <c r="I314" s="10"/>
    </row>
    <row r="315" spans="1:9" ht="26.25">
      <c r="A315" s="164" t="s">
        <v>1422</v>
      </c>
      <c r="B315" s="178" t="s">
        <v>1423</v>
      </c>
      <c r="C315" s="223"/>
      <c r="D315" s="240">
        <v>6000000</v>
      </c>
      <c r="E315" s="240"/>
      <c r="F315" s="168"/>
      <c r="G315" s="168"/>
      <c r="I315" s="10"/>
    </row>
    <row r="316" spans="1:9" ht="39">
      <c r="A316" s="164" t="s">
        <v>1424</v>
      </c>
      <c r="B316" s="178" t="s">
        <v>1425</v>
      </c>
      <c r="C316" s="223"/>
      <c r="D316" s="240">
        <v>800000</v>
      </c>
      <c r="E316" s="240"/>
      <c r="F316" s="168"/>
      <c r="G316" s="168"/>
      <c r="I316" s="10"/>
    </row>
    <row r="317" spans="1:7" ht="26.25">
      <c r="A317" s="161" t="s">
        <v>966</v>
      </c>
      <c r="B317" s="177" t="s">
        <v>967</v>
      </c>
      <c r="C317" s="232">
        <f>SUM(C318:C331)</f>
        <v>33805000</v>
      </c>
      <c r="D317" s="232">
        <f>SUM(D318:D331)</f>
        <v>30956510</v>
      </c>
      <c r="E317" s="232">
        <f>SUM(E318:E331)</f>
        <v>38970000</v>
      </c>
      <c r="F317" s="232">
        <f>SUM(F318:F331)</f>
        <v>158444000</v>
      </c>
      <c r="G317" s="232">
        <f>SUM(G318:G331)</f>
        <v>50032000</v>
      </c>
    </row>
    <row r="318" spans="1:9" ht="15">
      <c r="A318" s="164"/>
      <c r="B318" s="178" t="s">
        <v>1442</v>
      </c>
      <c r="C318" s="254">
        <v>1500000</v>
      </c>
      <c r="D318" s="255"/>
      <c r="E318" s="255"/>
      <c r="F318" s="256"/>
      <c r="G318" s="256"/>
      <c r="I318" s="10"/>
    </row>
    <row r="319" spans="1:7" ht="15">
      <c r="A319" s="164"/>
      <c r="B319" s="178" t="s">
        <v>1446</v>
      </c>
      <c r="C319" s="254">
        <v>2000000</v>
      </c>
      <c r="D319" s="255"/>
      <c r="E319" s="255"/>
      <c r="F319" s="256"/>
      <c r="G319" s="256"/>
    </row>
    <row r="320" spans="1:7" ht="26.25">
      <c r="A320" s="164" t="s">
        <v>968</v>
      </c>
      <c r="B320" s="178" t="s">
        <v>969</v>
      </c>
      <c r="C320" s="223">
        <v>18800000</v>
      </c>
      <c r="D320" s="240">
        <v>22056510</v>
      </c>
      <c r="E320" s="240">
        <v>23730000</v>
      </c>
      <c r="F320" s="168">
        <f>46908000-8664000</f>
        <v>38244000</v>
      </c>
      <c r="G320" s="168">
        <f>48366000-2100000</f>
        <v>46266000</v>
      </c>
    </row>
    <row r="321" spans="1:7" ht="15">
      <c r="A321" s="164">
        <v>2304010202</v>
      </c>
      <c r="B321" s="178" t="s">
        <v>970</v>
      </c>
      <c r="C321" s="223"/>
      <c r="D321" s="240"/>
      <c r="E321" s="240"/>
      <c r="F321" s="168"/>
      <c r="G321" s="168"/>
    </row>
    <row r="322" spans="1:7" ht="15">
      <c r="A322" s="164">
        <v>2304010203</v>
      </c>
      <c r="B322" s="178" t="s">
        <v>971</v>
      </c>
      <c r="C322" s="223"/>
      <c r="D322" s="240"/>
      <c r="E322" s="240"/>
      <c r="F322" s="168"/>
      <c r="G322" s="168"/>
    </row>
    <row r="323" spans="1:7" ht="26.25">
      <c r="A323" s="164"/>
      <c r="B323" s="178" t="s">
        <v>1443</v>
      </c>
      <c r="C323" s="223">
        <v>6725000</v>
      </c>
      <c r="D323" s="240"/>
      <c r="E323" s="240"/>
      <c r="F323" s="168"/>
      <c r="G323" s="168"/>
    </row>
    <row r="324" spans="1:9" ht="26.25">
      <c r="A324" s="164"/>
      <c r="B324" s="178" t="s">
        <v>1444</v>
      </c>
      <c r="C324" s="223">
        <v>1880000</v>
      </c>
      <c r="D324" s="240"/>
      <c r="E324" s="240"/>
      <c r="F324" s="168"/>
      <c r="G324" s="168"/>
      <c r="I324" s="10"/>
    </row>
    <row r="325" spans="1:9" ht="26.25">
      <c r="A325" s="164"/>
      <c r="B325" s="178" t="s">
        <v>1445</v>
      </c>
      <c r="C325" s="223">
        <v>2900000</v>
      </c>
      <c r="D325" s="240"/>
      <c r="E325" s="240"/>
      <c r="F325" s="168"/>
      <c r="G325" s="168"/>
      <c r="I325" s="10"/>
    </row>
    <row r="326" spans="1:9" ht="39">
      <c r="A326" s="164" t="s">
        <v>1430</v>
      </c>
      <c r="B326" s="178" t="s">
        <v>1431</v>
      </c>
      <c r="C326" s="223"/>
      <c r="D326" s="240">
        <v>2500000</v>
      </c>
      <c r="E326" s="240"/>
      <c r="F326" s="168"/>
      <c r="G326" s="168"/>
      <c r="I326" s="10"/>
    </row>
    <row r="327" spans="1:7" ht="39">
      <c r="A327" s="164" t="s">
        <v>1403</v>
      </c>
      <c r="B327" s="178" t="s">
        <v>1404</v>
      </c>
      <c r="C327" s="223"/>
      <c r="D327" s="240">
        <v>6400000</v>
      </c>
      <c r="E327" s="240">
        <v>4800000</v>
      </c>
      <c r="F327" s="168"/>
      <c r="G327" s="168"/>
    </row>
    <row r="328" spans="1:7" ht="39">
      <c r="A328" s="164" t="s">
        <v>1332</v>
      </c>
      <c r="B328" s="178" t="s">
        <v>1385</v>
      </c>
      <c r="C328" s="223"/>
      <c r="D328" s="240"/>
      <c r="E328" s="240">
        <v>10440000</v>
      </c>
      <c r="F328" s="168"/>
      <c r="G328" s="168"/>
    </row>
    <row r="329" spans="1:9" ht="26.25">
      <c r="A329" s="164" t="s">
        <v>1332</v>
      </c>
      <c r="B329" s="178" t="s">
        <v>1333</v>
      </c>
      <c r="C329" s="223"/>
      <c r="D329" s="240"/>
      <c r="E329" s="240"/>
      <c r="F329" s="168">
        <v>9600000</v>
      </c>
      <c r="G329" s="168"/>
      <c r="I329" s="10"/>
    </row>
    <row r="330" spans="1:9" ht="26.25">
      <c r="A330" s="164" t="s">
        <v>1334</v>
      </c>
      <c r="B330" s="178" t="s">
        <v>1335</v>
      </c>
      <c r="C330" s="223"/>
      <c r="D330" s="240"/>
      <c r="E330" s="240"/>
      <c r="F330" s="168">
        <v>110600000</v>
      </c>
      <c r="G330" s="168"/>
      <c r="I330" s="10"/>
    </row>
    <row r="331" spans="1:9" ht="26.25">
      <c r="A331" s="164" t="s">
        <v>1336</v>
      </c>
      <c r="B331" s="178" t="s">
        <v>1337</v>
      </c>
      <c r="C331" s="223"/>
      <c r="D331" s="240"/>
      <c r="E331" s="240"/>
      <c r="F331" s="168"/>
      <c r="G331" s="168">
        <v>3766000</v>
      </c>
      <c r="I331" s="10"/>
    </row>
    <row r="332" spans="1:9" ht="15">
      <c r="A332" s="161" t="s">
        <v>972</v>
      </c>
      <c r="B332" s="177" t="s">
        <v>973</v>
      </c>
      <c r="C332" s="232">
        <f>C333+C342</f>
        <v>265095332.72</v>
      </c>
      <c r="D332" s="249">
        <f>D333+D342</f>
        <v>110249145</v>
      </c>
      <c r="E332" s="249">
        <f>E333+E342</f>
        <v>25063820</v>
      </c>
      <c r="F332" s="169">
        <f>F333+F342</f>
        <v>62338227</v>
      </c>
      <c r="G332" s="169">
        <f>G333+G342</f>
        <v>34999941</v>
      </c>
      <c r="I332" s="10"/>
    </row>
    <row r="333" spans="1:9" ht="39">
      <c r="A333" s="161" t="s">
        <v>974</v>
      </c>
      <c r="B333" s="177" t="s">
        <v>975</v>
      </c>
      <c r="C333" s="232">
        <f>SUM(C334:C341)</f>
        <v>250977806.72</v>
      </c>
      <c r="D333" s="232">
        <f>SUM(D334:D341)</f>
        <v>87996798</v>
      </c>
      <c r="E333" s="232">
        <f>SUM(E334:E341)</f>
        <v>9913820</v>
      </c>
      <c r="F333" s="232">
        <f>SUM(F334:F341)</f>
        <v>49184894</v>
      </c>
      <c r="G333" s="232">
        <f>SUM(G334:G341)</f>
        <v>9999941</v>
      </c>
      <c r="I333" s="10"/>
    </row>
    <row r="334" spans="1:9" ht="26.25">
      <c r="A334" s="164" t="s">
        <v>976</v>
      </c>
      <c r="B334" s="178" t="s">
        <v>977</v>
      </c>
      <c r="C334" s="223">
        <f>42562314.5+28549282.3</f>
        <v>71111596.8</v>
      </c>
      <c r="D334" s="240">
        <f>116546080.3-28549282.3</f>
        <v>87996798</v>
      </c>
      <c r="E334" s="240">
        <v>9913820</v>
      </c>
      <c r="F334" s="168">
        <v>49184894</v>
      </c>
      <c r="G334" s="168">
        <f>59184894-59-49184894</f>
        <v>9999941</v>
      </c>
      <c r="I334" s="10"/>
    </row>
    <row r="335" spans="1:7" ht="26.25">
      <c r="A335" s="218"/>
      <c r="B335" s="219" t="s">
        <v>0</v>
      </c>
      <c r="C335" s="223">
        <v>799992.92</v>
      </c>
      <c r="D335" s="240"/>
      <c r="E335" s="240"/>
      <c r="F335" s="168"/>
      <c r="G335" s="168"/>
    </row>
    <row r="336" spans="1:7" ht="15">
      <c r="A336" s="218"/>
      <c r="B336" s="219" t="s">
        <v>1</v>
      </c>
      <c r="C336" s="223">
        <v>3091000</v>
      </c>
      <c r="D336" s="240"/>
      <c r="E336" s="240"/>
      <c r="F336" s="168"/>
      <c r="G336" s="168"/>
    </row>
    <row r="337" spans="1:7" ht="15">
      <c r="A337" s="218"/>
      <c r="B337" s="219" t="s">
        <v>2</v>
      </c>
      <c r="C337" s="223">
        <v>12975217</v>
      </c>
      <c r="D337" s="240"/>
      <c r="E337" s="240"/>
      <c r="F337" s="168"/>
      <c r="G337" s="168"/>
    </row>
    <row r="338" spans="1:7" ht="15">
      <c r="A338" s="218"/>
      <c r="B338" s="219" t="s">
        <v>3</v>
      </c>
      <c r="C338" s="223">
        <v>5000000</v>
      </c>
      <c r="D338" s="240"/>
      <c r="E338" s="240"/>
      <c r="F338" s="168"/>
      <c r="G338" s="168"/>
    </row>
    <row r="339" spans="1:7" ht="15">
      <c r="A339" s="218"/>
      <c r="B339" s="219" t="s">
        <v>4</v>
      </c>
      <c r="C339" s="223">
        <v>6000000</v>
      </c>
      <c r="D339" s="240"/>
      <c r="E339" s="240"/>
      <c r="F339" s="168"/>
      <c r="G339" s="168"/>
    </row>
    <row r="340" spans="1:7" ht="15">
      <c r="A340" s="218"/>
      <c r="B340" s="219" t="s">
        <v>5</v>
      </c>
      <c r="C340" s="223">
        <v>2000000</v>
      </c>
      <c r="D340" s="240"/>
      <c r="E340" s="240"/>
      <c r="F340" s="168"/>
      <c r="G340" s="168"/>
    </row>
    <row r="341" spans="1:9" ht="39">
      <c r="A341" s="218"/>
      <c r="B341" s="219" t="s">
        <v>1441</v>
      </c>
      <c r="C341" s="223">
        <f>75000000+75000000</f>
        <v>150000000</v>
      </c>
      <c r="D341" s="240"/>
      <c r="E341" s="240"/>
      <c r="F341" s="168"/>
      <c r="G341" s="168"/>
      <c r="I341" s="10">
        <v>1950000</v>
      </c>
    </row>
    <row r="342" spans="1:9" ht="26.25">
      <c r="A342" s="180" t="s">
        <v>978</v>
      </c>
      <c r="B342" s="181" t="s">
        <v>979</v>
      </c>
      <c r="C342" s="232">
        <f>SUM(C343:C345)</f>
        <v>14117526</v>
      </c>
      <c r="D342" s="232">
        <f>SUM(D343:D345)</f>
        <v>22252347</v>
      </c>
      <c r="E342" s="232">
        <f>SUM(E343:E345)</f>
        <v>15150000</v>
      </c>
      <c r="F342" s="232">
        <f>SUM(F343:F345)</f>
        <v>13153333</v>
      </c>
      <c r="G342" s="232">
        <f>SUM(G343:G345)</f>
        <v>25000000</v>
      </c>
      <c r="I342" s="10">
        <v>150000</v>
      </c>
    </row>
    <row r="343" spans="1:9" ht="15">
      <c r="A343" s="189"/>
      <c r="B343" s="190" t="s">
        <v>1439</v>
      </c>
      <c r="C343" s="254">
        <v>2495000</v>
      </c>
      <c r="D343" s="255"/>
      <c r="E343" s="255"/>
      <c r="F343" s="256"/>
      <c r="G343" s="256"/>
      <c r="I343" s="10">
        <v>350000</v>
      </c>
    </row>
    <row r="344" spans="1:9" ht="26.25">
      <c r="A344" s="189" t="s">
        <v>980</v>
      </c>
      <c r="B344" s="190" t="s">
        <v>981</v>
      </c>
      <c r="C344" s="223">
        <v>3972666</v>
      </c>
      <c r="D344" s="240">
        <v>10388648</v>
      </c>
      <c r="E344" s="240">
        <v>7500000</v>
      </c>
      <c r="F344" s="168">
        <f>13840000-2550000</f>
        <v>11290000</v>
      </c>
      <c r="G344" s="168">
        <f>13450000-2450000</f>
        <v>11000000</v>
      </c>
      <c r="I344" s="10">
        <f>SUM(I341:I343)</f>
        <v>2450000</v>
      </c>
    </row>
    <row r="345" spans="1:7" ht="26.25">
      <c r="A345" s="191" t="s">
        <v>982</v>
      </c>
      <c r="B345" s="192" t="s">
        <v>983</v>
      </c>
      <c r="C345" s="233">
        <v>7649860</v>
      </c>
      <c r="D345" s="250">
        <v>11863699</v>
      </c>
      <c r="E345" s="250">
        <v>7650000</v>
      </c>
      <c r="F345" s="200">
        <f>4923333-3060000</f>
        <v>1863333</v>
      </c>
      <c r="G345" s="200">
        <v>14000000</v>
      </c>
    </row>
    <row r="346" spans="1:7" ht="15">
      <c r="A346" s="182">
        <v>230403</v>
      </c>
      <c r="B346" s="183" t="s">
        <v>893</v>
      </c>
      <c r="C346" s="221">
        <f>C347</f>
        <v>0</v>
      </c>
      <c r="D346" s="238">
        <f>D347</f>
        <v>0</v>
      </c>
      <c r="E346" s="238">
        <f>E347</f>
        <v>0</v>
      </c>
      <c r="F346" s="163">
        <f>F347</f>
        <v>0</v>
      </c>
      <c r="G346" s="163">
        <f>G347</f>
        <v>0</v>
      </c>
    </row>
    <row r="347" spans="1:7" ht="15">
      <c r="A347" s="182">
        <v>23040301</v>
      </c>
      <c r="B347" s="183" t="s">
        <v>894</v>
      </c>
      <c r="C347" s="221">
        <f>SUM(C348:C349)</f>
        <v>0</v>
      </c>
      <c r="D347" s="238">
        <f>SUM(D348:D349)</f>
        <v>0</v>
      </c>
      <c r="E347" s="238">
        <f>SUM(E348:E349)</f>
        <v>0</v>
      </c>
      <c r="F347" s="163">
        <f>SUM(F348:F349)</f>
        <v>0</v>
      </c>
      <c r="G347" s="163">
        <f>SUM(G348:G349)</f>
        <v>0</v>
      </c>
    </row>
    <row r="348" spans="1:7" ht="15">
      <c r="A348" s="189"/>
      <c r="B348" s="190"/>
      <c r="C348" s="222"/>
      <c r="D348" s="239"/>
      <c r="E348" s="239"/>
      <c r="F348" s="166"/>
      <c r="G348" s="166"/>
    </row>
    <row r="349" spans="1:7" ht="15">
      <c r="A349" s="191"/>
      <c r="B349" s="192"/>
      <c r="C349" s="224"/>
      <c r="D349" s="241"/>
      <c r="E349" s="241"/>
      <c r="F349" s="174"/>
      <c r="G349" s="174"/>
    </row>
    <row r="350" spans="1:7" ht="15">
      <c r="A350" s="195"/>
      <c r="B350" s="196"/>
      <c r="F350" s="10"/>
      <c r="G350" s="10"/>
    </row>
    <row r="351" spans="1:7" ht="15">
      <c r="A351" s="158" t="s">
        <v>984</v>
      </c>
      <c r="B351" s="198" t="s">
        <v>985</v>
      </c>
      <c r="C351" s="220">
        <f>C352+C369+C377</f>
        <v>68353902.62</v>
      </c>
      <c r="D351" s="237">
        <f>D352+D369+D377</f>
        <v>426834108</v>
      </c>
      <c r="E351" s="237">
        <f>E352+E369+E377</f>
        <v>59875195</v>
      </c>
      <c r="F351" s="160">
        <f>F352+F369+F377</f>
        <v>726229142.4</v>
      </c>
      <c r="G351" s="160">
        <f>G352+G369+G377</f>
        <v>45000000</v>
      </c>
    </row>
    <row r="352" spans="1:7" ht="26.25">
      <c r="A352" s="161" t="s">
        <v>986</v>
      </c>
      <c r="B352" s="177" t="s">
        <v>987</v>
      </c>
      <c r="C352" s="221">
        <f>C353+C360</f>
        <v>32354295</v>
      </c>
      <c r="D352" s="238">
        <f>D353+D360</f>
        <v>57237998</v>
      </c>
      <c r="E352" s="238">
        <f>E353+E360</f>
        <v>53927000</v>
      </c>
      <c r="F352" s="163">
        <f>F353+F360</f>
        <v>44606810</v>
      </c>
      <c r="G352" s="163">
        <f>G353+G360</f>
        <v>45000000</v>
      </c>
    </row>
    <row r="353" spans="1:7" ht="26.25">
      <c r="A353" s="161" t="s">
        <v>988</v>
      </c>
      <c r="B353" s="177" t="s">
        <v>989</v>
      </c>
      <c r="C353" s="221">
        <f>SUM(C354:C359)</f>
        <v>0</v>
      </c>
      <c r="D353" s="238">
        <f>SUM(D354:D359)</f>
        <v>26238000</v>
      </c>
      <c r="E353" s="238">
        <f>SUM(E354:E359)</f>
        <v>29183000</v>
      </c>
      <c r="F353" s="163">
        <f>SUM(F354:F359)</f>
        <v>20208000</v>
      </c>
      <c r="G353" s="163">
        <f>SUM(G354:G359)</f>
        <v>0</v>
      </c>
    </row>
    <row r="354" spans="1:7" ht="26.25">
      <c r="A354" s="164" t="s">
        <v>990</v>
      </c>
      <c r="B354" s="178" t="s">
        <v>991</v>
      </c>
      <c r="C354" s="222"/>
      <c r="D354" s="239">
        <v>18238000</v>
      </c>
      <c r="E354" s="239">
        <v>7000000</v>
      </c>
      <c r="F354" s="166">
        <v>15208000</v>
      </c>
      <c r="G354" s="166"/>
    </row>
    <row r="355" spans="1:7" ht="26.25">
      <c r="A355" s="164">
        <v>2305010102</v>
      </c>
      <c r="B355" s="178" t="s">
        <v>992</v>
      </c>
      <c r="C355" s="222"/>
      <c r="D355" s="239"/>
      <c r="E355" s="239"/>
      <c r="F355" s="166"/>
      <c r="G355" s="166"/>
    </row>
    <row r="356" spans="1:7" ht="26.25">
      <c r="A356" s="164" t="s">
        <v>1432</v>
      </c>
      <c r="B356" s="178" t="s">
        <v>1433</v>
      </c>
      <c r="C356" s="222"/>
      <c r="D356" s="239">
        <v>8000000</v>
      </c>
      <c r="E356" s="239"/>
      <c r="F356" s="166"/>
      <c r="G356" s="166"/>
    </row>
    <row r="357" spans="1:7" ht="26.25">
      <c r="A357" s="164" t="s">
        <v>1386</v>
      </c>
      <c r="B357" s="178" t="s">
        <v>1405</v>
      </c>
      <c r="C357" s="222"/>
      <c r="D357" s="239"/>
      <c r="E357" s="239">
        <v>4000000</v>
      </c>
      <c r="F357" s="166"/>
      <c r="G357" s="166"/>
    </row>
    <row r="358" spans="1:7" ht="39">
      <c r="A358" s="164" t="s">
        <v>1406</v>
      </c>
      <c r="B358" s="178" t="s">
        <v>1407</v>
      </c>
      <c r="C358" s="222"/>
      <c r="D358" s="239"/>
      <c r="E358" s="239">
        <v>18183000</v>
      </c>
      <c r="F358" s="166"/>
      <c r="G358" s="166"/>
    </row>
    <row r="359" spans="1:7" ht="26.25">
      <c r="A359" s="164" t="s">
        <v>1386</v>
      </c>
      <c r="B359" s="178" t="s">
        <v>1387</v>
      </c>
      <c r="C359" s="222"/>
      <c r="D359" s="239"/>
      <c r="E359" s="239"/>
      <c r="F359" s="166">
        <v>5000000</v>
      </c>
      <c r="G359" s="166"/>
    </row>
    <row r="360" spans="1:7" ht="26.25">
      <c r="A360" s="161" t="s">
        <v>993</v>
      </c>
      <c r="B360" s="177" t="s">
        <v>994</v>
      </c>
      <c r="C360" s="221">
        <f>SUM(C361:C368)</f>
        <v>32354295</v>
      </c>
      <c r="D360" s="238">
        <f>SUM(D361:D368)</f>
        <v>30999998</v>
      </c>
      <c r="E360" s="238">
        <f>SUM(E361:E368)</f>
        <v>24744000</v>
      </c>
      <c r="F360" s="163">
        <f>SUM(F361:F368)</f>
        <v>24398810</v>
      </c>
      <c r="G360" s="163">
        <f>SUM(G361:G368)</f>
        <v>45000000</v>
      </c>
    </row>
    <row r="361" spans="1:7" ht="39">
      <c r="A361" s="164" t="s">
        <v>995</v>
      </c>
      <c r="B361" s="178" t="s">
        <v>996</v>
      </c>
      <c r="C361" s="222">
        <v>15566330</v>
      </c>
      <c r="D361" s="239">
        <v>26000000</v>
      </c>
      <c r="E361" s="239">
        <v>17544000</v>
      </c>
      <c r="F361" s="166">
        <f>18398810-2000000</f>
        <v>16398810</v>
      </c>
      <c r="G361" s="166">
        <v>37000000</v>
      </c>
    </row>
    <row r="362" spans="1:7" ht="26.25">
      <c r="A362" s="164"/>
      <c r="B362" s="178" t="s">
        <v>25</v>
      </c>
      <c r="C362" s="222">
        <v>8434166</v>
      </c>
      <c r="D362" s="239"/>
      <c r="E362" s="239"/>
      <c r="F362" s="166"/>
      <c r="G362" s="166"/>
    </row>
    <row r="363" spans="1:7" ht="26.25">
      <c r="A363" s="164"/>
      <c r="B363" s="178" t="s">
        <v>26</v>
      </c>
      <c r="C363" s="222">
        <v>3359999</v>
      </c>
      <c r="D363" s="239"/>
      <c r="E363" s="239"/>
      <c r="F363" s="166"/>
      <c r="G363" s="166"/>
    </row>
    <row r="364" spans="1:7" ht="26.25">
      <c r="A364" s="164"/>
      <c r="B364" s="178" t="s">
        <v>27</v>
      </c>
      <c r="C364" s="222">
        <v>4993800</v>
      </c>
      <c r="D364" s="239"/>
      <c r="E364" s="239"/>
      <c r="F364" s="166"/>
      <c r="G364" s="166"/>
    </row>
    <row r="365" spans="1:7" ht="26.25">
      <c r="A365" s="164" t="s">
        <v>1338</v>
      </c>
      <c r="B365" s="178" t="s">
        <v>1408</v>
      </c>
      <c r="C365" s="222"/>
      <c r="D365" s="239">
        <v>4999998</v>
      </c>
      <c r="E365" s="239"/>
      <c r="F365" s="166"/>
      <c r="G365" s="166"/>
    </row>
    <row r="366" spans="1:9" ht="26.25">
      <c r="A366" s="164" t="s">
        <v>1338</v>
      </c>
      <c r="B366" s="178" t="s">
        <v>1388</v>
      </c>
      <c r="C366" s="222"/>
      <c r="D366" s="239"/>
      <c r="E366" s="239">
        <v>7200000</v>
      </c>
      <c r="F366" s="166"/>
      <c r="G366" s="166"/>
      <c r="I366" s="10"/>
    </row>
    <row r="367" spans="1:9" ht="39">
      <c r="A367" s="164" t="s">
        <v>1338</v>
      </c>
      <c r="B367" s="178" t="s">
        <v>1339</v>
      </c>
      <c r="C367" s="222"/>
      <c r="D367" s="239"/>
      <c r="E367" s="239"/>
      <c r="F367" s="166">
        <v>8000000</v>
      </c>
      <c r="G367" s="166"/>
      <c r="I367" s="10">
        <v>4125</v>
      </c>
    </row>
    <row r="368" spans="1:9" ht="51.75">
      <c r="A368" s="164" t="s">
        <v>1340</v>
      </c>
      <c r="B368" s="178" t="s">
        <v>1341</v>
      </c>
      <c r="C368" s="222"/>
      <c r="D368" s="239"/>
      <c r="E368" s="239"/>
      <c r="F368" s="166"/>
      <c r="G368" s="166">
        <v>8000000</v>
      </c>
      <c r="I368" s="10">
        <v>6433168</v>
      </c>
    </row>
    <row r="369" spans="1:9" ht="26.25">
      <c r="A369" s="161" t="s">
        <v>997</v>
      </c>
      <c r="B369" s="177" t="s">
        <v>998</v>
      </c>
      <c r="C369" s="221">
        <f>C370+C373</f>
        <v>35999607.620000005</v>
      </c>
      <c r="D369" s="238">
        <f>D370+D373</f>
        <v>369596110</v>
      </c>
      <c r="E369" s="238">
        <f>E370+E373</f>
        <v>5948195</v>
      </c>
      <c r="F369" s="163">
        <f>F370+F373</f>
        <v>681622332.4</v>
      </c>
      <c r="G369" s="163">
        <f>G370+G373</f>
        <v>0</v>
      </c>
      <c r="I369" s="10">
        <v>14400000</v>
      </c>
    </row>
    <row r="370" spans="1:9" ht="39">
      <c r="A370" s="161" t="s">
        <v>999</v>
      </c>
      <c r="B370" s="177" t="s">
        <v>1000</v>
      </c>
      <c r="C370" s="221">
        <f>SUM(C371:C372)</f>
        <v>0</v>
      </c>
      <c r="D370" s="238">
        <f>SUM(D371:D372)</f>
        <v>356100000</v>
      </c>
      <c r="E370" s="238">
        <f>SUM(E371:E372)</f>
        <v>1966000</v>
      </c>
      <c r="F370" s="163">
        <f>SUM(F371:F372)</f>
        <v>636062940.4</v>
      </c>
      <c r="G370" s="163">
        <f>SUM(G371:G372)</f>
        <v>0</v>
      </c>
      <c r="I370" s="10">
        <v>10000000</v>
      </c>
    </row>
    <row r="371" spans="1:9" ht="26.25">
      <c r="A371" s="164" t="s">
        <v>1001</v>
      </c>
      <c r="B371" s="178" t="s">
        <v>1002</v>
      </c>
      <c r="C371" s="222"/>
      <c r="D371" s="239">
        <v>356100000</v>
      </c>
      <c r="E371" s="239">
        <f>98066000-96100000</f>
        <v>1966000</v>
      </c>
      <c r="F371" s="166">
        <f>253562940.4-42500000</f>
        <v>211062940.4</v>
      </c>
      <c r="G371" s="166"/>
      <c r="I371" s="10"/>
    </row>
    <row r="372" spans="1:9" ht="26.25">
      <c r="A372" s="218" t="s">
        <v>1342</v>
      </c>
      <c r="B372" s="219" t="s">
        <v>1343</v>
      </c>
      <c r="C372" s="222"/>
      <c r="D372" s="239"/>
      <c r="E372" s="239"/>
      <c r="F372" s="166">
        <v>425000000</v>
      </c>
      <c r="G372" s="166"/>
      <c r="I372" s="10"/>
    </row>
    <row r="373" spans="1:9" ht="39">
      <c r="A373" s="180" t="s">
        <v>1003</v>
      </c>
      <c r="B373" s="181" t="s">
        <v>1004</v>
      </c>
      <c r="C373" s="221">
        <f>SUM(C374:C376)</f>
        <v>35999607.620000005</v>
      </c>
      <c r="D373" s="238">
        <f>SUM(D374:D376)</f>
        <v>13496110</v>
      </c>
      <c r="E373" s="238">
        <f>SUM(E374:E376)</f>
        <v>3982195</v>
      </c>
      <c r="F373" s="163">
        <f>SUM(F374:F376)</f>
        <v>45559392</v>
      </c>
      <c r="G373" s="163">
        <f>SUM(G374:G376)</f>
        <v>0</v>
      </c>
      <c r="I373" s="10">
        <f>SUM(I367:I372)</f>
        <v>30837293</v>
      </c>
    </row>
    <row r="374" spans="1:7" ht="26.25">
      <c r="A374" s="189" t="s">
        <v>1005</v>
      </c>
      <c r="B374" s="190" t="s">
        <v>1006</v>
      </c>
      <c r="C374" s="236">
        <f>32999607.62+3000000</f>
        <v>35999607.620000005</v>
      </c>
      <c r="D374" s="253">
        <v>13496110</v>
      </c>
      <c r="E374" s="253">
        <v>3982195</v>
      </c>
      <c r="F374" s="167">
        <v>45559392</v>
      </c>
      <c r="G374" s="167"/>
    </row>
    <row r="375" spans="1:7" ht="26.25">
      <c r="A375" s="189" t="s">
        <v>1344</v>
      </c>
      <c r="B375" s="190" t="s">
        <v>1345</v>
      </c>
      <c r="C375" s="236"/>
      <c r="D375" s="253"/>
      <c r="E375" s="253"/>
      <c r="F375" s="167"/>
      <c r="G375" s="167"/>
    </row>
    <row r="376" spans="1:7" ht="39">
      <c r="A376" s="191" t="s">
        <v>1346</v>
      </c>
      <c r="B376" s="192" t="s">
        <v>1347</v>
      </c>
      <c r="C376" s="224"/>
      <c r="D376" s="241"/>
      <c r="E376" s="241"/>
      <c r="F376" s="174"/>
      <c r="G376" s="174"/>
    </row>
    <row r="377" spans="1:7" ht="15">
      <c r="A377" s="182">
        <v>230503</v>
      </c>
      <c r="B377" s="183" t="s">
        <v>893</v>
      </c>
      <c r="C377" s="221">
        <f>C378</f>
        <v>0</v>
      </c>
      <c r="D377" s="238">
        <f>D378</f>
        <v>0</v>
      </c>
      <c r="E377" s="238">
        <f>E378</f>
        <v>0</v>
      </c>
      <c r="F377" s="163">
        <f>F378</f>
        <v>0</v>
      </c>
      <c r="G377" s="163">
        <f>G378</f>
        <v>0</v>
      </c>
    </row>
    <row r="378" spans="1:7" ht="15">
      <c r="A378" s="182">
        <v>23050301</v>
      </c>
      <c r="B378" s="183" t="s">
        <v>894</v>
      </c>
      <c r="C378" s="221">
        <f>SUM(C379:C380)</f>
        <v>0</v>
      </c>
      <c r="D378" s="238">
        <f>SUM(D379:D380)</f>
        <v>0</v>
      </c>
      <c r="E378" s="238">
        <f>SUM(E379:E380)</f>
        <v>0</v>
      </c>
      <c r="F378" s="163">
        <f>SUM(F379:F380)</f>
        <v>0</v>
      </c>
      <c r="G378" s="163">
        <f>SUM(G379:G380)</f>
        <v>0</v>
      </c>
    </row>
    <row r="379" spans="1:7" ht="15">
      <c r="A379" s="189"/>
      <c r="B379" s="190"/>
      <c r="C379" s="222"/>
      <c r="D379" s="239"/>
      <c r="E379" s="239"/>
      <c r="F379" s="166"/>
      <c r="G379" s="166"/>
    </row>
    <row r="380" spans="1:7" ht="15">
      <c r="A380" s="191"/>
      <c r="B380" s="192"/>
      <c r="C380" s="224"/>
      <c r="D380" s="241"/>
      <c r="E380" s="241"/>
      <c r="F380" s="174"/>
      <c r="G380" s="174"/>
    </row>
    <row r="381" spans="1:7" ht="15">
      <c r="A381" s="142"/>
      <c r="B381" s="197"/>
      <c r="F381" s="10"/>
      <c r="G381" s="10"/>
    </row>
    <row r="382" spans="1:7" ht="15">
      <c r="A382" s="158" t="s">
        <v>1007</v>
      </c>
      <c r="B382" s="198" t="s">
        <v>1008</v>
      </c>
      <c r="C382" s="220">
        <f>C383+C388+C401+C412</f>
        <v>54848636</v>
      </c>
      <c r="D382" s="237">
        <f>D383+D388+D401+D412</f>
        <v>93760612</v>
      </c>
      <c r="E382" s="237">
        <f>E383+E388+E401+E412</f>
        <v>70957605</v>
      </c>
      <c r="F382" s="160">
        <f>F383+F388+F401+F412</f>
        <v>74430397</v>
      </c>
      <c r="G382" s="160">
        <f>G383+G388+G401+G412</f>
        <v>59849373.4</v>
      </c>
    </row>
    <row r="383" spans="1:7" ht="26.25">
      <c r="A383" s="161" t="s">
        <v>1009</v>
      </c>
      <c r="B383" s="177" t="s">
        <v>1010</v>
      </c>
      <c r="C383" s="221">
        <f>C384</f>
        <v>0</v>
      </c>
      <c r="D383" s="238">
        <f>D384</f>
        <v>16500000</v>
      </c>
      <c r="E383" s="238">
        <f>E384</f>
        <v>12126795</v>
      </c>
      <c r="F383" s="163">
        <f>F384</f>
        <v>0</v>
      </c>
      <c r="G383" s="163">
        <f>G384</f>
        <v>1000000</v>
      </c>
    </row>
    <row r="384" spans="1:7" ht="26.25">
      <c r="A384" s="161" t="s">
        <v>1011</v>
      </c>
      <c r="B384" s="177" t="s">
        <v>1012</v>
      </c>
      <c r="C384" s="221">
        <f>SUM(C385:C387)</f>
        <v>0</v>
      </c>
      <c r="D384" s="238">
        <f>SUM(D385:D387)</f>
        <v>16500000</v>
      </c>
      <c r="E384" s="238">
        <f>SUM(E385:E387)</f>
        <v>12126795</v>
      </c>
      <c r="F384" s="163">
        <f>SUM(F385:F387)</f>
        <v>0</v>
      </c>
      <c r="G384" s="163">
        <f>SUM(G385:G387)</f>
        <v>1000000</v>
      </c>
    </row>
    <row r="385" spans="1:7" ht="26.25">
      <c r="A385" s="164" t="s">
        <v>1013</v>
      </c>
      <c r="B385" s="178" t="s">
        <v>1014</v>
      </c>
      <c r="C385" s="222"/>
      <c r="D385" s="239">
        <v>5000000</v>
      </c>
      <c r="E385" s="239"/>
      <c r="F385" s="166"/>
      <c r="G385" s="166"/>
    </row>
    <row r="386" spans="1:7" ht="15">
      <c r="A386" s="164" t="s">
        <v>1015</v>
      </c>
      <c r="B386" s="178" t="s">
        <v>1016</v>
      </c>
      <c r="C386" s="222"/>
      <c r="D386" s="239"/>
      <c r="E386" s="239">
        <v>2000000</v>
      </c>
      <c r="F386" s="166"/>
      <c r="G386" s="166">
        <v>1000000</v>
      </c>
    </row>
    <row r="387" spans="1:7" ht="15">
      <c r="A387" s="164" t="s">
        <v>1017</v>
      </c>
      <c r="B387" s="178" t="s">
        <v>1018</v>
      </c>
      <c r="C387" s="222"/>
      <c r="D387" s="239">
        <v>11500000</v>
      </c>
      <c r="E387" s="239">
        <v>10126795</v>
      </c>
      <c r="F387" s="166"/>
      <c r="G387" s="166"/>
    </row>
    <row r="388" spans="1:7" ht="26.25">
      <c r="A388" s="161" t="s">
        <v>1019</v>
      </c>
      <c r="B388" s="177" t="s">
        <v>1020</v>
      </c>
      <c r="C388" s="221">
        <f>C389+C391+C394+C399</f>
        <v>7000000</v>
      </c>
      <c r="D388" s="238">
        <f>D389+D391+D394+D399</f>
        <v>9000000</v>
      </c>
      <c r="E388" s="238">
        <f>E389+E391+E394+E399</f>
        <v>4500000</v>
      </c>
      <c r="F388" s="163">
        <f>F389+F391+F394+F399</f>
        <v>12700000</v>
      </c>
      <c r="G388" s="163">
        <f>G389+G391+G394+G399</f>
        <v>3000000</v>
      </c>
    </row>
    <row r="389" spans="1:7" ht="15">
      <c r="A389" s="161" t="s">
        <v>1021</v>
      </c>
      <c r="B389" s="177" t="s">
        <v>1022</v>
      </c>
      <c r="C389" s="221">
        <f>C390</f>
        <v>3000000</v>
      </c>
      <c r="D389" s="238">
        <f>D390</f>
        <v>7000000</v>
      </c>
      <c r="E389" s="238">
        <f>E390</f>
        <v>1500000</v>
      </c>
      <c r="F389" s="163">
        <f>F390</f>
        <v>3700000</v>
      </c>
      <c r="G389" s="163">
        <f>G390</f>
        <v>0</v>
      </c>
    </row>
    <row r="390" spans="1:7" ht="26.25">
      <c r="A390" s="164" t="s">
        <v>1023</v>
      </c>
      <c r="B390" s="178" t="s">
        <v>1024</v>
      </c>
      <c r="C390" s="222">
        <v>3000000</v>
      </c>
      <c r="D390" s="239">
        <v>7000000</v>
      </c>
      <c r="E390" s="239">
        <v>1500000</v>
      </c>
      <c r="F390" s="166">
        <v>3700000</v>
      </c>
      <c r="G390" s="166"/>
    </row>
    <row r="391" spans="1:7" ht="15">
      <c r="A391" s="161" t="s">
        <v>1025</v>
      </c>
      <c r="B391" s="177" t="s">
        <v>1026</v>
      </c>
      <c r="C391" s="221">
        <f>SUM(C392:C393)</f>
        <v>0</v>
      </c>
      <c r="D391" s="238">
        <f>SUM(D392:D393)</f>
        <v>0</v>
      </c>
      <c r="E391" s="238">
        <f>SUM(E392:E393)</f>
        <v>3000000</v>
      </c>
      <c r="F391" s="163">
        <f>SUM(F392:F393)</f>
        <v>9000000</v>
      </c>
      <c r="G391" s="163">
        <f>SUM(G392:G393)</f>
        <v>3000000</v>
      </c>
    </row>
    <row r="392" spans="1:7" ht="15">
      <c r="A392" s="164" t="s">
        <v>1027</v>
      </c>
      <c r="B392" s="178" t="s">
        <v>1028</v>
      </c>
      <c r="C392" s="222"/>
      <c r="D392" s="239"/>
      <c r="E392" s="239"/>
      <c r="F392" s="166"/>
      <c r="G392" s="166"/>
    </row>
    <row r="393" spans="1:7" ht="15">
      <c r="A393" s="164" t="s">
        <v>1029</v>
      </c>
      <c r="B393" s="178" t="s">
        <v>1030</v>
      </c>
      <c r="C393" s="222"/>
      <c r="D393" s="239"/>
      <c r="E393" s="239">
        <v>3000000</v>
      </c>
      <c r="F393" s="166">
        <v>9000000</v>
      </c>
      <c r="G393" s="166">
        <v>3000000</v>
      </c>
    </row>
    <row r="394" spans="1:7" ht="15">
      <c r="A394" s="161" t="s">
        <v>1031</v>
      </c>
      <c r="B394" s="177" t="s">
        <v>1032</v>
      </c>
      <c r="C394" s="221">
        <f>SUM(C395:C398)</f>
        <v>4000000</v>
      </c>
      <c r="D394" s="221">
        <f>SUM(D395:D398)</f>
        <v>0</v>
      </c>
      <c r="E394" s="221">
        <f>SUM(E395:E398)</f>
        <v>0</v>
      </c>
      <c r="F394" s="221">
        <f>SUM(F395:F398)</f>
        <v>0</v>
      </c>
      <c r="G394" s="221">
        <f>SUM(G395:G398)</f>
        <v>0</v>
      </c>
    </row>
    <row r="395" spans="1:7" ht="26.25">
      <c r="A395" s="164" t="s">
        <v>1033</v>
      </c>
      <c r="B395" s="178" t="s">
        <v>1034</v>
      </c>
      <c r="C395" s="222"/>
      <c r="D395" s="239"/>
      <c r="E395" s="239"/>
      <c r="F395" s="166"/>
      <c r="G395" s="166"/>
    </row>
    <row r="396" spans="1:7" ht="39">
      <c r="A396" s="164"/>
      <c r="B396" s="178" t="s">
        <v>22</v>
      </c>
      <c r="C396" s="222">
        <v>1500000</v>
      </c>
      <c r="D396" s="239"/>
      <c r="E396" s="239"/>
      <c r="F396" s="166"/>
      <c r="G396" s="166"/>
    </row>
    <row r="397" spans="1:7" ht="26.25">
      <c r="A397" s="164"/>
      <c r="B397" s="178" t="s">
        <v>23</v>
      </c>
      <c r="C397" s="222">
        <v>1500000</v>
      </c>
      <c r="D397" s="239"/>
      <c r="E397" s="239"/>
      <c r="F397" s="166"/>
      <c r="G397" s="166"/>
    </row>
    <row r="398" spans="1:7" ht="15">
      <c r="A398" s="164"/>
      <c r="B398" s="178" t="s">
        <v>24</v>
      </c>
      <c r="C398" s="222">
        <v>1000000</v>
      </c>
      <c r="D398" s="239"/>
      <c r="E398" s="239"/>
      <c r="F398" s="166"/>
      <c r="G398" s="166"/>
    </row>
    <row r="399" spans="1:7" ht="15">
      <c r="A399" s="161" t="s">
        <v>1035</v>
      </c>
      <c r="B399" s="177" t="s">
        <v>1036</v>
      </c>
      <c r="C399" s="221">
        <f>C400</f>
        <v>0</v>
      </c>
      <c r="D399" s="238">
        <f>D400</f>
        <v>2000000</v>
      </c>
      <c r="E399" s="238">
        <f>E400</f>
        <v>0</v>
      </c>
      <c r="F399" s="163">
        <f>F400</f>
        <v>0</v>
      </c>
      <c r="G399" s="163">
        <f>G400</f>
        <v>0</v>
      </c>
    </row>
    <row r="400" spans="1:7" ht="26.25">
      <c r="A400" s="164" t="s">
        <v>1037</v>
      </c>
      <c r="B400" s="178" t="s">
        <v>1038</v>
      </c>
      <c r="C400" s="222"/>
      <c r="D400" s="239">
        <v>2000000</v>
      </c>
      <c r="E400" s="239"/>
      <c r="F400" s="166"/>
      <c r="G400" s="166"/>
    </row>
    <row r="401" spans="1:9" ht="15">
      <c r="A401" s="161" t="s">
        <v>1039</v>
      </c>
      <c r="B401" s="177" t="s">
        <v>1040</v>
      </c>
      <c r="C401" s="221">
        <f>C402+C406+C408+C410</f>
        <v>47848636</v>
      </c>
      <c r="D401" s="238">
        <f>D402+D406+D408+D410</f>
        <v>68260612</v>
      </c>
      <c r="E401" s="238">
        <f>E402+E406+E408+E410</f>
        <v>54330810</v>
      </c>
      <c r="F401" s="163">
        <f>F402+F406+F408+F410</f>
        <v>61730397</v>
      </c>
      <c r="G401" s="163">
        <f>G402+G406+G408+G410</f>
        <v>55849373.4</v>
      </c>
      <c r="I401" s="10"/>
    </row>
    <row r="402" spans="1:9" ht="26.25">
      <c r="A402" s="161" t="s">
        <v>1041</v>
      </c>
      <c r="B402" s="177" t="s">
        <v>1042</v>
      </c>
      <c r="C402" s="221">
        <f>SUM(C403:C405)</f>
        <v>45348636</v>
      </c>
      <c r="D402" s="238">
        <f>SUM(D403:D405)</f>
        <v>52411647</v>
      </c>
      <c r="E402" s="238">
        <f>SUM(E403:E405)</f>
        <v>47831390</v>
      </c>
      <c r="F402" s="163">
        <f>SUM(F403:F405)</f>
        <v>54230397</v>
      </c>
      <c r="G402" s="163">
        <f>SUM(G403:G405)</f>
        <v>55849373.4</v>
      </c>
      <c r="I402" s="10"/>
    </row>
    <row r="403" spans="1:9" ht="26.25">
      <c r="A403" s="164" t="s">
        <v>1043</v>
      </c>
      <c r="B403" s="178" t="s">
        <v>1044</v>
      </c>
      <c r="C403" s="222">
        <f>28058970+2100000</f>
        <v>30158970</v>
      </c>
      <c r="D403" s="239">
        <f>26755924-2100000</f>
        <v>24655924</v>
      </c>
      <c r="E403" s="239">
        <v>14388390</v>
      </c>
      <c r="F403" s="166">
        <v>33925330</v>
      </c>
      <c r="G403" s="166">
        <v>33349373.4</v>
      </c>
      <c r="I403" s="10"/>
    </row>
    <row r="404" spans="1:7" ht="15">
      <c r="A404" s="164" t="s">
        <v>1045</v>
      </c>
      <c r="B404" s="178" t="s">
        <v>1046</v>
      </c>
      <c r="C404" s="222">
        <v>1000000</v>
      </c>
      <c r="D404" s="239">
        <v>6409056</v>
      </c>
      <c r="E404" s="239">
        <f>9773000-4080000</f>
        <v>5693000</v>
      </c>
      <c r="F404" s="166">
        <v>4960000</v>
      </c>
      <c r="G404" s="166">
        <v>3000000</v>
      </c>
    </row>
    <row r="405" spans="1:7" ht="26.25">
      <c r="A405" s="164" t="s">
        <v>1047</v>
      </c>
      <c r="B405" s="178" t="s">
        <v>1048</v>
      </c>
      <c r="C405" s="222">
        <v>14189666</v>
      </c>
      <c r="D405" s="239">
        <v>21346667</v>
      </c>
      <c r="E405" s="239">
        <v>27750000</v>
      </c>
      <c r="F405" s="166">
        <f>25581734-10236667</f>
        <v>15345067</v>
      </c>
      <c r="G405" s="166">
        <v>19500000</v>
      </c>
    </row>
    <row r="406" spans="1:7" ht="26.25">
      <c r="A406" s="161" t="s">
        <v>1049</v>
      </c>
      <c r="B406" s="177" t="s">
        <v>1050</v>
      </c>
      <c r="C406" s="221">
        <f>C407</f>
        <v>1000000</v>
      </c>
      <c r="D406" s="238">
        <f>D407</f>
        <v>4999500</v>
      </c>
      <c r="E406" s="238">
        <f>E407</f>
        <v>4999420</v>
      </c>
      <c r="F406" s="163">
        <f>F407</f>
        <v>7500000</v>
      </c>
      <c r="G406" s="163">
        <f>G407</f>
        <v>0</v>
      </c>
    </row>
    <row r="407" spans="1:7" ht="26.25">
      <c r="A407" s="164" t="s">
        <v>1051</v>
      </c>
      <c r="B407" s="178" t="s">
        <v>1052</v>
      </c>
      <c r="C407" s="222">
        <v>1000000</v>
      </c>
      <c r="D407" s="239">
        <v>4999500</v>
      </c>
      <c r="E407" s="239">
        <v>4999420</v>
      </c>
      <c r="F407" s="166">
        <v>7500000</v>
      </c>
      <c r="G407" s="166"/>
    </row>
    <row r="408" spans="1:7" ht="26.25">
      <c r="A408" s="161" t="s">
        <v>1053</v>
      </c>
      <c r="B408" s="177" t="s">
        <v>1054</v>
      </c>
      <c r="C408" s="221">
        <f>C409</f>
        <v>0</v>
      </c>
      <c r="D408" s="238">
        <f>D409</f>
        <v>7999465</v>
      </c>
      <c r="E408" s="238">
        <f>E409</f>
        <v>0</v>
      </c>
      <c r="F408" s="163">
        <f>F409</f>
        <v>0</v>
      </c>
      <c r="G408" s="163">
        <f>G409</f>
        <v>0</v>
      </c>
    </row>
    <row r="409" spans="1:7" ht="26.25">
      <c r="A409" s="164" t="s">
        <v>1055</v>
      </c>
      <c r="B409" s="178" t="s">
        <v>1056</v>
      </c>
      <c r="C409" s="222"/>
      <c r="D409" s="239">
        <v>7999465</v>
      </c>
      <c r="E409" s="239"/>
      <c r="F409" s="166"/>
      <c r="G409" s="166"/>
    </row>
    <row r="410" spans="1:7" ht="26.25">
      <c r="A410" s="180" t="s">
        <v>1057</v>
      </c>
      <c r="B410" s="181" t="s">
        <v>1058</v>
      </c>
      <c r="C410" s="221">
        <f>C411</f>
        <v>1500000</v>
      </c>
      <c r="D410" s="238">
        <f>D411</f>
        <v>2850000</v>
      </c>
      <c r="E410" s="238">
        <f>E411</f>
        <v>1500000</v>
      </c>
      <c r="F410" s="163">
        <f>F411</f>
        <v>0</v>
      </c>
      <c r="G410" s="163">
        <f>G411</f>
        <v>0</v>
      </c>
    </row>
    <row r="411" spans="1:7" ht="26.25">
      <c r="A411" s="191" t="s">
        <v>1059</v>
      </c>
      <c r="B411" s="192" t="s">
        <v>1060</v>
      </c>
      <c r="C411" s="224">
        <v>1500000</v>
      </c>
      <c r="D411" s="241">
        <v>2850000</v>
      </c>
      <c r="E411" s="241">
        <v>1500000</v>
      </c>
      <c r="F411" s="174"/>
      <c r="G411" s="174"/>
    </row>
    <row r="412" spans="1:7" ht="15">
      <c r="A412" s="182">
        <v>230604</v>
      </c>
      <c r="B412" s="183" t="s">
        <v>893</v>
      </c>
      <c r="C412" s="221">
        <f>C413</f>
        <v>0</v>
      </c>
      <c r="D412" s="238">
        <f>D413</f>
        <v>0</v>
      </c>
      <c r="E412" s="238">
        <f>E413</f>
        <v>0</v>
      </c>
      <c r="F412" s="163">
        <f>F413</f>
        <v>0</v>
      </c>
      <c r="G412" s="163">
        <f>G413</f>
        <v>0</v>
      </c>
    </row>
    <row r="413" spans="1:7" ht="15">
      <c r="A413" s="182">
        <v>23060401</v>
      </c>
      <c r="B413" s="183" t="s">
        <v>894</v>
      </c>
      <c r="C413" s="221">
        <f>SUM(C414:C415)</f>
        <v>0</v>
      </c>
      <c r="D413" s="238">
        <f>SUM(D414:D415)</f>
        <v>0</v>
      </c>
      <c r="E413" s="238">
        <f>SUM(E414:E415)</f>
        <v>0</v>
      </c>
      <c r="F413" s="163">
        <f>SUM(F414:F415)</f>
        <v>0</v>
      </c>
      <c r="G413" s="163">
        <f>SUM(G414:G415)</f>
        <v>0</v>
      </c>
    </row>
    <row r="414" spans="1:7" ht="15">
      <c r="A414" s="189"/>
      <c r="B414" s="190"/>
      <c r="C414" s="222"/>
      <c r="D414" s="239"/>
      <c r="E414" s="239"/>
      <c r="F414" s="166"/>
      <c r="G414" s="166"/>
    </row>
    <row r="415" spans="1:7" ht="15">
      <c r="A415" s="191"/>
      <c r="B415" s="192"/>
      <c r="C415" s="224"/>
      <c r="D415" s="241"/>
      <c r="E415" s="241"/>
      <c r="F415" s="174"/>
      <c r="G415" s="174"/>
    </row>
    <row r="416" spans="1:7" ht="15">
      <c r="A416" s="142"/>
      <c r="B416" s="197"/>
      <c r="F416" s="10"/>
      <c r="G416" s="10"/>
    </row>
    <row r="417" spans="1:7" ht="15">
      <c r="A417" s="158" t="s">
        <v>1061</v>
      </c>
      <c r="B417" s="198" t="s">
        <v>1062</v>
      </c>
      <c r="C417" s="220">
        <f>C418+C424+C432</f>
        <v>82899170</v>
      </c>
      <c r="D417" s="237">
        <f>D418+D424+D432</f>
        <v>0</v>
      </c>
      <c r="E417" s="237">
        <f>E418+E424+E432</f>
        <v>472292211.03</v>
      </c>
      <c r="F417" s="160">
        <f>F418+F424+F432</f>
        <v>93666972.76</v>
      </c>
      <c r="G417" s="160">
        <f>G418+G424+G432</f>
        <v>146500000</v>
      </c>
    </row>
    <row r="418" spans="1:7" ht="15">
      <c r="A418" s="161" t="s">
        <v>1063</v>
      </c>
      <c r="B418" s="177" t="s">
        <v>1064</v>
      </c>
      <c r="C418" s="221">
        <f>C419+C422</f>
        <v>40000000</v>
      </c>
      <c r="D418" s="238">
        <f>D419+D422</f>
        <v>0</v>
      </c>
      <c r="E418" s="238">
        <f>E419+E422</f>
        <v>365356389</v>
      </c>
      <c r="F418" s="163">
        <f>F419+F422</f>
        <v>81011123.76</v>
      </c>
      <c r="G418" s="163">
        <f>G419+G422</f>
        <v>146500000</v>
      </c>
    </row>
    <row r="419" spans="1:7" ht="26.25">
      <c r="A419" s="161" t="s">
        <v>1065</v>
      </c>
      <c r="B419" s="177" t="s">
        <v>1066</v>
      </c>
      <c r="C419" s="221">
        <f>SUM(C420:C421)</f>
        <v>40000000</v>
      </c>
      <c r="D419" s="238">
        <f>SUM(D420:D421)</f>
        <v>0</v>
      </c>
      <c r="E419" s="238">
        <f>SUM(E420:E421)</f>
        <v>365356389</v>
      </c>
      <c r="F419" s="163">
        <f>SUM(F420:F421)</f>
        <v>81011123.76</v>
      </c>
      <c r="G419" s="163">
        <f>SUM(G420:G421)</f>
        <v>146500000</v>
      </c>
    </row>
    <row r="420" spans="1:9" ht="39">
      <c r="A420" s="164" t="s">
        <v>1067</v>
      </c>
      <c r="B420" s="178" t="s">
        <v>1068</v>
      </c>
      <c r="C420" s="222">
        <v>40000000</v>
      </c>
      <c r="D420" s="239"/>
      <c r="E420" s="239">
        <v>365356389</v>
      </c>
      <c r="F420" s="166">
        <v>81011123.76</v>
      </c>
      <c r="G420" s="166">
        <f>93376000-36876000</f>
        <v>56500000</v>
      </c>
      <c r="I420" s="10"/>
    </row>
    <row r="421" spans="1:7" ht="39">
      <c r="A421" s="164" t="s">
        <v>1348</v>
      </c>
      <c r="B421" s="178" t="s">
        <v>1349</v>
      </c>
      <c r="C421" s="222"/>
      <c r="D421" s="239"/>
      <c r="E421" s="239"/>
      <c r="F421" s="166"/>
      <c r="G421" s="166">
        <v>90000000</v>
      </c>
    </row>
    <row r="422" spans="1:7" ht="26.25">
      <c r="A422" s="161" t="s">
        <v>1069</v>
      </c>
      <c r="B422" s="177" t="s">
        <v>1070</v>
      </c>
      <c r="C422" s="221">
        <f>C423</f>
        <v>0</v>
      </c>
      <c r="D422" s="238">
        <f>D423</f>
        <v>0</v>
      </c>
      <c r="E422" s="238">
        <f>E423</f>
        <v>0</v>
      </c>
      <c r="F422" s="163">
        <f>F423</f>
        <v>0</v>
      </c>
      <c r="G422" s="163">
        <f>G423</f>
        <v>0</v>
      </c>
    </row>
    <row r="423" spans="1:7" ht="26.25">
      <c r="A423" s="164" t="s">
        <v>1071</v>
      </c>
      <c r="B423" s="178" t="s">
        <v>1072</v>
      </c>
      <c r="C423" s="222"/>
      <c r="D423" s="239"/>
      <c r="E423" s="239"/>
      <c r="F423" s="166"/>
      <c r="G423" s="166"/>
    </row>
    <row r="424" spans="1:7" ht="26.25">
      <c r="A424" s="161" t="s">
        <v>1073</v>
      </c>
      <c r="B424" s="177" t="s">
        <v>1074</v>
      </c>
      <c r="C424" s="221">
        <f>C425+C428</f>
        <v>42899170</v>
      </c>
      <c r="D424" s="238">
        <f>D425+D428</f>
        <v>0</v>
      </c>
      <c r="E424" s="238">
        <f>E425+E428</f>
        <v>106935822.03</v>
      </c>
      <c r="F424" s="163">
        <f>F425+F428</f>
        <v>12655849</v>
      </c>
      <c r="G424" s="163">
        <f>G425+G428</f>
        <v>0</v>
      </c>
    </row>
    <row r="425" spans="1:7" ht="26.25">
      <c r="A425" s="161" t="s">
        <v>1075</v>
      </c>
      <c r="B425" s="177" t="s">
        <v>1076</v>
      </c>
      <c r="C425" s="221">
        <f>SUM(C426:C427)</f>
        <v>24899170</v>
      </c>
      <c r="D425" s="238">
        <f>SUM(D426:D427)</f>
        <v>0</v>
      </c>
      <c r="E425" s="238">
        <f>SUM(E426:E427)</f>
        <v>99935831.03</v>
      </c>
      <c r="F425" s="163">
        <f>SUM(F426:F427)</f>
        <v>12655849</v>
      </c>
      <c r="G425" s="163">
        <f>SUM(G426:G427)</f>
        <v>0</v>
      </c>
    </row>
    <row r="426" spans="1:7" ht="26.25">
      <c r="A426" s="164" t="s">
        <v>1077</v>
      </c>
      <c r="B426" s="178" t="s">
        <v>1078</v>
      </c>
      <c r="C426" s="222">
        <v>24899170</v>
      </c>
      <c r="D426" s="239"/>
      <c r="E426" s="239"/>
      <c r="F426" s="166">
        <v>12655849</v>
      </c>
      <c r="G426" s="166"/>
    </row>
    <row r="427" spans="1:9" ht="26.25">
      <c r="A427" s="218" t="s">
        <v>1389</v>
      </c>
      <c r="B427" s="219" t="s">
        <v>1390</v>
      </c>
      <c r="C427" s="222"/>
      <c r="D427" s="239"/>
      <c r="E427" s="239">
        <v>99935831.03</v>
      </c>
      <c r="F427" s="166"/>
      <c r="G427" s="166"/>
      <c r="I427" s="10">
        <v>15000000</v>
      </c>
    </row>
    <row r="428" spans="1:9" ht="26.25">
      <c r="A428" s="180" t="s">
        <v>1079</v>
      </c>
      <c r="B428" s="181" t="s">
        <v>1080</v>
      </c>
      <c r="C428" s="221">
        <f>SUM(C429:C431)</f>
        <v>18000000</v>
      </c>
      <c r="D428" s="238">
        <f>SUM(D429:D431)</f>
        <v>0</v>
      </c>
      <c r="E428" s="238">
        <f>SUM(E429:E431)</f>
        <v>6999991</v>
      </c>
      <c r="F428" s="163">
        <f>SUM(F429:F431)</f>
        <v>0</v>
      </c>
      <c r="G428" s="163">
        <f>SUM(G429:G431)</f>
        <v>0</v>
      </c>
      <c r="I428" s="10">
        <v>10217865.75</v>
      </c>
    </row>
    <row r="429" spans="1:9" ht="26.25">
      <c r="A429" s="189" t="s">
        <v>1081</v>
      </c>
      <c r="B429" s="190" t="s">
        <v>1082</v>
      </c>
      <c r="C429" s="222"/>
      <c r="D429" s="239"/>
      <c r="E429" s="239"/>
      <c r="F429" s="166"/>
      <c r="G429" s="166"/>
      <c r="I429" s="10">
        <v>400000</v>
      </c>
    </row>
    <row r="430" spans="1:7" ht="15">
      <c r="A430" s="189" t="s">
        <v>1083</v>
      </c>
      <c r="B430" s="190" t="s">
        <v>1084</v>
      </c>
      <c r="C430" s="222">
        <f>12500000+5500000</f>
        <v>18000000</v>
      </c>
      <c r="D430" s="239"/>
      <c r="E430" s="239"/>
      <c r="F430" s="166"/>
      <c r="G430" s="166"/>
    </row>
    <row r="431" spans="1:9" ht="26.25">
      <c r="A431" s="191" t="s">
        <v>1085</v>
      </c>
      <c r="B431" s="192" t="s">
        <v>1086</v>
      </c>
      <c r="C431" s="224"/>
      <c r="D431" s="241"/>
      <c r="E431" s="241">
        <v>6999991</v>
      </c>
      <c r="F431" s="174"/>
      <c r="G431" s="174"/>
      <c r="I431" s="10">
        <v>5665302</v>
      </c>
    </row>
    <row r="432" spans="1:9" ht="15">
      <c r="A432" s="182">
        <v>230703</v>
      </c>
      <c r="B432" s="183" t="s">
        <v>893</v>
      </c>
      <c r="C432" s="221">
        <f>C433</f>
        <v>0</v>
      </c>
      <c r="D432" s="238">
        <f>D433</f>
        <v>0</v>
      </c>
      <c r="E432" s="238">
        <f>E433</f>
        <v>0</v>
      </c>
      <c r="F432" s="163">
        <f>F433</f>
        <v>0</v>
      </c>
      <c r="G432" s="163">
        <f>G433</f>
        <v>0</v>
      </c>
      <c r="I432" s="10">
        <v>19334698</v>
      </c>
    </row>
    <row r="433" spans="1:9" ht="15">
      <c r="A433" s="182">
        <v>23070301</v>
      </c>
      <c r="B433" s="183" t="s">
        <v>894</v>
      </c>
      <c r="C433" s="221">
        <f>SUM(C434:C435)</f>
        <v>0</v>
      </c>
      <c r="D433" s="238">
        <f>SUM(D434:D435)</f>
        <v>0</v>
      </c>
      <c r="E433" s="238">
        <f>SUM(E434:E435)</f>
        <v>0</v>
      </c>
      <c r="F433" s="163">
        <f>SUM(F434:F435)</f>
        <v>0</v>
      </c>
      <c r="G433" s="163">
        <f>SUM(G434:G435)</f>
        <v>0</v>
      </c>
      <c r="I433" s="10">
        <v>10358700</v>
      </c>
    </row>
    <row r="434" spans="1:9" ht="15">
      <c r="A434" s="189"/>
      <c r="B434" s="190"/>
      <c r="C434" s="222"/>
      <c r="D434" s="239"/>
      <c r="E434" s="239"/>
      <c r="F434" s="166"/>
      <c r="G434" s="166"/>
      <c r="I434" s="39"/>
    </row>
    <row r="435" spans="1:9" ht="15">
      <c r="A435" s="191"/>
      <c r="B435" s="192"/>
      <c r="C435" s="224"/>
      <c r="D435" s="241"/>
      <c r="E435" s="241"/>
      <c r="F435" s="174"/>
      <c r="G435" s="174"/>
      <c r="I435" s="39">
        <f>SUM(I427:I434)</f>
        <v>60976565.75</v>
      </c>
    </row>
    <row r="436" spans="1:9" ht="15">
      <c r="A436" s="195"/>
      <c r="B436" s="196"/>
      <c r="F436" s="10"/>
      <c r="G436" s="10"/>
      <c r="I436" s="10"/>
    </row>
    <row r="437" spans="1:9" ht="15">
      <c r="A437" s="158" t="s">
        <v>1087</v>
      </c>
      <c r="B437" s="198" t="s">
        <v>1088</v>
      </c>
      <c r="C437" s="220">
        <f>C438+C455+C462</f>
        <v>148124990</v>
      </c>
      <c r="D437" s="237">
        <f>D438+D455+D462</f>
        <v>86715945</v>
      </c>
      <c r="E437" s="237">
        <f>E438+E455+E462</f>
        <v>143459999.68</v>
      </c>
      <c r="F437" s="160">
        <f>F438+F455+F462</f>
        <v>172612092.75</v>
      </c>
      <c r="G437" s="160">
        <f>G438+G455+G462</f>
        <v>43080000</v>
      </c>
      <c r="I437" s="10"/>
    </row>
    <row r="438" spans="1:9" ht="26.25">
      <c r="A438" s="161" t="s">
        <v>1089</v>
      </c>
      <c r="B438" s="177" t="s">
        <v>1090</v>
      </c>
      <c r="C438" s="221">
        <f>C439+C448+C451+C453</f>
        <v>108681851</v>
      </c>
      <c r="D438" s="238">
        <f>D439+D448+D451+D453</f>
        <v>71715945</v>
      </c>
      <c r="E438" s="238">
        <f>E439+E448+E451+E453</f>
        <v>143459999.68</v>
      </c>
      <c r="F438" s="163">
        <f>F439+F448+F451+F453</f>
        <v>77412092.75</v>
      </c>
      <c r="G438" s="163">
        <f>G439+G448+G451+G453</f>
        <v>37000000</v>
      </c>
      <c r="I438" s="39"/>
    </row>
    <row r="439" spans="1:7" ht="26.25">
      <c r="A439" s="161" t="s">
        <v>1091</v>
      </c>
      <c r="B439" s="177" t="s">
        <v>1092</v>
      </c>
      <c r="C439" s="221">
        <f>SUM(C440:C447)</f>
        <v>108681851</v>
      </c>
      <c r="D439" s="238">
        <f>SUM(D440:D447)</f>
        <v>71715945</v>
      </c>
      <c r="E439" s="238">
        <f>SUM(E440:E447)</f>
        <v>134459999.68</v>
      </c>
      <c r="F439" s="163">
        <f>SUM(F440:F447)</f>
        <v>41595092.75</v>
      </c>
      <c r="G439" s="163">
        <f>SUM(G440:G447)</f>
        <v>1000000</v>
      </c>
    </row>
    <row r="440" spans="1:8" ht="39">
      <c r="A440" s="164" t="s">
        <v>1093</v>
      </c>
      <c r="B440" s="178" t="s">
        <v>1094</v>
      </c>
      <c r="C440" s="222">
        <v>31015301.5</v>
      </c>
      <c r="D440" s="239"/>
      <c r="E440" s="239">
        <v>57959999.68</v>
      </c>
      <c r="F440" s="166">
        <f>80595092.75-40000000</f>
        <v>40595092.75</v>
      </c>
      <c r="G440" s="166"/>
      <c r="H440" s="39"/>
    </row>
    <row r="441" spans="1:7" ht="39">
      <c r="A441" s="164" t="s">
        <v>1095</v>
      </c>
      <c r="B441" s="178" t="s">
        <v>1096</v>
      </c>
      <c r="C441" s="222">
        <v>1214800</v>
      </c>
      <c r="D441" s="239"/>
      <c r="E441" s="239">
        <v>4500000</v>
      </c>
      <c r="F441" s="166"/>
      <c r="G441" s="166"/>
    </row>
    <row r="442" spans="1:7" ht="15">
      <c r="A442" s="164"/>
      <c r="B442" s="178" t="s">
        <v>19</v>
      </c>
      <c r="C442" s="222">
        <v>4000000</v>
      </c>
      <c r="D442" s="239"/>
      <c r="E442" s="239"/>
      <c r="F442" s="166"/>
      <c r="G442" s="166"/>
    </row>
    <row r="443" spans="1:9" ht="26.25">
      <c r="A443" s="164" t="s">
        <v>1097</v>
      </c>
      <c r="B443" s="178" t="s">
        <v>1098</v>
      </c>
      <c r="C443" s="222"/>
      <c r="D443" s="239"/>
      <c r="E443" s="239">
        <v>2000000</v>
      </c>
      <c r="F443" s="166">
        <f>2000000-1000000</f>
        <v>1000000</v>
      </c>
      <c r="G443" s="166">
        <v>1000000</v>
      </c>
      <c r="I443" s="10"/>
    </row>
    <row r="444" spans="1:9" ht="26.25">
      <c r="A444" s="164"/>
      <c r="B444" s="178" t="s">
        <v>20</v>
      </c>
      <c r="C444" s="222">
        <v>2774106.5</v>
      </c>
      <c r="D444" s="239"/>
      <c r="E444" s="239"/>
      <c r="F444" s="166"/>
      <c r="G444" s="166"/>
      <c r="I444" s="10">
        <v>4000000</v>
      </c>
    </row>
    <row r="445" spans="1:9" ht="26.25">
      <c r="A445" s="164"/>
      <c r="B445" s="178" t="s">
        <v>21</v>
      </c>
      <c r="C445" s="222">
        <v>69677643</v>
      </c>
      <c r="D445" s="239"/>
      <c r="E445" s="239"/>
      <c r="F445" s="166"/>
      <c r="G445" s="166"/>
      <c r="I445" s="10">
        <v>2967000</v>
      </c>
    </row>
    <row r="446" spans="1:9" ht="39">
      <c r="A446" s="164" t="s">
        <v>1350</v>
      </c>
      <c r="B446" s="178" t="s">
        <v>1409</v>
      </c>
      <c r="C446" s="222"/>
      <c r="D446" s="239">
        <v>71715945</v>
      </c>
      <c r="E446" s="239"/>
      <c r="F446" s="166"/>
      <c r="G446" s="166"/>
      <c r="I446" s="10">
        <v>3000000</v>
      </c>
    </row>
    <row r="447" spans="1:7" ht="26.25">
      <c r="A447" s="164" t="s">
        <v>1350</v>
      </c>
      <c r="B447" s="178" t="s">
        <v>1351</v>
      </c>
      <c r="C447" s="222"/>
      <c r="D447" s="239"/>
      <c r="E447" s="239">
        <v>70000000</v>
      </c>
      <c r="F447" s="166"/>
      <c r="G447" s="166"/>
    </row>
    <row r="448" spans="1:7" ht="26.25">
      <c r="A448" s="161" t="s">
        <v>1099</v>
      </c>
      <c r="B448" s="177" t="s">
        <v>1100</v>
      </c>
      <c r="C448" s="221">
        <f>SUM(C449:C450)</f>
        <v>0</v>
      </c>
      <c r="D448" s="238">
        <f>SUM(D449:D450)</f>
        <v>0</v>
      </c>
      <c r="E448" s="238">
        <f>SUM(E449:E450)</f>
        <v>4500000</v>
      </c>
      <c r="F448" s="163">
        <f>SUM(F449:F450)</f>
        <v>9967000</v>
      </c>
      <c r="G448" s="163">
        <f>SUM(G449:G450)</f>
        <v>12000000</v>
      </c>
    </row>
    <row r="449" spans="1:7" ht="39">
      <c r="A449" s="164" t="s">
        <v>1101</v>
      </c>
      <c r="B449" s="178" t="s">
        <v>1102</v>
      </c>
      <c r="C449" s="222"/>
      <c r="D449" s="239"/>
      <c r="E449" s="239">
        <v>4500000</v>
      </c>
      <c r="F449" s="166">
        <f>12217000-2250000</f>
        <v>9967000</v>
      </c>
      <c r="G449" s="166"/>
    </row>
    <row r="450" spans="1:7" ht="39">
      <c r="A450" s="164" t="s">
        <v>1352</v>
      </c>
      <c r="B450" s="178" t="s">
        <v>1353</v>
      </c>
      <c r="C450" s="222"/>
      <c r="D450" s="239"/>
      <c r="E450" s="239"/>
      <c r="F450" s="166"/>
      <c r="G450" s="166">
        <v>12000000</v>
      </c>
    </row>
    <row r="451" spans="1:7" ht="26.25">
      <c r="A451" s="161" t="s">
        <v>1103</v>
      </c>
      <c r="B451" s="177" t="s">
        <v>1104</v>
      </c>
      <c r="C451" s="221">
        <f>C452</f>
        <v>0</v>
      </c>
      <c r="D451" s="238">
        <f>D452</f>
        <v>0</v>
      </c>
      <c r="E451" s="238">
        <f>E452</f>
        <v>0</v>
      </c>
      <c r="F451" s="163">
        <f>F452</f>
        <v>0</v>
      </c>
      <c r="G451" s="163">
        <f>G452</f>
        <v>4500000</v>
      </c>
    </row>
    <row r="452" spans="1:7" ht="39">
      <c r="A452" s="164" t="s">
        <v>1105</v>
      </c>
      <c r="B452" s="178" t="s">
        <v>1106</v>
      </c>
      <c r="C452" s="222"/>
      <c r="D452" s="239"/>
      <c r="E452" s="239"/>
      <c r="F452" s="166"/>
      <c r="G452" s="166">
        <v>4500000</v>
      </c>
    </row>
    <row r="453" spans="1:7" ht="26.25">
      <c r="A453" s="161" t="s">
        <v>1107</v>
      </c>
      <c r="B453" s="177" t="s">
        <v>1108</v>
      </c>
      <c r="C453" s="221">
        <f>C454</f>
        <v>0</v>
      </c>
      <c r="D453" s="238">
        <f>D454</f>
        <v>0</v>
      </c>
      <c r="E453" s="238">
        <f>E454</f>
        <v>4500000</v>
      </c>
      <c r="F453" s="163">
        <f>F454</f>
        <v>25850000</v>
      </c>
      <c r="G453" s="163">
        <f>G454</f>
        <v>19500000</v>
      </c>
    </row>
    <row r="454" spans="1:7" ht="39">
      <c r="A454" s="164" t="s">
        <v>1109</v>
      </c>
      <c r="B454" s="178" t="s">
        <v>1110</v>
      </c>
      <c r="C454" s="222"/>
      <c r="D454" s="239"/>
      <c r="E454" s="239">
        <v>4500000</v>
      </c>
      <c r="F454" s="166">
        <v>25850000</v>
      </c>
      <c r="G454" s="166">
        <f>21100000-1600000</f>
        <v>19500000</v>
      </c>
    </row>
    <row r="455" spans="1:7" ht="26.25">
      <c r="A455" s="161" t="s">
        <v>1111</v>
      </c>
      <c r="B455" s="177" t="s">
        <v>1112</v>
      </c>
      <c r="C455" s="221">
        <f>C456+C460</f>
        <v>39443139</v>
      </c>
      <c r="D455" s="238">
        <f>D456+D460</f>
        <v>15000000</v>
      </c>
      <c r="E455" s="238">
        <f>E456+E460</f>
        <v>0</v>
      </c>
      <c r="F455" s="163">
        <f>F456+F460</f>
        <v>95200000</v>
      </c>
      <c r="G455" s="163">
        <f>G456+G460</f>
        <v>6080000</v>
      </c>
    </row>
    <row r="456" spans="1:7" ht="39">
      <c r="A456" s="161" t="s">
        <v>1113</v>
      </c>
      <c r="B456" s="177" t="s">
        <v>1114</v>
      </c>
      <c r="C456" s="221">
        <f>SUM(C457:C459)</f>
        <v>0</v>
      </c>
      <c r="D456" s="238">
        <f>SUM(D457:D459)</f>
        <v>0</v>
      </c>
      <c r="E456" s="238">
        <f>SUM(E457:E459)</f>
        <v>0</v>
      </c>
      <c r="F456" s="163">
        <f>SUM(F457:F459)</f>
        <v>86900000</v>
      </c>
      <c r="G456" s="163">
        <f>SUM(G457:G459)</f>
        <v>6080000</v>
      </c>
    </row>
    <row r="457" spans="1:7" ht="39">
      <c r="A457" s="164" t="s">
        <v>1115</v>
      </c>
      <c r="B457" s="178" t="s">
        <v>1116</v>
      </c>
      <c r="C457" s="222"/>
      <c r="D457" s="239"/>
      <c r="E457" s="239"/>
      <c r="F457" s="166">
        <v>14400000</v>
      </c>
      <c r="G457" s="166"/>
    </row>
    <row r="458" spans="1:7" ht="39">
      <c r="A458" s="164" t="s">
        <v>1117</v>
      </c>
      <c r="B458" s="178" t="s">
        <v>1118</v>
      </c>
      <c r="C458" s="223"/>
      <c r="D458" s="240"/>
      <c r="E458" s="240"/>
      <c r="F458" s="168">
        <v>66500000</v>
      </c>
      <c r="G458" s="168">
        <v>6080000</v>
      </c>
    </row>
    <row r="459" spans="1:7" ht="26.25">
      <c r="A459" s="218" t="s">
        <v>1391</v>
      </c>
      <c r="B459" s="219" t="s">
        <v>1392</v>
      </c>
      <c r="C459" s="223"/>
      <c r="D459" s="240"/>
      <c r="E459" s="240"/>
      <c r="F459" s="168">
        <v>6000000</v>
      </c>
      <c r="G459" s="168"/>
    </row>
    <row r="460" spans="1:7" ht="39">
      <c r="A460" s="180" t="s">
        <v>1119</v>
      </c>
      <c r="B460" s="181" t="s">
        <v>1120</v>
      </c>
      <c r="C460" s="232">
        <f>C461</f>
        <v>39443139</v>
      </c>
      <c r="D460" s="249">
        <f>D461</f>
        <v>15000000</v>
      </c>
      <c r="E460" s="249">
        <f>E461</f>
        <v>0</v>
      </c>
      <c r="F460" s="169">
        <f>F461</f>
        <v>8300000</v>
      </c>
      <c r="G460" s="169">
        <f>G461</f>
        <v>0</v>
      </c>
    </row>
    <row r="461" spans="1:7" ht="39">
      <c r="A461" s="191" t="s">
        <v>1121</v>
      </c>
      <c r="B461" s="192" t="s">
        <v>1122</v>
      </c>
      <c r="C461" s="224">
        <v>39443139</v>
      </c>
      <c r="D461" s="241">
        <v>15000000</v>
      </c>
      <c r="E461" s="241"/>
      <c r="F461" s="174">
        <v>8300000</v>
      </c>
      <c r="G461" s="174"/>
    </row>
    <row r="462" spans="1:7" ht="15">
      <c r="A462" s="182">
        <v>230803</v>
      </c>
      <c r="B462" s="183" t="s">
        <v>893</v>
      </c>
      <c r="C462" s="221">
        <f>C463</f>
        <v>0</v>
      </c>
      <c r="D462" s="238">
        <f>D463</f>
        <v>0</v>
      </c>
      <c r="E462" s="238">
        <f>E463</f>
        <v>0</v>
      </c>
      <c r="F462" s="163">
        <f>F463</f>
        <v>0</v>
      </c>
      <c r="G462" s="163">
        <f>G463</f>
        <v>0</v>
      </c>
    </row>
    <row r="463" spans="1:7" ht="15">
      <c r="A463" s="182">
        <v>23080301</v>
      </c>
      <c r="B463" s="183" t="s">
        <v>894</v>
      </c>
      <c r="C463" s="221">
        <f>SUM(C464:C465)</f>
        <v>0</v>
      </c>
      <c r="D463" s="238">
        <f>SUM(D464:D465)</f>
        <v>0</v>
      </c>
      <c r="E463" s="238">
        <f>SUM(E464:E465)</f>
        <v>0</v>
      </c>
      <c r="F463" s="163">
        <f>SUM(F464:F465)</f>
        <v>0</v>
      </c>
      <c r="G463" s="163">
        <f>SUM(G464:G465)</f>
        <v>0</v>
      </c>
    </row>
    <row r="464" spans="1:7" ht="15">
      <c r="A464" s="189"/>
      <c r="B464" s="190"/>
      <c r="C464" s="222"/>
      <c r="D464" s="239"/>
      <c r="E464" s="239"/>
      <c r="F464" s="166"/>
      <c r="G464" s="166"/>
    </row>
    <row r="465" spans="1:7" ht="15">
      <c r="A465" s="191"/>
      <c r="B465" s="192"/>
      <c r="C465" s="224"/>
      <c r="D465" s="241"/>
      <c r="E465" s="241"/>
      <c r="F465" s="174"/>
      <c r="G465" s="174"/>
    </row>
    <row r="466" spans="1:7" ht="15">
      <c r="A466" s="142"/>
      <c r="B466" s="197"/>
      <c r="F466" s="10"/>
      <c r="G466" s="10"/>
    </row>
    <row r="467" spans="1:7" ht="15">
      <c r="A467" s="158" t="s">
        <v>1123</v>
      </c>
      <c r="B467" s="198" t="s">
        <v>1124</v>
      </c>
      <c r="C467" s="220">
        <f>C468+C472+C511+C519+C528+C532+C535</f>
        <v>3648340135.34</v>
      </c>
      <c r="D467" s="237">
        <f>D468+D472+D511+D519+D528+D532+D535</f>
        <v>344869711.19</v>
      </c>
      <c r="E467" s="237">
        <f>E468+E472+E511+E519+E528+E532+E535</f>
        <v>1934665590.2</v>
      </c>
      <c r="F467" s="160">
        <f>F468+F472+F511+F519+F528+F532+F535</f>
        <v>707405229.72</v>
      </c>
      <c r="G467" s="160">
        <f>G468+G472+G511+G519+G528+G532+G535</f>
        <v>4147661846.68</v>
      </c>
    </row>
    <row r="468" spans="1:7" ht="26.25">
      <c r="A468" s="161" t="s">
        <v>1125</v>
      </c>
      <c r="B468" s="177" t="s">
        <v>1126</v>
      </c>
      <c r="C468" s="221">
        <f>C469</f>
        <v>0</v>
      </c>
      <c r="D468" s="238">
        <f>D469</f>
        <v>0</v>
      </c>
      <c r="E468" s="238">
        <f>E469</f>
        <v>107441608</v>
      </c>
      <c r="F468" s="163">
        <f>F469</f>
        <v>90125000</v>
      </c>
      <c r="G468" s="163">
        <f>G469</f>
        <v>159135000</v>
      </c>
    </row>
    <row r="469" spans="1:7" ht="26.25">
      <c r="A469" s="161" t="s">
        <v>1127</v>
      </c>
      <c r="B469" s="177" t="s">
        <v>1128</v>
      </c>
      <c r="C469" s="221">
        <f>SUM(C470:C471)</f>
        <v>0</v>
      </c>
      <c r="D469" s="238">
        <f>SUM(D470:D471)</f>
        <v>0</v>
      </c>
      <c r="E469" s="238">
        <f>SUM(E470:E471)</f>
        <v>107441608</v>
      </c>
      <c r="F469" s="163">
        <f>SUM(F470:F471)</f>
        <v>90125000</v>
      </c>
      <c r="G469" s="163">
        <f>SUM(G470:G471)</f>
        <v>159135000</v>
      </c>
    </row>
    <row r="470" spans="1:7" ht="26.25">
      <c r="A470" s="164" t="s">
        <v>1129</v>
      </c>
      <c r="B470" s="178" t="s">
        <v>1130</v>
      </c>
      <c r="C470" s="222"/>
      <c r="D470" s="239"/>
      <c r="E470" s="239">
        <v>85891608</v>
      </c>
      <c r="F470" s="166">
        <v>90125000</v>
      </c>
      <c r="G470" s="166">
        <v>159135000</v>
      </c>
    </row>
    <row r="471" spans="1:7" ht="51.75">
      <c r="A471" s="164" t="s">
        <v>1131</v>
      </c>
      <c r="B471" s="178" t="s">
        <v>1132</v>
      </c>
      <c r="C471" s="222"/>
      <c r="D471" s="239"/>
      <c r="E471" s="239">
        <v>21550000</v>
      </c>
      <c r="F471" s="166"/>
      <c r="G471" s="166"/>
    </row>
    <row r="472" spans="1:7" ht="15">
      <c r="A472" s="161" t="s">
        <v>1133</v>
      </c>
      <c r="B472" s="177" t="s">
        <v>1134</v>
      </c>
      <c r="C472" s="221">
        <f>C473+C485+C499+C504</f>
        <v>3455105043.03</v>
      </c>
      <c r="D472" s="238">
        <f>D473+D485+D499+D504</f>
        <v>272752541.18</v>
      </c>
      <c r="E472" s="238">
        <f>E473+E485+E499+E504</f>
        <v>1737837669.2</v>
      </c>
      <c r="F472" s="163">
        <f>F473+F485+F499+F504</f>
        <v>537404130.72</v>
      </c>
      <c r="G472" s="163">
        <f>G473+G485+G499+G504</f>
        <v>3604565468.68</v>
      </c>
    </row>
    <row r="473" spans="1:7" ht="39">
      <c r="A473" s="161" t="s">
        <v>1135</v>
      </c>
      <c r="B473" s="177" t="s">
        <v>1136</v>
      </c>
      <c r="C473" s="221">
        <f>SUM(C474:C484)</f>
        <v>389097995.73</v>
      </c>
      <c r="D473" s="238">
        <f>SUM(D474:D484)</f>
        <v>159835977</v>
      </c>
      <c r="E473" s="221">
        <f>SUM(E474:E484)</f>
        <v>131577075</v>
      </c>
      <c r="F473" s="221">
        <f>SUM(F474:F484)</f>
        <v>110635201</v>
      </c>
      <c r="G473" s="221">
        <f>SUM(G474:G484)</f>
        <v>69459764</v>
      </c>
    </row>
    <row r="474" spans="1:7" ht="51.75">
      <c r="A474" s="164" t="s">
        <v>1137</v>
      </c>
      <c r="B474" s="178" t="s">
        <v>1138</v>
      </c>
      <c r="C474" s="222">
        <v>173961385.82</v>
      </c>
      <c r="D474" s="239">
        <v>63563501</v>
      </c>
      <c r="E474" s="239">
        <v>65665034</v>
      </c>
      <c r="F474" s="166">
        <f>34223898-1606</f>
        <v>34222292</v>
      </c>
      <c r="G474" s="166">
        <v>35000000</v>
      </c>
    </row>
    <row r="475" spans="1:7" ht="15">
      <c r="A475" s="164"/>
      <c r="B475" s="178" t="s">
        <v>7</v>
      </c>
      <c r="C475" s="222">
        <v>30799282.31</v>
      </c>
      <c r="D475" s="239"/>
      <c r="E475" s="239"/>
      <c r="F475" s="166"/>
      <c r="G475" s="166"/>
    </row>
    <row r="476" spans="1:7" ht="39">
      <c r="A476" s="164"/>
      <c r="B476" s="178" t="s">
        <v>34</v>
      </c>
      <c r="C476" s="222">
        <f>5796654.8+28983274</f>
        <v>34779928.8</v>
      </c>
      <c r="D476" s="239"/>
      <c r="E476" s="239"/>
      <c r="F476" s="166"/>
      <c r="G476" s="166"/>
    </row>
    <row r="477" spans="1:7" ht="26.25">
      <c r="A477" s="164" t="s">
        <v>1139</v>
      </c>
      <c r="B477" s="178" t="s">
        <v>1140</v>
      </c>
      <c r="C477" s="222"/>
      <c r="D477" s="239"/>
      <c r="E477" s="239">
        <v>13426304</v>
      </c>
      <c r="F477" s="166">
        <v>18000000</v>
      </c>
      <c r="G477" s="166"/>
    </row>
    <row r="478" spans="1:7" ht="26.25">
      <c r="A478" s="164" t="s">
        <v>1141</v>
      </c>
      <c r="B478" s="178" t="s">
        <v>1142</v>
      </c>
      <c r="C478" s="222">
        <v>63010623.8</v>
      </c>
      <c r="D478" s="239">
        <v>15355394</v>
      </c>
      <c r="E478" s="239">
        <v>7000000</v>
      </c>
      <c r="F478" s="166">
        <v>22357344</v>
      </c>
      <c r="G478" s="166"/>
    </row>
    <row r="479" spans="1:9" ht="26.25">
      <c r="A479" s="164" t="s">
        <v>1143</v>
      </c>
      <c r="B479" s="178" t="s">
        <v>1144</v>
      </c>
      <c r="C479" s="222">
        <v>7731329</v>
      </c>
      <c r="D479" s="239">
        <v>13600000</v>
      </c>
      <c r="E479" s="239"/>
      <c r="F479" s="166"/>
      <c r="G479" s="166"/>
      <c r="I479" s="10"/>
    </row>
    <row r="480" spans="1:9" ht="15">
      <c r="A480" s="164" t="s">
        <v>1145</v>
      </c>
      <c r="B480" s="178" t="s">
        <v>1146</v>
      </c>
      <c r="C480" s="222">
        <v>9999400</v>
      </c>
      <c r="D480" s="239"/>
      <c r="E480" s="239"/>
      <c r="F480" s="166"/>
      <c r="G480" s="166"/>
      <c r="I480" s="10"/>
    </row>
    <row r="481" spans="1:9" ht="15">
      <c r="A481" s="164" t="s">
        <v>1147</v>
      </c>
      <c r="B481" s="178" t="s">
        <v>1148</v>
      </c>
      <c r="C481" s="222"/>
      <c r="D481" s="239">
        <v>10374740</v>
      </c>
      <c r="E481" s="239">
        <f>9920718-2679288</f>
        <v>7241430</v>
      </c>
      <c r="F481" s="166">
        <f>12544272-769980</f>
        <v>11774292</v>
      </c>
      <c r="G481" s="166">
        <v>13700764</v>
      </c>
      <c r="I481" s="10">
        <v>22020306</v>
      </c>
    </row>
    <row r="482" spans="1:9" ht="26.25">
      <c r="A482" s="164" t="s">
        <v>1149</v>
      </c>
      <c r="B482" s="178" t="s">
        <v>1150</v>
      </c>
      <c r="C482" s="236">
        <v>55635903</v>
      </c>
      <c r="D482" s="253">
        <v>52242342</v>
      </c>
      <c r="E482" s="253">
        <v>38244307</v>
      </c>
      <c r="F482" s="167">
        <v>24281273</v>
      </c>
      <c r="G482" s="167">
        <v>20759000</v>
      </c>
      <c r="I482" s="10">
        <v>8922283</v>
      </c>
    </row>
    <row r="483" spans="1:9" ht="26.25">
      <c r="A483" s="164"/>
      <c r="B483" s="178" t="s">
        <v>12</v>
      </c>
      <c r="C483" s="236">
        <v>5180280</v>
      </c>
      <c r="D483" s="253"/>
      <c r="E483" s="253"/>
      <c r="F483" s="167"/>
      <c r="G483" s="167"/>
      <c r="I483" s="10">
        <v>65945411</v>
      </c>
    </row>
    <row r="484" spans="1:9" ht="15">
      <c r="A484" s="164" t="s">
        <v>1414</v>
      </c>
      <c r="B484" s="178" t="s">
        <v>1415</v>
      </c>
      <c r="C484" s="236">
        <v>7999863</v>
      </c>
      <c r="D484" s="253">
        <v>4700000</v>
      </c>
      <c r="E484" s="253"/>
      <c r="F484" s="167"/>
      <c r="G484" s="167"/>
      <c r="I484" s="10">
        <v>14635339</v>
      </c>
    </row>
    <row r="485" spans="1:9" ht="26.25">
      <c r="A485" s="161" t="s">
        <v>1151</v>
      </c>
      <c r="B485" s="177" t="s">
        <v>1152</v>
      </c>
      <c r="C485" s="221">
        <f>SUM(C486:C498)</f>
        <v>109570401</v>
      </c>
      <c r="D485" s="238">
        <f>SUM(D486:D498)</f>
        <v>4535903</v>
      </c>
      <c r="E485" s="238">
        <f>SUM(E486:E498)</f>
        <v>32048004</v>
      </c>
      <c r="F485" s="163">
        <f>SUM(F486:F498)</f>
        <v>113416021</v>
      </c>
      <c r="G485" s="163">
        <f>SUM(G486:G498)</f>
        <v>28690797</v>
      </c>
      <c r="I485" s="10">
        <v>10479694</v>
      </c>
    </row>
    <row r="486" spans="1:9" ht="51.75">
      <c r="A486" s="164" t="s">
        <v>1153</v>
      </c>
      <c r="B486" s="178" t="s">
        <v>1154</v>
      </c>
      <c r="C486" s="222"/>
      <c r="D486" s="239"/>
      <c r="E486" s="239">
        <v>10386000</v>
      </c>
      <c r="F486" s="166">
        <v>25000000</v>
      </c>
      <c r="G486" s="166">
        <v>21427517</v>
      </c>
      <c r="I486" s="10">
        <v>7384967</v>
      </c>
    </row>
    <row r="487" spans="1:9" ht="15">
      <c r="A487" s="164"/>
      <c r="B487" s="178" t="s">
        <v>8</v>
      </c>
      <c r="C487" s="222">
        <v>9991200</v>
      </c>
      <c r="D487" s="239"/>
      <c r="E487" s="239"/>
      <c r="F487" s="166"/>
      <c r="G487" s="166"/>
      <c r="I487" s="10">
        <v>31500000</v>
      </c>
    </row>
    <row r="488" spans="1:9" ht="26.25">
      <c r="A488" s="164"/>
      <c r="B488" s="178" t="s">
        <v>9</v>
      </c>
      <c r="C488" s="222">
        <v>50999914</v>
      </c>
      <c r="D488" s="239"/>
      <c r="E488" s="239"/>
      <c r="F488" s="166"/>
      <c r="G488" s="166"/>
      <c r="I488">
        <f>30823597.3+20424534</f>
        <v>51248131.3</v>
      </c>
    </row>
    <row r="489" spans="1:9" ht="26.25">
      <c r="A489" s="164"/>
      <c r="B489" s="178" t="s">
        <v>10</v>
      </c>
      <c r="C489" s="222">
        <v>44768472</v>
      </c>
      <c r="D489" s="239"/>
      <c r="E489" s="239"/>
      <c r="F489" s="166"/>
      <c r="G489" s="166"/>
      <c r="I489" s="10">
        <v>88952909</v>
      </c>
    </row>
    <row r="490" spans="1:9" ht="15">
      <c r="A490" s="164"/>
      <c r="B490" s="178" t="s">
        <v>11</v>
      </c>
      <c r="C490" s="222">
        <v>2500000</v>
      </c>
      <c r="D490" s="239"/>
      <c r="E490" s="239"/>
      <c r="F490" s="166"/>
      <c r="G490" s="166"/>
      <c r="I490" s="10">
        <v>4545328.72</v>
      </c>
    </row>
    <row r="491" spans="1:9" ht="26.25">
      <c r="A491" s="164" t="s">
        <v>1155</v>
      </c>
      <c r="B491" s="178" t="s">
        <v>1156</v>
      </c>
      <c r="C491" s="222">
        <v>1310815</v>
      </c>
      <c r="D491" s="239"/>
      <c r="E491" s="239"/>
      <c r="F491" s="166">
        <v>48416021</v>
      </c>
      <c r="G491" s="166"/>
      <c r="I491" s="10">
        <v>3866733.7</v>
      </c>
    </row>
    <row r="492" spans="1:9" ht="26.25">
      <c r="A492" s="164" t="s">
        <v>1157</v>
      </c>
      <c r="B492" s="178" t="s">
        <v>1158</v>
      </c>
      <c r="C492" s="222"/>
      <c r="D492" s="239">
        <v>536615</v>
      </c>
      <c r="E492" s="239">
        <v>4999852</v>
      </c>
      <c r="F492" s="166">
        <v>26000000</v>
      </c>
      <c r="G492" s="166"/>
      <c r="I492" s="10">
        <v>3851806</v>
      </c>
    </row>
    <row r="493" spans="1:9" ht="26.25">
      <c r="A493" s="164" t="s">
        <v>1159</v>
      </c>
      <c r="B493" s="178" t="s">
        <v>1160</v>
      </c>
      <c r="C493" s="222"/>
      <c r="D493" s="239"/>
      <c r="E493" s="239"/>
      <c r="F493" s="166"/>
      <c r="G493" s="166"/>
      <c r="I493" s="10">
        <f>SUM(I481:I492)</f>
        <v>313352908.72</v>
      </c>
    </row>
    <row r="494" spans="1:7" ht="15">
      <c r="A494" s="164" t="s">
        <v>1161</v>
      </c>
      <c r="B494" s="178" t="s">
        <v>1162</v>
      </c>
      <c r="C494" s="222"/>
      <c r="D494" s="239">
        <v>2999288</v>
      </c>
      <c r="E494" s="239">
        <v>6000000</v>
      </c>
      <c r="F494" s="166">
        <f>4735422-735422</f>
        <v>4000000</v>
      </c>
      <c r="G494" s="166">
        <v>5218276</v>
      </c>
    </row>
    <row r="495" spans="1:7" ht="26.25">
      <c r="A495" s="164" t="s">
        <v>1163</v>
      </c>
      <c r="B495" s="178" t="s">
        <v>1164</v>
      </c>
      <c r="C495" s="222"/>
      <c r="D495" s="239">
        <v>1000000</v>
      </c>
      <c r="E495" s="239">
        <v>10662152</v>
      </c>
      <c r="F495" s="166">
        <v>10000000</v>
      </c>
      <c r="G495" s="166">
        <v>2045004</v>
      </c>
    </row>
    <row r="496" spans="1:7" ht="51.75">
      <c r="A496" s="164" t="s">
        <v>1354</v>
      </c>
      <c r="B496" s="178" t="s">
        <v>1355</v>
      </c>
      <c r="C496" s="222"/>
      <c r="D496" s="239"/>
      <c r="E496" s="239"/>
      <c r="F496" s="166"/>
      <c r="G496" s="166"/>
    </row>
    <row r="497" spans="1:7" ht="26.25">
      <c r="A497" s="164" t="s">
        <v>1356</v>
      </c>
      <c r="B497" s="178" t="s">
        <v>1357</v>
      </c>
      <c r="C497" s="222"/>
      <c r="D497" s="239"/>
      <c r="E497" s="239"/>
      <c r="F497" s="166"/>
      <c r="G497" s="166"/>
    </row>
    <row r="498" spans="1:7" ht="26.25">
      <c r="A498" s="164" t="s">
        <v>1358</v>
      </c>
      <c r="B498" s="178" t="s">
        <v>1359</v>
      </c>
      <c r="C498" s="222"/>
      <c r="D498" s="239"/>
      <c r="E498" s="239"/>
      <c r="F498" s="166"/>
      <c r="G498" s="166"/>
    </row>
    <row r="499" spans="1:7" ht="26.25">
      <c r="A499" s="161" t="s">
        <v>1165</v>
      </c>
      <c r="B499" s="177" t="s">
        <v>1166</v>
      </c>
      <c r="C499" s="221">
        <f>SUM(C500:C503)</f>
        <v>0</v>
      </c>
      <c r="D499" s="238">
        <f>SUM(D500:D503)</f>
        <v>1904144</v>
      </c>
      <c r="E499" s="238">
        <f>SUM(E500:E503)</f>
        <v>0</v>
      </c>
      <c r="F499" s="163">
        <f>SUM(F500:F503)</f>
        <v>0</v>
      </c>
      <c r="G499" s="163">
        <f>SUM(G500:G503)</f>
        <v>175392499</v>
      </c>
    </row>
    <row r="500" spans="1:7" ht="15">
      <c r="A500" s="164" t="s">
        <v>1167</v>
      </c>
      <c r="B500" s="178" t="s">
        <v>1168</v>
      </c>
      <c r="C500" s="222"/>
      <c r="D500" s="239">
        <v>1904144</v>
      </c>
      <c r="E500" s="239"/>
      <c r="F500" s="166"/>
      <c r="G500" s="166"/>
    </row>
    <row r="501" spans="1:7" ht="39">
      <c r="A501" s="164" t="s">
        <v>1169</v>
      </c>
      <c r="B501" s="178" t="s">
        <v>1170</v>
      </c>
      <c r="C501" s="222"/>
      <c r="D501" s="239"/>
      <c r="E501" s="239"/>
      <c r="F501" s="166"/>
      <c r="G501" s="166"/>
    </row>
    <row r="502" spans="1:7" ht="26.25">
      <c r="A502" s="164" t="s">
        <v>1171</v>
      </c>
      <c r="B502" s="178" t="s">
        <v>1172</v>
      </c>
      <c r="C502" s="222"/>
      <c r="D502" s="239"/>
      <c r="E502" s="239"/>
      <c r="F502" s="166"/>
      <c r="G502" s="166"/>
    </row>
    <row r="503" spans="1:7" ht="39">
      <c r="A503" s="164" t="s">
        <v>1360</v>
      </c>
      <c r="B503" s="178" t="s">
        <v>1361</v>
      </c>
      <c r="C503" s="222"/>
      <c r="D503" s="239"/>
      <c r="E503" s="239"/>
      <c r="F503" s="166"/>
      <c r="G503" s="166">
        <v>175392499</v>
      </c>
    </row>
    <row r="504" spans="1:7" ht="39">
      <c r="A504" s="161" t="s">
        <v>1173</v>
      </c>
      <c r="B504" s="177" t="s">
        <v>1174</v>
      </c>
      <c r="C504" s="221">
        <f>SUM(C505:C510)</f>
        <v>2956436646.3</v>
      </c>
      <c r="D504" s="238">
        <f>SUM(D505:D510)</f>
        <v>106476517.18</v>
      </c>
      <c r="E504" s="238">
        <f>SUM(E505:E510)</f>
        <v>1574212590.2</v>
      </c>
      <c r="F504" s="163">
        <f>SUM(F505:F510)</f>
        <v>313352908.72</v>
      </c>
      <c r="G504" s="163">
        <f>SUM(G505:G510)</f>
        <v>3331022408.68</v>
      </c>
    </row>
    <row r="505" spans="1:9" ht="39">
      <c r="A505" s="164" t="s">
        <v>1175</v>
      </c>
      <c r="B505" s="178" t="s">
        <v>1176</v>
      </c>
      <c r="C505" s="222">
        <f>99957890.3+2000000</f>
        <v>101957890.3</v>
      </c>
      <c r="D505" s="239">
        <v>106476517.18</v>
      </c>
      <c r="E505" s="239">
        <f>139438445.18-105486486.18</f>
        <v>33951959</v>
      </c>
      <c r="F505" s="166">
        <v>313352908.72</v>
      </c>
      <c r="G505" s="166"/>
      <c r="I505" s="10">
        <f>I493</f>
        <v>313352908.72</v>
      </c>
    </row>
    <row r="506" spans="1:9" ht="15">
      <c r="A506" s="164" t="s">
        <v>1362</v>
      </c>
      <c r="B506" s="178" t="s">
        <v>1410</v>
      </c>
      <c r="C506" s="222">
        <f>1427239378.5+1351844125+75395252.5</f>
        <v>2854478756</v>
      </c>
      <c r="D506" s="239"/>
      <c r="E506" s="239"/>
      <c r="F506" s="166"/>
      <c r="G506" s="166"/>
      <c r="I506" s="10">
        <f>+I505-G505</f>
        <v>313352908.72</v>
      </c>
    </row>
    <row r="507" spans="1:7" ht="39">
      <c r="A507" s="164" t="s">
        <v>1362</v>
      </c>
      <c r="B507" s="178" t="s">
        <v>1363</v>
      </c>
      <c r="C507" s="222"/>
      <c r="D507" s="239"/>
      <c r="E507" s="239">
        <v>1540260631.2</v>
      </c>
      <c r="F507" s="166"/>
      <c r="G507" s="166"/>
    </row>
    <row r="508" spans="1:7" ht="39">
      <c r="A508" s="164" t="s">
        <v>1364</v>
      </c>
      <c r="B508" s="178" t="s">
        <v>1365</v>
      </c>
      <c r="C508" s="222"/>
      <c r="D508" s="239"/>
      <c r="E508" s="239"/>
      <c r="F508" s="166"/>
      <c r="G508" s="166">
        <v>3330064665.68</v>
      </c>
    </row>
    <row r="509" spans="1:7" ht="39">
      <c r="A509" s="164" t="s">
        <v>1366</v>
      </c>
      <c r="B509" s="178" t="s">
        <v>1367</v>
      </c>
      <c r="C509" s="222"/>
      <c r="D509" s="239"/>
      <c r="E509" s="239"/>
      <c r="F509" s="166"/>
      <c r="G509" s="166"/>
    </row>
    <row r="510" spans="1:7" ht="26.25">
      <c r="A510" s="164">
        <v>2309020403</v>
      </c>
      <c r="B510" s="178" t="s">
        <v>1177</v>
      </c>
      <c r="C510" s="222"/>
      <c r="D510" s="239"/>
      <c r="E510" s="239"/>
      <c r="F510" s="166"/>
      <c r="G510" s="166">
        <v>957743</v>
      </c>
    </row>
    <row r="511" spans="1:7" ht="26.25">
      <c r="A511" s="161" t="s">
        <v>1178</v>
      </c>
      <c r="B511" s="177" t="s">
        <v>1179</v>
      </c>
      <c r="C511" s="221">
        <f>C512</f>
        <v>36043991.9</v>
      </c>
      <c r="D511" s="238">
        <f>D512</f>
        <v>5146000</v>
      </c>
      <c r="E511" s="238">
        <f>E512</f>
        <v>2894000</v>
      </c>
      <c r="F511" s="163">
        <f>F512</f>
        <v>2068560</v>
      </c>
      <c r="G511" s="163">
        <f>G512</f>
        <v>5500000</v>
      </c>
    </row>
    <row r="512" spans="1:7" ht="26.25">
      <c r="A512" s="161" t="s">
        <v>1180</v>
      </c>
      <c r="B512" s="177" t="s">
        <v>1181</v>
      </c>
      <c r="C512" s="221">
        <f>SUM(C513:C518)</f>
        <v>36043991.9</v>
      </c>
      <c r="D512" s="221">
        <f>SUM(D513:D518)</f>
        <v>5146000</v>
      </c>
      <c r="E512" s="221">
        <f>SUM(E513:E518)</f>
        <v>2894000</v>
      </c>
      <c r="F512" s="221">
        <f>SUM(F513:F518)</f>
        <v>2068560</v>
      </c>
      <c r="G512" s="221">
        <f>SUM(G513:G518)</f>
        <v>5500000</v>
      </c>
    </row>
    <row r="513" spans="1:7" ht="26.25">
      <c r="A513" s="164" t="s">
        <v>1182</v>
      </c>
      <c r="B513" s="178" t="s">
        <v>1183</v>
      </c>
      <c r="C513" s="222">
        <v>7000000</v>
      </c>
      <c r="D513" s="239"/>
      <c r="E513" s="239"/>
      <c r="F513" s="166"/>
      <c r="G513" s="166"/>
    </row>
    <row r="514" spans="1:7" ht="26.25">
      <c r="A514" s="164" t="s">
        <v>1184</v>
      </c>
      <c r="B514" s="178" t="s">
        <v>1185</v>
      </c>
      <c r="C514" s="222"/>
      <c r="D514" s="239"/>
      <c r="E514" s="239"/>
      <c r="F514" s="166"/>
      <c r="G514" s="166"/>
    </row>
    <row r="515" spans="1:7" ht="15">
      <c r="A515" s="164"/>
      <c r="B515" s="178" t="s">
        <v>14</v>
      </c>
      <c r="C515" s="222">
        <v>18043991.9</v>
      </c>
      <c r="D515" s="239"/>
      <c r="E515" s="239"/>
      <c r="F515" s="166"/>
      <c r="G515" s="166"/>
    </row>
    <row r="516" spans="1:7" ht="15">
      <c r="A516" s="164" t="s">
        <v>1186</v>
      </c>
      <c r="B516" s="178" t="s">
        <v>1187</v>
      </c>
      <c r="C516" s="222">
        <v>8000000</v>
      </c>
      <c r="D516" s="239">
        <v>5146000</v>
      </c>
      <c r="E516" s="239">
        <v>2894000</v>
      </c>
      <c r="F516" s="166">
        <v>2068560</v>
      </c>
      <c r="G516" s="166"/>
    </row>
    <row r="517" spans="1:7" ht="15">
      <c r="A517" s="164" t="s">
        <v>1188</v>
      </c>
      <c r="B517" s="178" t="s">
        <v>1189</v>
      </c>
      <c r="C517" s="222"/>
      <c r="D517" s="239"/>
      <c r="E517" s="239"/>
      <c r="F517" s="166"/>
      <c r="G517" s="166">
        <v>5500000</v>
      </c>
    </row>
    <row r="518" spans="1:7" ht="26.25">
      <c r="A518" s="164"/>
      <c r="B518" s="178" t="s">
        <v>13</v>
      </c>
      <c r="C518" s="222">
        <v>3000000</v>
      </c>
      <c r="D518" s="239"/>
      <c r="E518" s="239"/>
      <c r="F518" s="166"/>
      <c r="G518" s="166"/>
    </row>
    <row r="519" spans="1:7" ht="26.25">
      <c r="A519" s="161" t="s">
        <v>1190</v>
      </c>
      <c r="B519" s="177" t="s">
        <v>1191</v>
      </c>
      <c r="C519" s="221">
        <f>C520</f>
        <v>110299536.41</v>
      </c>
      <c r="D519" s="238">
        <f>D520</f>
        <v>45372058.010000005</v>
      </c>
      <c r="E519" s="238">
        <f>E520</f>
        <v>54992813</v>
      </c>
      <c r="F519" s="163">
        <f>F520</f>
        <v>57580539</v>
      </c>
      <c r="G519" s="163">
        <f>G520</f>
        <v>363561378</v>
      </c>
    </row>
    <row r="520" spans="1:7" ht="26.25">
      <c r="A520" s="161" t="s">
        <v>1192</v>
      </c>
      <c r="B520" s="177" t="s">
        <v>1193</v>
      </c>
      <c r="C520" s="221">
        <f>SUM(C521:C527)</f>
        <v>110299536.41</v>
      </c>
      <c r="D520" s="238">
        <f>SUM(D521:D527)</f>
        <v>45372058.010000005</v>
      </c>
      <c r="E520" s="238">
        <f>SUM(E521:E527)</f>
        <v>54992813</v>
      </c>
      <c r="F520" s="163">
        <f>SUM(F521:F527)</f>
        <v>57580539</v>
      </c>
      <c r="G520" s="163">
        <f>SUM(G521:G527)</f>
        <v>363561378</v>
      </c>
    </row>
    <row r="521" spans="1:9" ht="26.25">
      <c r="A521" s="164" t="s">
        <v>1194</v>
      </c>
      <c r="B521" s="178" t="s">
        <v>1195</v>
      </c>
      <c r="C521" s="222">
        <f>38026617+3767536.16</f>
        <v>41794153.16</v>
      </c>
      <c r="D521" s="239">
        <f>32841702.16-3767536.15</f>
        <v>29074166.01</v>
      </c>
      <c r="E521" s="239">
        <v>30992800</v>
      </c>
      <c r="F521" s="166">
        <f>37068242-46878-4207120</f>
        <v>32814244</v>
      </c>
      <c r="G521" s="166">
        <f>61887358-10887358</f>
        <v>51000000</v>
      </c>
      <c r="I521" s="39">
        <v>10887358</v>
      </c>
    </row>
    <row r="522" spans="1:7" ht="39">
      <c r="A522" s="218" t="s">
        <v>1196</v>
      </c>
      <c r="B522" s="219" t="s">
        <v>1197</v>
      </c>
      <c r="C522" s="222">
        <v>29547006</v>
      </c>
      <c r="D522" s="239"/>
      <c r="E522" s="239"/>
      <c r="F522" s="166"/>
      <c r="G522" s="166"/>
    </row>
    <row r="523" spans="1:7" ht="26.25">
      <c r="A523" s="189"/>
      <c r="B523" s="194" t="s">
        <v>15</v>
      </c>
      <c r="C523" s="222">
        <v>14998100</v>
      </c>
      <c r="D523" s="245"/>
      <c r="E523" s="239"/>
      <c r="F523" s="211"/>
      <c r="G523" s="166"/>
    </row>
    <row r="524" spans="1:7" ht="26.25">
      <c r="A524" s="189" t="s">
        <v>1198</v>
      </c>
      <c r="B524" s="194" t="s">
        <v>1199</v>
      </c>
      <c r="C524" s="228">
        <v>5999998</v>
      </c>
      <c r="D524" s="248">
        <v>7497892</v>
      </c>
      <c r="E524" s="245">
        <v>4499988</v>
      </c>
      <c r="F524" s="199">
        <v>10000000</v>
      </c>
      <c r="G524" s="211">
        <v>296000000</v>
      </c>
    </row>
    <row r="525" spans="1:7" ht="26.25">
      <c r="A525" s="184" t="s">
        <v>1200</v>
      </c>
      <c r="B525" s="185" t="s">
        <v>1201</v>
      </c>
      <c r="C525" s="222">
        <v>17960279.25</v>
      </c>
      <c r="D525" s="239">
        <v>7800000</v>
      </c>
      <c r="E525" s="239">
        <v>1500000</v>
      </c>
      <c r="F525" s="166">
        <f>3500000-750000</f>
        <v>2750000</v>
      </c>
      <c r="G525" s="166"/>
    </row>
    <row r="526" spans="1:7" ht="15">
      <c r="A526" s="164" t="s">
        <v>1202</v>
      </c>
      <c r="B526" s="178" t="s">
        <v>1203</v>
      </c>
      <c r="C526" s="222"/>
      <c r="D526" s="239"/>
      <c r="E526" s="239"/>
      <c r="F526" s="166"/>
      <c r="G526" s="166"/>
    </row>
    <row r="527" spans="1:7" ht="26.25">
      <c r="A527" s="164" t="s">
        <v>1204</v>
      </c>
      <c r="B527" s="178" t="s">
        <v>1205</v>
      </c>
      <c r="C527" s="222"/>
      <c r="D527" s="239">
        <v>1000000</v>
      </c>
      <c r="E527" s="239">
        <v>18000025</v>
      </c>
      <c r="F527" s="166">
        <v>12016295</v>
      </c>
      <c r="G527" s="166">
        <v>16561378</v>
      </c>
    </row>
    <row r="528" spans="1:7" ht="15">
      <c r="A528" s="161" t="s">
        <v>1206</v>
      </c>
      <c r="B528" s="177" t="s">
        <v>1207</v>
      </c>
      <c r="C528" s="221">
        <f>C529</f>
        <v>46891564</v>
      </c>
      <c r="D528" s="238">
        <f>D529</f>
        <v>21599112</v>
      </c>
      <c r="E528" s="238">
        <f>E529</f>
        <v>23499500</v>
      </c>
      <c r="F528" s="163">
        <f>F529</f>
        <v>20227000</v>
      </c>
      <c r="G528" s="163">
        <f>G529</f>
        <v>14900000</v>
      </c>
    </row>
    <row r="529" spans="1:7" ht="26.25">
      <c r="A529" s="161" t="s">
        <v>1208</v>
      </c>
      <c r="B529" s="177" t="s">
        <v>1209</v>
      </c>
      <c r="C529" s="221">
        <f>SUM(C530:C531)</f>
        <v>46891564</v>
      </c>
      <c r="D529" s="238">
        <f>SUM(D530:D531)</f>
        <v>21599112</v>
      </c>
      <c r="E529" s="238">
        <f>SUM(E530:E531)</f>
        <v>23499500</v>
      </c>
      <c r="F529" s="163">
        <f>SUM(F530:F531)</f>
        <v>20227000</v>
      </c>
      <c r="G529" s="163">
        <f>SUM(G530:G531)</f>
        <v>14900000</v>
      </c>
    </row>
    <row r="530" spans="1:7" ht="26.25">
      <c r="A530" s="164" t="s">
        <v>1210</v>
      </c>
      <c r="B530" s="178" t="s">
        <v>1211</v>
      </c>
      <c r="C530" s="222">
        <f>22506829+10799999</f>
        <v>33306828</v>
      </c>
      <c r="D530" s="239"/>
      <c r="E530" s="239">
        <v>9600000</v>
      </c>
      <c r="F530" s="166"/>
      <c r="G530" s="166"/>
    </row>
    <row r="531" spans="1:7" ht="15">
      <c r="A531" s="164" t="s">
        <v>1212</v>
      </c>
      <c r="B531" s="178" t="s">
        <v>1213</v>
      </c>
      <c r="C531" s="222">
        <v>13584736</v>
      </c>
      <c r="D531" s="239">
        <v>21599112</v>
      </c>
      <c r="E531" s="239">
        <v>13899500</v>
      </c>
      <c r="F531" s="166">
        <f>20227800-800</f>
        <v>20227000</v>
      </c>
      <c r="G531" s="166">
        <v>14900000</v>
      </c>
    </row>
    <row r="532" spans="1:7" ht="15">
      <c r="A532" s="161" t="s">
        <v>1214</v>
      </c>
      <c r="B532" s="177" t="s">
        <v>1215</v>
      </c>
      <c r="C532" s="221">
        <f aca="true" t="shared" si="1" ref="C532:G533">+C533</f>
        <v>0</v>
      </c>
      <c r="D532" s="238">
        <f t="shared" si="1"/>
        <v>0</v>
      </c>
      <c r="E532" s="238">
        <f t="shared" si="1"/>
        <v>8000000</v>
      </c>
      <c r="F532" s="163">
        <f t="shared" si="1"/>
        <v>0</v>
      </c>
      <c r="G532" s="163">
        <f t="shared" si="1"/>
        <v>0</v>
      </c>
    </row>
    <row r="533" spans="1:7" ht="26.25">
      <c r="A533" s="180" t="s">
        <v>1216</v>
      </c>
      <c r="B533" s="181" t="s">
        <v>1217</v>
      </c>
      <c r="C533" s="221">
        <f t="shared" si="1"/>
        <v>0</v>
      </c>
      <c r="D533" s="238">
        <f t="shared" si="1"/>
        <v>0</v>
      </c>
      <c r="E533" s="238">
        <f t="shared" si="1"/>
        <v>8000000</v>
      </c>
      <c r="F533" s="163">
        <f t="shared" si="1"/>
        <v>0</v>
      </c>
      <c r="G533" s="163">
        <f t="shared" si="1"/>
        <v>0</v>
      </c>
    </row>
    <row r="534" spans="1:7" ht="26.25">
      <c r="A534" s="191" t="s">
        <v>1218</v>
      </c>
      <c r="B534" s="192" t="s">
        <v>1219</v>
      </c>
      <c r="C534" s="224"/>
      <c r="D534" s="241"/>
      <c r="E534" s="241">
        <v>8000000</v>
      </c>
      <c r="F534" s="174"/>
      <c r="G534" s="174"/>
    </row>
    <row r="535" spans="1:7" ht="15">
      <c r="A535" s="182">
        <v>230907</v>
      </c>
      <c r="B535" s="183" t="s">
        <v>893</v>
      </c>
      <c r="C535" s="221">
        <f>C536</f>
        <v>0</v>
      </c>
      <c r="D535" s="238">
        <f>D536</f>
        <v>0</v>
      </c>
      <c r="E535" s="238">
        <f>E536</f>
        <v>0</v>
      </c>
      <c r="F535" s="163">
        <f>F536</f>
        <v>0</v>
      </c>
      <c r="G535" s="163">
        <f>G536</f>
        <v>0</v>
      </c>
    </row>
    <row r="536" spans="1:7" ht="15">
      <c r="A536" s="182">
        <v>23090701</v>
      </c>
      <c r="B536" s="183" t="s">
        <v>894</v>
      </c>
      <c r="C536" s="221">
        <f>SUM(C537:C538)</f>
        <v>0</v>
      </c>
      <c r="D536" s="238">
        <f>SUM(D537:D538)</f>
        <v>0</v>
      </c>
      <c r="E536" s="238">
        <f>SUM(E537:E538)</f>
        <v>0</v>
      </c>
      <c r="F536" s="163">
        <f>SUM(F537:F538)</f>
        <v>0</v>
      </c>
      <c r="G536" s="163">
        <f>SUM(G537:G538)</f>
        <v>0</v>
      </c>
    </row>
    <row r="537" spans="1:7" ht="15">
      <c r="A537" s="189"/>
      <c r="B537" s="190"/>
      <c r="C537" s="222"/>
      <c r="D537" s="239"/>
      <c r="E537" s="239"/>
      <c r="F537" s="166"/>
      <c r="G537" s="166"/>
    </row>
    <row r="538" spans="1:9" ht="15">
      <c r="A538" s="191"/>
      <c r="B538" s="192"/>
      <c r="C538" s="224"/>
      <c r="D538" s="241"/>
      <c r="E538" s="241"/>
      <c r="F538" s="174"/>
      <c r="G538" s="174"/>
      <c r="I538" s="10"/>
    </row>
    <row r="539" spans="6:9" ht="15">
      <c r="F539" s="10"/>
      <c r="G539" s="10"/>
      <c r="I539" s="10"/>
    </row>
    <row r="540" spans="1:9" ht="15">
      <c r="A540" s="158" t="s">
        <v>1227</v>
      </c>
      <c r="B540" s="198" t="s">
        <v>1228</v>
      </c>
      <c r="C540" s="220">
        <f>C541+C562+C565</f>
        <v>691015878.6700001</v>
      </c>
      <c r="D540" s="237">
        <f>D541+D562+D565</f>
        <v>307620189.84000003</v>
      </c>
      <c r="E540" s="237">
        <f>E541+E562+E565</f>
        <v>309444191</v>
      </c>
      <c r="F540" s="160">
        <f>F541+F562+F565</f>
        <v>625573001.13</v>
      </c>
      <c r="G540" s="160">
        <f>G541+G562+G565</f>
        <v>692300383.6800001</v>
      </c>
      <c r="I540" s="10"/>
    </row>
    <row r="541" spans="1:9" ht="26.25">
      <c r="A541" s="161" t="s">
        <v>1229</v>
      </c>
      <c r="B541" s="177" t="s">
        <v>1230</v>
      </c>
      <c r="C541" s="221">
        <f>C542+C545</f>
        <v>691015878.6700001</v>
      </c>
      <c r="D541" s="238">
        <f>D542+D545</f>
        <v>307620189.84000003</v>
      </c>
      <c r="E541" s="238">
        <f>E542+E545</f>
        <v>309444191</v>
      </c>
      <c r="F541" s="163">
        <f>F542+F545</f>
        <v>625573001.13</v>
      </c>
      <c r="G541" s="163">
        <f>G542+G545</f>
        <v>692300383.6800001</v>
      </c>
      <c r="I541" s="10"/>
    </row>
    <row r="542" spans="1:9" ht="51.75">
      <c r="A542" s="161" t="s">
        <v>1231</v>
      </c>
      <c r="B542" s="177" t="s">
        <v>1232</v>
      </c>
      <c r="C542" s="221">
        <f>SUM(C543:C544)</f>
        <v>30996000</v>
      </c>
      <c r="D542" s="238">
        <f>SUM(D543:D544)</f>
        <v>0</v>
      </c>
      <c r="E542" s="238">
        <f>SUM(E543:E544)</f>
        <v>0</v>
      </c>
      <c r="F542" s="163">
        <f>SUM(F543:F544)</f>
        <v>145160363.38</v>
      </c>
      <c r="G542" s="163">
        <f>SUM(G543:G544)</f>
        <v>11400000</v>
      </c>
      <c r="I542" s="10"/>
    </row>
    <row r="543" spans="1:9" ht="26.25">
      <c r="A543" s="164" t="s">
        <v>1233</v>
      </c>
      <c r="B543" s="178" t="s">
        <v>1234</v>
      </c>
      <c r="C543" s="222"/>
      <c r="D543" s="239"/>
      <c r="E543" s="239"/>
      <c r="F543" s="166">
        <v>988593.38</v>
      </c>
      <c r="G543" s="166">
        <v>11400000</v>
      </c>
      <c r="I543" s="10">
        <v>3065000</v>
      </c>
    </row>
    <row r="544" spans="1:9" ht="26.25">
      <c r="A544" s="164" t="s">
        <v>1235</v>
      </c>
      <c r="B544" s="178" t="s">
        <v>1236</v>
      </c>
      <c r="C544" s="222">
        <v>30996000</v>
      </c>
      <c r="D544" s="239"/>
      <c r="E544" s="239"/>
      <c r="F544" s="166">
        <v>144171770</v>
      </c>
      <c r="G544" s="166"/>
      <c r="I544" s="10">
        <v>5035000</v>
      </c>
    </row>
    <row r="545" spans="1:9" ht="26.25">
      <c r="A545" s="161" t="s">
        <v>1237</v>
      </c>
      <c r="B545" s="177" t="s">
        <v>1238</v>
      </c>
      <c r="C545" s="221">
        <f>SUM(C546:C561)</f>
        <v>660019878.6700001</v>
      </c>
      <c r="D545" s="238">
        <f>SUM(D546:D561)</f>
        <v>307620189.84000003</v>
      </c>
      <c r="E545" s="238">
        <f>SUM(E546:E561)</f>
        <v>309444191</v>
      </c>
      <c r="F545" s="163">
        <f>SUM(F546:F561)</f>
        <v>480412637.75</v>
      </c>
      <c r="G545" s="163">
        <f>SUM(G546:G561)</f>
        <v>680900383.6800001</v>
      </c>
      <c r="I545" s="10">
        <v>710000</v>
      </c>
    </row>
    <row r="546" spans="1:9" ht="15">
      <c r="A546" s="164" t="s">
        <v>1239</v>
      </c>
      <c r="B546" s="178" t="s">
        <v>1240</v>
      </c>
      <c r="C546" s="222">
        <f>247417810.08+50995466.84+6539627</f>
        <v>304952903.92</v>
      </c>
      <c r="D546" s="239">
        <v>5370466.84</v>
      </c>
      <c r="E546" s="239">
        <v>13602000</v>
      </c>
      <c r="F546" s="166">
        <f>131149817.51-3627002</f>
        <v>127522815.51</v>
      </c>
      <c r="G546" s="166"/>
      <c r="I546" s="10"/>
    </row>
    <row r="547" spans="1:9" ht="26.25">
      <c r="A547" s="164" t="s">
        <v>1241</v>
      </c>
      <c r="B547" s="178" t="s">
        <v>1242</v>
      </c>
      <c r="C547" s="222">
        <f>39001445+1774258</f>
        <v>40775703</v>
      </c>
      <c r="D547" s="239">
        <v>146173661</v>
      </c>
      <c r="E547" s="239">
        <f>135232154-2100000-25440000</f>
        <v>107692154</v>
      </c>
      <c r="F547" s="166">
        <f>103987572-11085000</f>
        <v>92902572</v>
      </c>
      <c r="G547" s="166">
        <f>183099135-8000-8810000</f>
        <v>174281135</v>
      </c>
      <c r="I547" s="10">
        <f>SUM(I543:I546)</f>
        <v>8810000</v>
      </c>
    </row>
    <row r="548" spans="1:9" ht="15">
      <c r="A548" s="164"/>
      <c r="B548" s="178" t="s">
        <v>29</v>
      </c>
      <c r="C548" s="222">
        <v>6291400</v>
      </c>
      <c r="D548" s="239"/>
      <c r="E548" s="239"/>
      <c r="F548" s="166"/>
      <c r="G548" s="166"/>
      <c r="I548" s="10"/>
    </row>
    <row r="549" spans="1:9" ht="26.25">
      <c r="A549" s="164"/>
      <c r="B549" s="178" t="s">
        <v>30</v>
      </c>
      <c r="C549" s="222">
        <v>29999964.75</v>
      </c>
      <c r="D549" s="239"/>
      <c r="E549" s="239"/>
      <c r="F549" s="166"/>
      <c r="G549" s="166"/>
      <c r="I549" s="10"/>
    </row>
    <row r="550" spans="1:7" ht="15">
      <c r="A550" s="164"/>
      <c r="B550" s="178" t="s">
        <v>1429</v>
      </c>
      <c r="C550" s="222">
        <v>114000000</v>
      </c>
      <c r="D550" s="239"/>
      <c r="E550" s="239"/>
      <c r="F550" s="166"/>
      <c r="G550" s="166"/>
    </row>
    <row r="551" spans="1:7" ht="26.25">
      <c r="A551" s="164"/>
      <c r="B551" s="178" t="s">
        <v>31</v>
      </c>
      <c r="C551" s="222">
        <v>13999907</v>
      </c>
      <c r="D551" s="239"/>
      <c r="E551" s="239"/>
      <c r="F551" s="166"/>
      <c r="G551" s="166"/>
    </row>
    <row r="552" spans="1:7" ht="51.75">
      <c r="A552" s="164"/>
      <c r="B552" s="178" t="s">
        <v>28</v>
      </c>
      <c r="C552" s="222">
        <f>70000000+80000000</f>
        <v>150000000</v>
      </c>
      <c r="D552" s="239"/>
      <c r="E552" s="239"/>
      <c r="F552" s="166"/>
      <c r="G552" s="166"/>
    </row>
    <row r="553" spans="1:7" ht="51.75">
      <c r="A553" s="164" t="s">
        <v>1426</v>
      </c>
      <c r="B553" s="178" t="s">
        <v>1427</v>
      </c>
      <c r="C553" s="222"/>
      <c r="D553" s="239">
        <v>80000000</v>
      </c>
      <c r="E553" s="239"/>
      <c r="F553" s="166"/>
      <c r="G553" s="166"/>
    </row>
    <row r="554" spans="1:7" ht="15">
      <c r="A554" s="164" t="s">
        <v>1428</v>
      </c>
      <c r="B554" s="178" t="s">
        <v>1429</v>
      </c>
      <c r="C554" s="222"/>
      <c r="D554" s="239">
        <v>76076062</v>
      </c>
      <c r="E554" s="239"/>
      <c r="F554" s="166"/>
      <c r="G554" s="166"/>
    </row>
    <row r="555" spans="1:7" ht="39">
      <c r="A555" s="164" t="s">
        <v>1368</v>
      </c>
      <c r="B555" s="178" t="s">
        <v>1411</v>
      </c>
      <c r="C555" s="222"/>
      <c r="D555" s="239"/>
      <c r="E555" s="239">
        <v>188150037</v>
      </c>
      <c r="F555" s="166"/>
      <c r="G555" s="166"/>
    </row>
    <row r="556" spans="1:7" ht="39">
      <c r="A556" s="164" t="s">
        <v>1368</v>
      </c>
      <c r="B556" s="178" t="s">
        <v>1393</v>
      </c>
      <c r="C556" s="222"/>
      <c r="D556" s="239"/>
      <c r="E556" s="239"/>
      <c r="F556" s="166">
        <v>120000000</v>
      </c>
      <c r="G556" s="166"/>
    </row>
    <row r="557" spans="1:7" ht="26.25">
      <c r="A557" s="164" t="s">
        <v>1370</v>
      </c>
      <c r="B557" s="178" t="s">
        <v>1394</v>
      </c>
      <c r="C557" s="222"/>
      <c r="D557" s="239"/>
      <c r="E557" s="239"/>
      <c r="F557" s="166">
        <v>39991445.24</v>
      </c>
      <c r="G557" s="166"/>
    </row>
    <row r="558" spans="1:7" ht="26.25">
      <c r="A558" s="164" t="s">
        <v>1372</v>
      </c>
      <c r="B558" s="178" t="s">
        <v>1395</v>
      </c>
      <c r="C558" s="222"/>
      <c r="D558" s="239"/>
      <c r="E558" s="239"/>
      <c r="F558" s="166">
        <v>99995805</v>
      </c>
      <c r="G558" s="166"/>
    </row>
    <row r="559" spans="1:7" ht="26.25">
      <c r="A559" s="164" t="s">
        <v>1368</v>
      </c>
      <c r="B559" s="178" t="s">
        <v>1369</v>
      </c>
      <c r="C559" s="222"/>
      <c r="D559" s="239"/>
      <c r="E559" s="239"/>
      <c r="F559" s="166"/>
      <c r="G559" s="166">
        <v>30000000</v>
      </c>
    </row>
    <row r="560" spans="1:7" ht="26.25">
      <c r="A560" s="164" t="s">
        <v>1370</v>
      </c>
      <c r="B560" s="178" t="s">
        <v>1371</v>
      </c>
      <c r="C560" s="222"/>
      <c r="D560" s="239"/>
      <c r="E560" s="239"/>
      <c r="F560" s="166"/>
      <c r="G560" s="166">
        <v>476619248.68</v>
      </c>
    </row>
    <row r="561" spans="1:7" ht="26.25">
      <c r="A561" s="164" t="s">
        <v>1372</v>
      </c>
      <c r="B561" s="178" t="s">
        <v>1373</v>
      </c>
      <c r="C561" s="222"/>
      <c r="D561" s="239"/>
      <c r="E561" s="239"/>
      <c r="F561" s="166"/>
      <c r="G561" s="166"/>
    </row>
    <row r="562" spans="1:7" ht="15">
      <c r="A562" s="161" t="s">
        <v>1243</v>
      </c>
      <c r="B562" s="177" t="s">
        <v>1244</v>
      </c>
      <c r="C562" s="221">
        <f aca="true" t="shared" si="2" ref="C562:G563">+C563</f>
        <v>0</v>
      </c>
      <c r="D562" s="238">
        <f t="shared" si="2"/>
        <v>0</v>
      </c>
      <c r="E562" s="238">
        <f t="shared" si="2"/>
        <v>0</v>
      </c>
      <c r="F562" s="163">
        <f t="shared" si="2"/>
        <v>0</v>
      </c>
      <c r="G562" s="163">
        <f t="shared" si="2"/>
        <v>0</v>
      </c>
    </row>
    <row r="563" spans="1:7" ht="39">
      <c r="A563" s="180" t="s">
        <v>1245</v>
      </c>
      <c r="B563" s="181" t="s">
        <v>1246</v>
      </c>
      <c r="C563" s="221">
        <f t="shared" si="2"/>
        <v>0</v>
      </c>
      <c r="D563" s="238">
        <f t="shared" si="2"/>
        <v>0</v>
      </c>
      <c r="E563" s="238">
        <f t="shared" si="2"/>
        <v>0</v>
      </c>
      <c r="F563" s="163">
        <f t="shared" si="2"/>
        <v>0</v>
      </c>
      <c r="G563" s="163">
        <f t="shared" si="2"/>
        <v>0</v>
      </c>
    </row>
    <row r="564" spans="1:7" ht="26.25">
      <c r="A564" s="191" t="s">
        <v>1247</v>
      </c>
      <c r="B564" s="192" t="s">
        <v>1248</v>
      </c>
      <c r="C564" s="224"/>
      <c r="D564" s="241"/>
      <c r="E564" s="241"/>
      <c r="F564" s="174"/>
      <c r="G564" s="174"/>
    </row>
    <row r="565" spans="1:7" ht="15">
      <c r="A565" s="182">
        <v>231003</v>
      </c>
      <c r="B565" s="183" t="s">
        <v>893</v>
      </c>
      <c r="C565" s="221">
        <f>C566</f>
        <v>0</v>
      </c>
      <c r="D565" s="238">
        <f>D566</f>
        <v>0</v>
      </c>
      <c r="E565" s="238">
        <f>E566</f>
        <v>0</v>
      </c>
      <c r="F565" s="163">
        <f>F566</f>
        <v>0</v>
      </c>
      <c r="G565" s="163">
        <f>G566</f>
        <v>0</v>
      </c>
    </row>
    <row r="566" spans="1:7" ht="15">
      <c r="A566" s="182">
        <v>23100301</v>
      </c>
      <c r="B566" s="183" t="s">
        <v>894</v>
      </c>
      <c r="C566" s="221">
        <f>SUM(C567:C568)</f>
        <v>0</v>
      </c>
      <c r="D566" s="238">
        <f>SUM(D567:D568)</f>
        <v>0</v>
      </c>
      <c r="E566" s="238">
        <f>SUM(E567:E568)</f>
        <v>0</v>
      </c>
      <c r="F566" s="163">
        <f>SUM(F567:F568)</f>
        <v>0</v>
      </c>
      <c r="G566" s="163">
        <f>SUM(G567:G568)</f>
        <v>0</v>
      </c>
    </row>
    <row r="567" spans="1:7" ht="15">
      <c r="A567" s="189"/>
      <c r="B567" s="190"/>
      <c r="C567" s="222"/>
      <c r="D567" s="239"/>
      <c r="E567" s="239"/>
      <c r="F567" s="166"/>
      <c r="G567" s="166"/>
    </row>
    <row r="568" spans="1:7" ht="15">
      <c r="A568" s="191"/>
      <c r="B568" s="192"/>
      <c r="C568" s="224"/>
      <c r="D568" s="241"/>
      <c r="E568" s="241"/>
      <c r="F568" s="174"/>
      <c r="G568" s="174"/>
    </row>
    <row r="569" spans="1:9" ht="15">
      <c r="A569" s="195"/>
      <c r="B569" s="196"/>
      <c r="F569" s="10"/>
      <c r="G569" s="10"/>
      <c r="I569" s="10">
        <v>5000000</v>
      </c>
    </row>
    <row r="570" spans="1:9" ht="26.25">
      <c r="A570" s="158" t="s">
        <v>1249</v>
      </c>
      <c r="B570" s="198" t="s">
        <v>1250</v>
      </c>
      <c r="C570" s="220">
        <f>C571+C580</f>
        <v>25198600</v>
      </c>
      <c r="D570" s="237">
        <f>D571+D580</f>
        <v>37255025</v>
      </c>
      <c r="E570" s="237">
        <f>E571+E580</f>
        <v>277012334</v>
      </c>
      <c r="F570" s="160">
        <f>F571+F580</f>
        <v>190453500.47</v>
      </c>
      <c r="G570" s="160">
        <f>G571+G580</f>
        <v>282017483</v>
      </c>
      <c r="I570" s="10">
        <v>100334</v>
      </c>
    </row>
    <row r="571" spans="1:9" ht="26.25">
      <c r="A571" s="161" t="s">
        <v>1251</v>
      </c>
      <c r="B571" s="177" t="s">
        <v>1252</v>
      </c>
      <c r="C571" s="221">
        <f>C572+C574+C576</f>
        <v>25198600</v>
      </c>
      <c r="D571" s="238">
        <f>D572+D574+D576</f>
        <v>37255025</v>
      </c>
      <c r="E571" s="238">
        <f>E572+E574+E576</f>
        <v>277012334</v>
      </c>
      <c r="F571" s="163">
        <f>F572+F574+F576</f>
        <v>190453500.47</v>
      </c>
      <c r="G571" s="163">
        <f>G572+G574+G576</f>
        <v>282017483</v>
      </c>
      <c r="I571" s="10">
        <v>3000000</v>
      </c>
    </row>
    <row r="572" spans="1:9" ht="26.25">
      <c r="A572" s="161" t="s">
        <v>1253</v>
      </c>
      <c r="B572" s="177" t="s">
        <v>1254</v>
      </c>
      <c r="C572" s="221">
        <f>C573</f>
        <v>0</v>
      </c>
      <c r="D572" s="238">
        <f>D573</f>
        <v>15420740</v>
      </c>
      <c r="E572" s="238">
        <f>E573</f>
        <v>59854255</v>
      </c>
      <c r="F572" s="163">
        <f>F573</f>
        <v>69965249</v>
      </c>
      <c r="G572" s="163">
        <f>G573</f>
        <v>46517483</v>
      </c>
      <c r="I572" s="10">
        <v>3319206</v>
      </c>
    </row>
    <row r="573" spans="1:9" ht="15">
      <c r="A573" s="164" t="s">
        <v>1255</v>
      </c>
      <c r="B573" s="178" t="s">
        <v>1256</v>
      </c>
      <c r="C573" s="222"/>
      <c r="D573" s="239">
        <v>15420740</v>
      </c>
      <c r="E573" s="239">
        <v>59854255</v>
      </c>
      <c r="F573" s="166">
        <v>69965249</v>
      </c>
      <c r="G573" s="166">
        <v>46517483</v>
      </c>
      <c r="I573" s="10">
        <v>395266</v>
      </c>
    </row>
    <row r="574" spans="1:9" ht="26.25">
      <c r="A574" s="161" t="s">
        <v>1257</v>
      </c>
      <c r="B574" s="177" t="s">
        <v>1258</v>
      </c>
      <c r="C574" s="221">
        <f>C575</f>
        <v>0</v>
      </c>
      <c r="D574" s="238">
        <f>D575</f>
        <v>0</v>
      </c>
      <c r="E574" s="238">
        <f>E575</f>
        <v>0</v>
      </c>
      <c r="F574" s="163">
        <f>F575</f>
        <v>9600000</v>
      </c>
      <c r="G574" s="163">
        <f>G575</f>
        <v>0</v>
      </c>
      <c r="I574" s="10">
        <v>400000</v>
      </c>
    </row>
    <row r="575" spans="1:9" ht="26.25">
      <c r="A575" s="164" t="s">
        <v>1259</v>
      </c>
      <c r="B575" s="178" t="s">
        <v>1260</v>
      </c>
      <c r="C575" s="222"/>
      <c r="D575" s="239"/>
      <c r="E575" s="239"/>
      <c r="F575" s="166">
        <v>9600000</v>
      </c>
      <c r="G575" s="166"/>
      <c r="I575" s="10">
        <v>400000</v>
      </c>
    </row>
    <row r="576" spans="1:9" ht="51.75">
      <c r="A576" s="180" t="s">
        <v>1261</v>
      </c>
      <c r="B576" s="181" t="s">
        <v>1262</v>
      </c>
      <c r="C576" s="221">
        <f>SUM(C577:C579)</f>
        <v>25198600</v>
      </c>
      <c r="D576" s="238">
        <f>SUM(D577:D579)</f>
        <v>21834285</v>
      </c>
      <c r="E576" s="238">
        <f>SUM(E577:E579)</f>
        <v>217158079</v>
      </c>
      <c r="F576" s="163">
        <f>SUM(F577:F579)</f>
        <v>110888251.47</v>
      </c>
      <c r="G576" s="163">
        <f>SUM(G577:G579)</f>
        <v>235500000</v>
      </c>
      <c r="I576" s="10">
        <f>SUM(I569:I575)</f>
        <v>12614806</v>
      </c>
    </row>
    <row r="577" spans="1:7" ht="15">
      <c r="A577" s="189" t="s">
        <v>1263</v>
      </c>
      <c r="B577" s="190" t="s">
        <v>1264</v>
      </c>
      <c r="C577" s="222"/>
      <c r="D577" s="239">
        <v>11000000</v>
      </c>
      <c r="E577" s="239">
        <v>28116996</v>
      </c>
      <c r="F577" s="166"/>
      <c r="G577" s="166"/>
    </row>
    <row r="578" spans="1:9" ht="26.25">
      <c r="A578" s="189" t="s">
        <v>1265</v>
      </c>
      <c r="B578" s="190" t="s">
        <v>1266</v>
      </c>
      <c r="C578" s="222">
        <v>4000000</v>
      </c>
      <c r="D578" s="239">
        <v>3500000</v>
      </c>
      <c r="E578" s="239">
        <v>5000000</v>
      </c>
      <c r="F578" s="166">
        <f>7580794-5000000</f>
        <v>2580794</v>
      </c>
      <c r="G578" s="166"/>
      <c r="I578" s="39"/>
    </row>
    <row r="579" spans="1:7" ht="15">
      <c r="A579" s="191" t="s">
        <v>1267</v>
      </c>
      <c r="B579" s="192" t="s">
        <v>1268</v>
      </c>
      <c r="C579" s="224">
        <v>21198600</v>
      </c>
      <c r="D579" s="241">
        <v>7334285</v>
      </c>
      <c r="E579" s="241">
        <f>184043006-1923</f>
        <v>184041083</v>
      </c>
      <c r="F579" s="174">
        <f>228339275.47-81786-119950032</f>
        <v>108307457.47</v>
      </c>
      <c r="G579" s="174">
        <f>248114806-12614806</f>
        <v>235500000</v>
      </c>
    </row>
    <row r="580" spans="1:7" ht="15">
      <c r="A580" s="182">
        <v>231102</v>
      </c>
      <c r="B580" s="183" t="s">
        <v>893</v>
      </c>
      <c r="C580" s="221">
        <f>C581</f>
        <v>0</v>
      </c>
      <c r="D580" s="238">
        <f>D581</f>
        <v>0</v>
      </c>
      <c r="E580" s="238">
        <f>E581</f>
        <v>0</v>
      </c>
      <c r="F580" s="163">
        <f>F581</f>
        <v>0</v>
      </c>
      <c r="G580" s="163">
        <f>G581</f>
        <v>0</v>
      </c>
    </row>
    <row r="581" spans="1:7" ht="15">
      <c r="A581" s="182">
        <v>23110201</v>
      </c>
      <c r="B581" s="183" t="s">
        <v>894</v>
      </c>
      <c r="C581" s="221">
        <f>SUM(C582:C583)</f>
        <v>0</v>
      </c>
      <c r="D581" s="238">
        <f>SUM(D582:D583)</f>
        <v>0</v>
      </c>
      <c r="E581" s="238">
        <f>SUM(E582:E583)</f>
        <v>0</v>
      </c>
      <c r="F581" s="163">
        <f>SUM(F582:F583)</f>
        <v>0</v>
      </c>
      <c r="G581" s="163">
        <f>SUM(G582:G583)</f>
        <v>0</v>
      </c>
    </row>
    <row r="582" spans="1:7" ht="15">
      <c r="A582" s="189"/>
      <c r="B582" s="190"/>
      <c r="C582" s="222"/>
      <c r="D582" s="239"/>
      <c r="E582" s="239"/>
      <c r="F582" s="166"/>
      <c r="G582" s="166"/>
    </row>
    <row r="583" spans="1:7" ht="15">
      <c r="A583" s="191"/>
      <c r="B583" s="192"/>
      <c r="C583" s="224"/>
      <c r="D583" s="241"/>
      <c r="E583" s="241"/>
      <c r="F583" s="174"/>
      <c r="G583" s="174"/>
    </row>
    <row r="584" spans="1:9" ht="15">
      <c r="A584" s="195"/>
      <c r="B584" s="196"/>
      <c r="F584" s="10"/>
      <c r="G584" s="10"/>
      <c r="I584" s="10">
        <v>1451731</v>
      </c>
    </row>
    <row r="585" spans="1:9" ht="15">
      <c r="A585" s="158" t="s">
        <v>1269</v>
      </c>
      <c r="B585" s="198" t="s">
        <v>1270</v>
      </c>
      <c r="C585" s="220">
        <f>C586+C601</f>
        <v>441670958.91999996</v>
      </c>
      <c r="D585" s="237">
        <f>D586+D601</f>
        <v>87274698</v>
      </c>
      <c r="E585" s="237">
        <f>E586+E601</f>
        <v>79396742</v>
      </c>
      <c r="F585" s="160">
        <f>F586+F601</f>
        <v>190591534.49</v>
      </c>
      <c r="G585" s="160">
        <f>G586+G601</f>
        <v>153120524</v>
      </c>
      <c r="I585" s="10">
        <v>2636269</v>
      </c>
    </row>
    <row r="586" spans="1:9" ht="39">
      <c r="A586" s="161" t="s">
        <v>1271</v>
      </c>
      <c r="B586" s="177" t="s">
        <v>1272</v>
      </c>
      <c r="C586" s="221">
        <f>C587+C590+C599</f>
        <v>441670958.91999996</v>
      </c>
      <c r="D586" s="238">
        <f>D587+D590+D599</f>
        <v>87274698</v>
      </c>
      <c r="E586" s="238">
        <f>E587+E590+E599</f>
        <v>79396742</v>
      </c>
      <c r="F586" s="163">
        <f>F587+F590+F599</f>
        <v>190591534.49</v>
      </c>
      <c r="G586" s="163">
        <f>G587+G590+G599</f>
        <v>153120524</v>
      </c>
      <c r="I586" s="10">
        <f>SUM(I584:I585)</f>
        <v>4088000</v>
      </c>
    </row>
    <row r="587" spans="1:9" ht="39">
      <c r="A587" s="161" t="s">
        <v>1273</v>
      </c>
      <c r="B587" s="177" t="s">
        <v>1274</v>
      </c>
      <c r="C587" s="221">
        <f>SUM(C588:C589)</f>
        <v>62973657.5</v>
      </c>
      <c r="D587" s="221">
        <f>SUM(D588:D589)</f>
        <v>51608760</v>
      </c>
      <c r="E587" s="221">
        <f>SUM(E588:E589)</f>
        <v>42902800</v>
      </c>
      <c r="F587" s="221">
        <f>SUM(F588:F589)</f>
        <v>30269000</v>
      </c>
      <c r="G587" s="221">
        <f>SUM(G588:G589)</f>
        <v>8100000</v>
      </c>
      <c r="I587" s="10"/>
    </row>
    <row r="588" spans="1:9" ht="26.25">
      <c r="A588" s="164" t="s">
        <v>1275</v>
      </c>
      <c r="B588" s="178" t="s">
        <v>1276</v>
      </c>
      <c r="C588" s="222">
        <v>55973657.5</v>
      </c>
      <c r="D588" s="239">
        <v>51608760</v>
      </c>
      <c r="E588" s="239">
        <f>45212800-2310000</f>
        <v>42902800</v>
      </c>
      <c r="F588" s="166">
        <f>30872206-603206</f>
        <v>30269000</v>
      </c>
      <c r="G588" s="166">
        <f>12188000-4088000</f>
        <v>8100000</v>
      </c>
      <c r="I588" s="10"/>
    </row>
    <row r="589" spans="1:9" ht="15">
      <c r="A589" s="164"/>
      <c r="B589" s="178" t="s">
        <v>33</v>
      </c>
      <c r="C589" s="222">
        <v>7000000</v>
      </c>
      <c r="D589" s="239"/>
      <c r="E589" s="239"/>
      <c r="F589" s="166"/>
      <c r="G589" s="166"/>
      <c r="I589" s="10"/>
    </row>
    <row r="590" spans="1:9" ht="39">
      <c r="A590" s="161" t="s">
        <v>1277</v>
      </c>
      <c r="B590" s="177" t="s">
        <v>1278</v>
      </c>
      <c r="C590" s="221">
        <f>SUM(C591:C598)</f>
        <v>378697301.41999996</v>
      </c>
      <c r="D590" s="238">
        <f>SUM(D591:D598)</f>
        <v>35665938</v>
      </c>
      <c r="E590" s="238">
        <f>SUM(E591:E598)</f>
        <v>36493942</v>
      </c>
      <c r="F590" s="163">
        <f>SUM(F591:F598)</f>
        <v>160322534.49</v>
      </c>
      <c r="G590" s="163">
        <f>SUM(G591:G598)</f>
        <v>145020524</v>
      </c>
      <c r="I590" s="10"/>
    </row>
    <row r="591" spans="1:9" ht="26.25">
      <c r="A591" s="164" t="s">
        <v>1279</v>
      </c>
      <c r="B591" s="178" t="s">
        <v>1280</v>
      </c>
      <c r="C591" s="222">
        <v>105026780.71</v>
      </c>
      <c r="D591" s="239"/>
      <c r="E591" s="239">
        <v>14999911</v>
      </c>
      <c r="F591" s="166">
        <v>19999856</v>
      </c>
      <c r="G591" s="166">
        <f>14995800-10000000</f>
        <v>4995800</v>
      </c>
      <c r="I591" s="10"/>
    </row>
    <row r="592" spans="1:9" ht="26.25">
      <c r="A592" s="164" t="s">
        <v>1281</v>
      </c>
      <c r="B592" s="178" t="s">
        <v>1282</v>
      </c>
      <c r="C592" s="222">
        <v>11789628</v>
      </c>
      <c r="D592" s="239">
        <v>20999938</v>
      </c>
      <c r="E592" s="239">
        <v>6795200</v>
      </c>
      <c r="F592" s="166">
        <v>14900000</v>
      </c>
      <c r="G592" s="166">
        <f>23000000-10000000</f>
        <v>13000000</v>
      </c>
      <c r="I592" s="10"/>
    </row>
    <row r="593" spans="1:9" ht="26.25">
      <c r="A593" s="164"/>
      <c r="B593" s="178" t="s">
        <v>32</v>
      </c>
      <c r="C593" s="222">
        <v>128990800</v>
      </c>
      <c r="D593" s="239"/>
      <c r="E593" s="239"/>
      <c r="F593" s="166"/>
      <c r="G593" s="166"/>
      <c r="I593" s="10">
        <v>66416444</v>
      </c>
    </row>
    <row r="594" spans="1:9" ht="39">
      <c r="A594" s="164" t="s">
        <v>1283</v>
      </c>
      <c r="B594" s="178" t="s">
        <v>1284</v>
      </c>
      <c r="C594" s="222">
        <v>61920609.75</v>
      </c>
      <c r="D594" s="239"/>
      <c r="E594" s="239"/>
      <c r="F594" s="166">
        <v>39096403</v>
      </c>
      <c r="G594" s="166"/>
      <c r="I594" s="10">
        <v>15483556</v>
      </c>
    </row>
    <row r="595" spans="1:7" ht="26.25">
      <c r="A595" s="164" t="s">
        <v>1285</v>
      </c>
      <c r="B595" s="178" t="s">
        <v>1286</v>
      </c>
      <c r="C595" s="222"/>
      <c r="D595" s="239"/>
      <c r="E595" s="239"/>
      <c r="F595" s="166"/>
      <c r="G595" s="166"/>
    </row>
    <row r="596" spans="1:9" ht="39">
      <c r="A596" s="164" t="s">
        <v>1287</v>
      </c>
      <c r="B596" s="178" t="s">
        <v>1288</v>
      </c>
      <c r="C596" s="222">
        <f>52969482.96+18000000</f>
        <v>70969482.96000001</v>
      </c>
      <c r="D596" s="239">
        <v>14666000</v>
      </c>
      <c r="E596" s="239">
        <v>14698831</v>
      </c>
      <c r="F596" s="166">
        <v>86326275.49000001</v>
      </c>
      <c r="G596" s="166">
        <f>86900000-81900000</f>
        <v>5000000</v>
      </c>
      <c r="I596" s="10">
        <f>SUM(I593:I595)</f>
        <v>81900000</v>
      </c>
    </row>
    <row r="597" spans="1:7" ht="39">
      <c r="A597" s="218" t="s">
        <v>1374</v>
      </c>
      <c r="B597" s="219" t="s">
        <v>1375</v>
      </c>
      <c r="C597" s="222"/>
      <c r="D597" s="239"/>
      <c r="E597" s="239"/>
      <c r="F597" s="166"/>
      <c r="G597" s="166">
        <v>122024724</v>
      </c>
    </row>
    <row r="598" spans="1:7" ht="26.25">
      <c r="A598" s="218" t="s">
        <v>1376</v>
      </c>
      <c r="B598" s="219" t="s">
        <v>1377</v>
      </c>
      <c r="C598" s="222"/>
      <c r="D598" s="239"/>
      <c r="E598" s="239"/>
      <c r="F598" s="166"/>
      <c r="G598" s="166"/>
    </row>
    <row r="599" spans="1:7" ht="26.25">
      <c r="A599" s="180" t="s">
        <v>1289</v>
      </c>
      <c r="B599" s="181" t="s">
        <v>1290</v>
      </c>
      <c r="C599" s="221">
        <f>C600</f>
        <v>0</v>
      </c>
      <c r="D599" s="238">
        <f>D600</f>
        <v>0</v>
      </c>
      <c r="E599" s="238">
        <f>E600</f>
        <v>0</v>
      </c>
      <c r="F599" s="163">
        <f>F600</f>
        <v>0</v>
      </c>
      <c r="G599" s="163">
        <f>G600</f>
        <v>0</v>
      </c>
    </row>
    <row r="600" spans="1:7" ht="39">
      <c r="A600" s="191" t="s">
        <v>1291</v>
      </c>
      <c r="B600" s="192" t="s">
        <v>1292</v>
      </c>
      <c r="C600" s="224"/>
      <c r="D600" s="241"/>
      <c r="E600" s="241"/>
      <c r="F600" s="174"/>
      <c r="G600" s="174"/>
    </row>
    <row r="601" spans="1:7" ht="15">
      <c r="A601" s="182">
        <v>231202</v>
      </c>
      <c r="B601" s="183" t="s">
        <v>893</v>
      </c>
      <c r="C601" s="221">
        <f>C602</f>
        <v>0</v>
      </c>
      <c r="D601" s="238">
        <f>D602</f>
        <v>0</v>
      </c>
      <c r="E601" s="238">
        <f>E602</f>
        <v>0</v>
      </c>
      <c r="F601" s="163">
        <f>F602</f>
        <v>0</v>
      </c>
      <c r="G601" s="163">
        <f>G602</f>
        <v>0</v>
      </c>
    </row>
    <row r="602" spans="1:7" ht="15">
      <c r="A602" s="182">
        <v>23120201</v>
      </c>
      <c r="B602" s="183" t="s">
        <v>894</v>
      </c>
      <c r="C602" s="221">
        <f>SUM(C603:C604)</f>
        <v>0</v>
      </c>
      <c r="D602" s="238">
        <f>SUM(D603:D604)</f>
        <v>0</v>
      </c>
      <c r="E602" s="238">
        <f>SUM(E603:E604)</f>
        <v>0</v>
      </c>
      <c r="F602" s="163">
        <f>SUM(F603:F604)</f>
        <v>0</v>
      </c>
      <c r="G602" s="163">
        <f>SUM(G603:G604)</f>
        <v>0</v>
      </c>
    </row>
    <row r="603" spans="1:7" ht="15">
      <c r="A603" s="189"/>
      <c r="B603" s="190"/>
      <c r="C603" s="222"/>
      <c r="D603" s="239"/>
      <c r="E603" s="239"/>
      <c r="F603" s="166"/>
      <c r="G603" s="166"/>
    </row>
    <row r="604" spans="1:7" ht="15">
      <c r="A604" s="191"/>
      <c r="B604" s="192"/>
      <c r="C604" s="224"/>
      <c r="D604" s="241"/>
      <c r="E604" s="241"/>
      <c r="F604" s="174"/>
      <c r="G604" s="174"/>
    </row>
    <row r="605" spans="1:7" ht="15">
      <c r="A605" s="195"/>
      <c r="B605" s="196"/>
      <c r="F605" s="10"/>
      <c r="G605" s="10"/>
    </row>
    <row r="606" spans="1:7" ht="26.25">
      <c r="A606" s="158" t="s">
        <v>1293</v>
      </c>
      <c r="B606" s="198" t="s">
        <v>1294</v>
      </c>
      <c r="C606" s="220">
        <f>C607+C616</f>
        <v>0</v>
      </c>
      <c r="D606" s="237">
        <f>D607+D616</f>
        <v>135066480</v>
      </c>
      <c r="E606" s="237">
        <f>E607+E616</f>
        <v>151525473</v>
      </c>
      <c r="F606" s="160">
        <f>F607+F616</f>
        <v>42522100</v>
      </c>
      <c r="G606" s="160">
        <f>G607+G616</f>
        <v>94980000</v>
      </c>
    </row>
    <row r="607" spans="1:7" ht="26.25">
      <c r="A607" s="161" t="s">
        <v>1295</v>
      </c>
      <c r="B607" s="177" t="s">
        <v>1296</v>
      </c>
      <c r="C607" s="221">
        <f>SUM(C608:C611)</f>
        <v>0</v>
      </c>
      <c r="D607" s="238">
        <f>SUM(D608:D611)</f>
        <v>135066480</v>
      </c>
      <c r="E607" s="238">
        <f>SUM(E608:E611)</f>
        <v>151525473</v>
      </c>
      <c r="F607" s="163">
        <f>SUM(F608:F611)</f>
        <v>42522100</v>
      </c>
      <c r="G607" s="163">
        <f>SUM(G608:G611)</f>
        <v>94980000</v>
      </c>
    </row>
    <row r="608" spans="1:7" ht="15">
      <c r="A608" s="161" t="s">
        <v>1297</v>
      </c>
      <c r="B608" s="177" t="s">
        <v>1298</v>
      </c>
      <c r="C608" s="221"/>
      <c r="D608" s="238"/>
      <c r="E608" s="238"/>
      <c r="F608" s="163"/>
      <c r="G608" s="163"/>
    </row>
    <row r="609" spans="1:7" ht="15">
      <c r="A609" s="161" t="s">
        <v>1299</v>
      </c>
      <c r="B609" s="177" t="s">
        <v>1300</v>
      </c>
      <c r="C609" s="221"/>
      <c r="D609" s="238"/>
      <c r="E609" s="238"/>
      <c r="F609" s="163"/>
      <c r="G609" s="163"/>
    </row>
    <row r="610" spans="1:7" ht="39">
      <c r="A610" s="161" t="s">
        <v>1301</v>
      </c>
      <c r="B610" s="177" t="s">
        <v>1302</v>
      </c>
      <c r="C610" s="221"/>
      <c r="D610" s="238"/>
      <c r="E610" s="238"/>
      <c r="F610" s="163"/>
      <c r="G610" s="163"/>
    </row>
    <row r="611" spans="1:7" ht="15">
      <c r="A611" s="180" t="s">
        <v>1303</v>
      </c>
      <c r="B611" s="181" t="s">
        <v>1304</v>
      </c>
      <c r="C611" s="221">
        <f>SUM(C612:C615)</f>
        <v>0</v>
      </c>
      <c r="D611" s="238">
        <f>SUM(D612:D615)</f>
        <v>135066480</v>
      </c>
      <c r="E611" s="238">
        <f>SUM(E612:E615)</f>
        <v>151525473</v>
      </c>
      <c r="F611" s="163">
        <f>SUM(F612:F615)</f>
        <v>42522100</v>
      </c>
      <c r="G611" s="163">
        <f>SUM(G612:G615)</f>
        <v>94980000</v>
      </c>
    </row>
    <row r="612" spans="1:7" ht="39">
      <c r="A612" s="189" t="s">
        <v>1305</v>
      </c>
      <c r="B612" s="190" t="s">
        <v>1306</v>
      </c>
      <c r="C612" s="222"/>
      <c r="D612" s="239">
        <v>135066480</v>
      </c>
      <c r="E612" s="239">
        <f>161222349-42734388-21048942</f>
        <v>97439019</v>
      </c>
      <c r="F612" s="166">
        <f>74019360-34797260</f>
        <v>39222100</v>
      </c>
      <c r="G612" s="166">
        <f>109500000-14520000</f>
        <v>94980000</v>
      </c>
    </row>
    <row r="613" spans="1:7" ht="51.75">
      <c r="A613" s="189" t="s">
        <v>1412</v>
      </c>
      <c r="B613" s="190" t="s">
        <v>1132</v>
      </c>
      <c r="C613" s="222"/>
      <c r="D613" s="239"/>
      <c r="E613" s="239">
        <v>17500000</v>
      </c>
      <c r="F613" s="166"/>
      <c r="G613" s="166"/>
    </row>
    <row r="614" spans="1:7" ht="15">
      <c r="A614" s="189" t="s">
        <v>1396</v>
      </c>
      <c r="B614" s="190" t="s">
        <v>1397</v>
      </c>
      <c r="C614" s="222"/>
      <c r="D614" s="239"/>
      <c r="E614" s="239"/>
      <c r="F614" s="166">
        <v>3300000</v>
      </c>
      <c r="G614" s="166"/>
    </row>
    <row r="615" spans="1:7" ht="15">
      <c r="A615" s="191">
        <v>2313010402</v>
      </c>
      <c r="B615" s="192" t="s">
        <v>1307</v>
      </c>
      <c r="C615" s="224"/>
      <c r="D615" s="241"/>
      <c r="E615" s="241">
        <v>36586454</v>
      </c>
      <c r="F615" s="174"/>
      <c r="G615" s="174"/>
    </row>
    <row r="616" spans="1:7" ht="15">
      <c r="A616" s="182">
        <v>231302</v>
      </c>
      <c r="B616" s="183" t="s">
        <v>893</v>
      </c>
      <c r="C616" s="221">
        <f>C617</f>
        <v>0</v>
      </c>
      <c r="D616" s="238">
        <f>D617</f>
        <v>0</v>
      </c>
      <c r="E616" s="238">
        <f>E617</f>
        <v>0</v>
      </c>
      <c r="F616" s="163">
        <f>F617</f>
        <v>0</v>
      </c>
      <c r="G616" s="163">
        <f>G617</f>
        <v>0</v>
      </c>
    </row>
    <row r="617" spans="1:7" ht="15">
      <c r="A617" s="182">
        <v>23130201</v>
      </c>
      <c r="B617" s="183" t="s">
        <v>894</v>
      </c>
      <c r="C617" s="221">
        <f>SUM(C618:C619)</f>
        <v>0</v>
      </c>
      <c r="D617" s="238">
        <f>SUM(D618:D619)</f>
        <v>0</v>
      </c>
      <c r="E617" s="238">
        <f>SUM(E618:E619)</f>
        <v>0</v>
      </c>
      <c r="F617" s="163">
        <f>SUM(F618:F619)</f>
        <v>0</v>
      </c>
      <c r="G617" s="163">
        <f>SUM(G618:G619)</f>
        <v>0</v>
      </c>
    </row>
    <row r="618" spans="1:7" ht="15">
      <c r="A618" s="189"/>
      <c r="B618" s="190"/>
      <c r="C618" s="222"/>
      <c r="D618" s="239"/>
      <c r="E618" s="239"/>
      <c r="F618" s="166"/>
      <c r="G618" s="166"/>
    </row>
    <row r="619" spans="1:7" ht="15">
      <c r="A619" s="191"/>
      <c r="B619" s="192"/>
      <c r="C619" s="224"/>
      <c r="D619" s="241"/>
      <c r="E619" s="241"/>
      <c r="F619" s="174"/>
      <c r="G619" s="174"/>
    </row>
  </sheetData>
  <sheetProtection/>
  <mergeCells count="7">
    <mergeCell ref="G1:G2"/>
    <mergeCell ref="A1:A2"/>
    <mergeCell ref="B1:B2"/>
    <mergeCell ref="C1:C2"/>
    <mergeCell ref="D1:D2"/>
    <mergeCell ref="E1:E2"/>
    <mergeCell ref="F1:F2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scale="75" r:id="rId1"/>
  <ignoredErrors>
    <ignoredError sqref="C342:G342 C485 C374 C193 C195 C197" unlockedFormula="1"/>
    <ignoredError sqref="D194:G194" formula="1"/>
    <ignoredError sqref="C194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H12" sqref="H12"/>
    </sheetView>
  </sheetViews>
  <sheetFormatPr defaultColWidth="11.421875" defaultRowHeight="15"/>
  <cols>
    <col min="1" max="1" width="22.7109375" style="0" bestFit="1" customWidth="1"/>
    <col min="2" max="2" width="13.7109375" style="0" bestFit="1" customWidth="1"/>
    <col min="3" max="3" width="8.57421875" style="0" customWidth="1"/>
    <col min="4" max="4" width="1.7109375" style="0" customWidth="1"/>
    <col min="5" max="5" width="13.7109375" style="0" bestFit="1" customWidth="1"/>
    <col min="6" max="6" width="7.140625" style="0" bestFit="1" customWidth="1"/>
    <col min="7" max="7" width="1.7109375" style="0" customWidth="1"/>
    <col min="8" max="8" width="13.7109375" style="0" bestFit="1" customWidth="1"/>
    <col min="9" max="9" width="7.140625" style="0" bestFit="1" customWidth="1"/>
    <col min="10" max="10" width="1.7109375" style="0" customWidth="1"/>
    <col min="11" max="11" width="13.7109375" style="0" bestFit="1" customWidth="1"/>
    <col min="12" max="12" width="7.140625" style="0" bestFit="1" customWidth="1"/>
  </cols>
  <sheetData>
    <row r="2" spans="2:12" ht="18.75">
      <c r="B2" s="303">
        <v>2008</v>
      </c>
      <c r="C2" s="303"/>
      <c r="E2" s="303">
        <v>2009</v>
      </c>
      <c r="F2" s="303"/>
      <c r="H2" s="303">
        <v>2010</v>
      </c>
      <c r="I2" s="303"/>
      <c r="K2" s="303">
        <v>2011</v>
      </c>
      <c r="L2" s="303"/>
    </row>
    <row r="3" ht="15">
      <c r="A3" s="261" t="s">
        <v>43</v>
      </c>
    </row>
    <row r="4" spans="1:12" ht="15">
      <c r="A4" t="s">
        <v>48</v>
      </c>
      <c r="B4" s="260">
        <f>'EJECUCIONES PTALES ACTIVA'!I4</f>
        <v>8471627649.55</v>
      </c>
      <c r="C4" s="304">
        <f>B4/B5</f>
        <v>1.0393540011386537</v>
      </c>
      <c r="E4" s="260">
        <f>'EJECUCIONES PTALES ACTIVA'!J4</f>
        <v>9715018434.51</v>
      </c>
      <c r="F4" s="304">
        <f>E4/E5</f>
        <v>0.8198294007430613</v>
      </c>
      <c r="H4" s="260">
        <f>'EJECUCIONES PTALES ACTIVA'!K4</f>
        <v>9418955500.08</v>
      </c>
      <c r="I4" s="304">
        <f>H4/H5</f>
        <v>0.8401006641451106</v>
      </c>
      <c r="K4" s="260">
        <f>'EJECUCIONES PTALES ACTIVA'!L4</f>
        <v>13963781771.87</v>
      </c>
      <c r="L4" s="304">
        <f>K4/K5</f>
        <v>0.7868301654448722</v>
      </c>
    </row>
    <row r="5" spans="1:12" ht="15">
      <c r="A5" t="s">
        <v>49</v>
      </c>
      <c r="B5" s="39">
        <v>8150858745.21</v>
      </c>
      <c r="C5" s="304"/>
      <c r="E5" s="39">
        <v>11850048834.19</v>
      </c>
      <c r="F5" s="304"/>
      <c r="H5" s="39">
        <v>11211698671.45</v>
      </c>
      <c r="I5" s="304"/>
      <c r="K5" s="39">
        <v>17746881582.73</v>
      </c>
      <c r="L5" s="304"/>
    </row>
    <row r="7" ht="15">
      <c r="A7" s="261" t="s">
        <v>44</v>
      </c>
    </row>
    <row r="8" spans="1:12" ht="15">
      <c r="A8" t="s">
        <v>48</v>
      </c>
      <c r="B8" s="260">
        <f>'EJECUCIONES PTALES ACTIVA'!I5</f>
        <v>3975362666</v>
      </c>
      <c r="C8" s="304">
        <f>B8/B9</f>
        <v>0.4877231700691898</v>
      </c>
      <c r="E8" s="260">
        <f>'EJECUCIONES PTALES ACTIVA'!J5</f>
        <v>4505260329.08</v>
      </c>
      <c r="F8" s="304">
        <f>E8/E9</f>
        <v>0.38018917829953003</v>
      </c>
      <c r="H8" s="260">
        <f>'EJECUCIONES PTALES ACTIVA'!K5</f>
        <v>4803597902.76</v>
      </c>
      <c r="I8" s="304">
        <f>H8/H9</f>
        <v>0.42844514854757104</v>
      </c>
      <c r="K8" s="260">
        <f>'EJECUCIONES PTALES ACTIVA'!L5</f>
        <v>9355729132.2</v>
      </c>
      <c r="L8" s="304">
        <f>K8/K9</f>
        <v>0.527175948551115</v>
      </c>
    </row>
    <row r="9" spans="1:12" ht="15">
      <c r="A9" t="s">
        <v>49</v>
      </c>
      <c r="B9" s="39">
        <v>8150858745.21</v>
      </c>
      <c r="C9" s="304"/>
      <c r="E9" s="39">
        <v>11850048834.19</v>
      </c>
      <c r="F9" s="304"/>
      <c r="H9" s="39">
        <v>11211698671.45</v>
      </c>
      <c r="I9" s="304"/>
      <c r="K9" s="39">
        <v>17746881582.73</v>
      </c>
      <c r="L9" s="304"/>
    </row>
    <row r="11" ht="15">
      <c r="A11" s="261" t="s">
        <v>45</v>
      </c>
    </row>
    <row r="12" spans="1:12" ht="15">
      <c r="A12" t="s">
        <v>48</v>
      </c>
      <c r="B12" s="260">
        <v>7701709391</v>
      </c>
      <c r="C12" s="304">
        <f>B12/B13</f>
        <v>0.5632287859071132</v>
      </c>
      <c r="E12" s="260">
        <v>7701709391</v>
      </c>
      <c r="F12" s="304">
        <f>E12/E13</f>
        <v>0.5632287859071132</v>
      </c>
      <c r="H12" s="260">
        <v>7701709391</v>
      </c>
      <c r="I12" s="304">
        <f>H12/H13</f>
        <v>0.5632287859071132</v>
      </c>
      <c r="K12" s="260">
        <v>7701709391</v>
      </c>
      <c r="L12" s="304">
        <f>K12/K13</f>
        <v>0.5632287859071132</v>
      </c>
    </row>
    <row r="13" spans="1:12" ht="15">
      <c r="A13" t="s">
        <v>49</v>
      </c>
      <c r="B13" s="39">
        <v>13674211233</v>
      </c>
      <c r="C13" s="304"/>
      <c r="E13" s="39">
        <v>13674211233</v>
      </c>
      <c r="F13" s="304"/>
      <c r="H13" s="39">
        <v>13674211233</v>
      </c>
      <c r="I13" s="304"/>
      <c r="K13" s="39">
        <v>13674211233</v>
      </c>
      <c r="L13" s="304"/>
    </row>
    <row r="15" ht="15">
      <c r="A15" s="261" t="s">
        <v>46</v>
      </c>
    </row>
    <row r="16" spans="1:12" ht="15">
      <c r="A16" t="s">
        <v>48</v>
      </c>
      <c r="B16" s="260">
        <v>5729531939</v>
      </c>
      <c r="C16" s="304">
        <f>B16/B17</f>
        <v>0.5248336617522771</v>
      </c>
      <c r="E16" s="260">
        <v>5729531939</v>
      </c>
      <c r="F16" s="304">
        <f>E16/E17</f>
        <v>0.5248336617522771</v>
      </c>
      <c r="H16" s="260">
        <v>5729531939</v>
      </c>
      <c r="I16" s="304">
        <f>H16/H17</f>
        <v>0.5248336617522771</v>
      </c>
      <c r="K16" s="260">
        <v>5729531939</v>
      </c>
      <c r="L16" s="304">
        <f>K16/K17</f>
        <v>0.5248336617522771</v>
      </c>
    </row>
    <row r="17" spans="1:12" ht="15">
      <c r="A17" t="s">
        <v>49</v>
      </c>
      <c r="B17" s="39">
        <v>10916853008</v>
      </c>
      <c r="C17" s="304"/>
      <c r="E17" s="39">
        <v>10916853008</v>
      </c>
      <c r="F17" s="304"/>
      <c r="H17" s="39">
        <v>10916853008</v>
      </c>
      <c r="I17" s="304"/>
      <c r="K17" s="39">
        <v>10916853008</v>
      </c>
      <c r="L17" s="304"/>
    </row>
    <row r="19" ht="15">
      <c r="A19" s="261" t="s">
        <v>47</v>
      </c>
    </row>
    <row r="20" spans="1:12" ht="15">
      <c r="A20" t="s">
        <v>48</v>
      </c>
      <c r="B20" s="260">
        <v>761922990</v>
      </c>
      <c r="C20" s="304">
        <f>B20/B21</f>
        <v>0.7210782658772493</v>
      </c>
      <c r="E20" s="260">
        <v>761922990</v>
      </c>
      <c r="F20" s="304">
        <f>E20/E21</f>
        <v>0.7210782658772493</v>
      </c>
      <c r="H20" s="260">
        <v>761922990</v>
      </c>
      <c r="I20" s="304">
        <f>H20/H21</f>
        <v>0.7210782658772493</v>
      </c>
      <c r="K20" s="260">
        <v>761922990</v>
      </c>
      <c r="L20" s="304">
        <f>K20/K21</f>
        <v>0.7210782658772493</v>
      </c>
    </row>
    <row r="21" spans="1:12" ht="15">
      <c r="A21" t="s">
        <v>49</v>
      </c>
      <c r="B21" s="39">
        <v>1056643954</v>
      </c>
      <c r="C21" s="304"/>
      <c r="E21" s="39">
        <v>1056643954</v>
      </c>
      <c r="F21" s="304"/>
      <c r="H21" s="39">
        <v>1056643954</v>
      </c>
      <c r="I21" s="304"/>
      <c r="K21" s="39">
        <v>1056643954</v>
      </c>
      <c r="L21" s="304"/>
    </row>
  </sheetData>
  <sheetProtection/>
  <mergeCells count="24">
    <mergeCell ref="H2:I2"/>
    <mergeCell ref="I4:I5"/>
    <mergeCell ref="I8:I9"/>
    <mergeCell ref="I12:I13"/>
    <mergeCell ref="K2:L2"/>
    <mergeCell ref="L4:L5"/>
    <mergeCell ref="L8:L9"/>
    <mergeCell ref="L12:L13"/>
    <mergeCell ref="F8:F9"/>
    <mergeCell ref="F12:F13"/>
    <mergeCell ref="L16:L17"/>
    <mergeCell ref="L20:L21"/>
    <mergeCell ref="I16:I17"/>
    <mergeCell ref="I20:I21"/>
    <mergeCell ref="B2:C2"/>
    <mergeCell ref="F16:F17"/>
    <mergeCell ref="F20:F21"/>
    <mergeCell ref="C4:C5"/>
    <mergeCell ref="C8:C9"/>
    <mergeCell ref="C12:C13"/>
    <mergeCell ref="C16:C17"/>
    <mergeCell ref="C20:C21"/>
    <mergeCell ref="E2:F2"/>
    <mergeCell ref="F4:F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C12">
      <selection activeCell="G31" sqref="G31"/>
    </sheetView>
  </sheetViews>
  <sheetFormatPr defaultColWidth="11.421875" defaultRowHeight="15"/>
  <cols>
    <col min="1" max="1" width="20.00390625" style="0" customWidth="1"/>
    <col min="2" max="2" width="17.28125" style="0" customWidth="1"/>
    <col min="3" max="3" width="16.140625" style="0" customWidth="1"/>
    <col min="4" max="4" width="15.28125" style="0" customWidth="1"/>
    <col min="7" max="7" width="19.00390625" style="0" customWidth="1"/>
    <col min="8" max="8" width="16.8515625" style="0" customWidth="1"/>
    <col min="9" max="9" width="18.00390625" style="0" customWidth="1"/>
    <col min="10" max="10" width="15.140625" style="0" customWidth="1"/>
  </cols>
  <sheetData>
    <row r="2" spans="1:10" ht="30">
      <c r="A2" s="263" t="s">
        <v>50</v>
      </c>
      <c r="B2" s="263" t="s">
        <v>51</v>
      </c>
      <c r="C2" s="263" t="s">
        <v>52</v>
      </c>
      <c r="D2" s="263" t="s">
        <v>53</v>
      </c>
      <c r="E2" s="262"/>
      <c r="G2" s="263" t="s">
        <v>60</v>
      </c>
      <c r="H2" s="263" t="s">
        <v>51</v>
      </c>
      <c r="I2" s="263" t="s">
        <v>59</v>
      </c>
      <c r="J2" s="263" t="s">
        <v>53</v>
      </c>
    </row>
    <row r="3" spans="1:10" ht="15">
      <c r="A3" s="6" t="s">
        <v>54</v>
      </c>
      <c r="B3" s="264">
        <v>1919993296</v>
      </c>
      <c r="C3" s="264">
        <v>1916313724</v>
      </c>
      <c r="D3" s="60">
        <f>(C3/B3)</f>
        <v>0.9980835495583938</v>
      </c>
      <c r="G3" s="6" t="s">
        <v>432</v>
      </c>
      <c r="H3" s="264">
        <v>1888523689.97</v>
      </c>
      <c r="I3" s="264">
        <v>1805752204.62</v>
      </c>
      <c r="J3" s="60">
        <f>(I3/H3)</f>
        <v>0.9561713280116094</v>
      </c>
    </row>
    <row r="4" spans="1:10" ht="15">
      <c r="A4" s="6" t="s">
        <v>55</v>
      </c>
      <c r="B4" s="264">
        <v>5153944262.49</v>
      </c>
      <c r="C4" s="264">
        <v>5641921869.33</v>
      </c>
      <c r="D4" s="60">
        <f>(C4/B4)</f>
        <v>1.0946804198856908</v>
      </c>
      <c r="G4" s="6" t="s">
        <v>57</v>
      </c>
      <c r="H4" s="264">
        <v>6117114167.24</v>
      </c>
      <c r="I4" s="264">
        <v>3431560535.6</v>
      </c>
      <c r="J4" s="60">
        <f>(I4/H4)</f>
        <v>0.5609770296551939</v>
      </c>
    </row>
    <row r="5" spans="1:10" ht="15">
      <c r="A5" s="6" t="s">
        <v>58</v>
      </c>
      <c r="B5" s="264">
        <v>1076921186.7200003</v>
      </c>
      <c r="C5" s="264">
        <v>913392056.2200003</v>
      </c>
      <c r="D5" s="60">
        <f>(C5/B5)</f>
        <v>0.8481512551553899</v>
      </c>
      <c r="G5" s="6" t="s">
        <v>58</v>
      </c>
      <c r="H5" s="264">
        <v>145220888</v>
      </c>
      <c r="I5" s="264">
        <v>145220888</v>
      </c>
      <c r="J5" s="60">
        <f>(I5/H5)</f>
        <v>1</v>
      </c>
    </row>
    <row r="6" spans="1:10" ht="15">
      <c r="A6" s="6" t="s">
        <v>56</v>
      </c>
      <c r="B6" s="264">
        <f>SUM(B3:B5)</f>
        <v>8150858745.21</v>
      </c>
      <c r="C6" s="264">
        <f>SUM(C3:C5)</f>
        <v>8471627649.55</v>
      </c>
      <c r="D6" s="60">
        <f>(C6/B6)</f>
        <v>1.0393540011386537</v>
      </c>
      <c r="G6" s="6" t="s">
        <v>56</v>
      </c>
      <c r="H6" s="264">
        <f>SUM(H3:H5)</f>
        <v>8150858745.21</v>
      </c>
      <c r="I6" s="264">
        <f>SUM(I3:I5)</f>
        <v>5382533628.219999</v>
      </c>
      <c r="J6" s="60">
        <f>(I6/H6)</f>
        <v>0.6603639931047931</v>
      </c>
    </row>
    <row r="9" spans="1:10" ht="30">
      <c r="A9" s="263" t="s">
        <v>50</v>
      </c>
      <c r="B9" s="263" t="s">
        <v>51</v>
      </c>
      <c r="C9" s="263" t="s">
        <v>52</v>
      </c>
      <c r="D9" s="263" t="s">
        <v>53</v>
      </c>
      <c r="G9" s="263" t="s">
        <v>60</v>
      </c>
      <c r="H9" s="263" t="s">
        <v>51</v>
      </c>
      <c r="I9" s="263" t="s">
        <v>59</v>
      </c>
      <c r="J9" s="263" t="s">
        <v>53</v>
      </c>
    </row>
    <row r="10" spans="1:10" ht="15">
      <c r="A10" s="6" t="s">
        <v>54</v>
      </c>
      <c r="B10" s="264">
        <v>2096113521</v>
      </c>
      <c r="C10" s="264">
        <v>2096113521</v>
      </c>
      <c r="D10" s="60">
        <f>(C10/B10)</f>
        <v>1</v>
      </c>
      <c r="G10" s="6" t="s">
        <v>432</v>
      </c>
      <c r="H10" s="264">
        <v>1910649570.83</v>
      </c>
      <c r="I10" s="264">
        <v>1811107854.3999999</v>
      </c>
      <c r="J10" s="60">
        <f>(I10/H10)</f>
        <v>0.9479016362028342</v>
      </c>
    </row>
    <row r="11" spans="1:10" ht="15">
      <c r="A11" s="6" t="s">
        <v>55</v>
      </c>
      <c r="B11" s="264">
        <v>5676591308.190001</v>
      </c>
      <c r="C11" s="264">
        <v>6029333826.79</v>
      </c>
      <c r="D11" s="60">
        <f>(C11/B11)</f>
        <v>1.0621398475685706</v>
      </c>
      <c r="G11" s="6" t="s">
        <v>57</v>
      </c>
      <c r="H11" s="264">
        <v>9717399263.36</v>
      </c>
      <c r="I11" s="264">
        <v>7676355025.7699995</v>
      </c>
      <c r="J11" s="60">
        <f>(I11/H11)</f>
        <v>0.789959825435405</v>
      </c>
    </row>
    <row r="12" spans="1:10" ht="15">
      <c r="A12" s="6" t="s">
        <v>58</v>
      </c>
      <c r="B12" s="264">
        <v>4077344005</v>
      </c>
      <c r="C12" s="264">
        <v>1522664602.7199984</v>
      </c>
      <c r="D12" s="60">
        <f>(C12/B12)</f>
        <v>0.3734452135637249</v>
      </c>
      <c r="G12" s="6" t="s">
        <v>58</v>
      </c>
      <c r="H12" s="264">
        <v>222000000</v>
      </c>
      <c r="I12" s="264">
        <v>219946853</v>
      </c>
      <c r="J12" s="60">
        <f>(I12/H12)</f>
        <v>0.9907515900900901</v>
      </c>
    </row>
    <row r="13" spans="1:10" ht="15">
      <c r="A13" s="6" t="s">
        <v>56</v>
      </c>
      <c r="B13" s="264">
        <f>SUM(B10:B12)</f>
        <v>11850048834.19</v>
      </c>
      <c r="C13" s="264">
        <f>SUM(C10:C12)</f>
        <v>9648111950.509998</v>
      </c>
      <c r="D13" s="60">
        <f>(C13/B13)</f>
        <v>0.8141833072175256</v>
      </c>
      <c r="G13" s="6" t="s">
        <v>56</v>
      </c>
      <c r="H13" s="264">
        <f>SUM(H10:H12)</f>
        <v>11850048834.19</v>
      </c>
      <c r="I13" s="264">
        <f>SUM(I10:I12)</f>
        <v>9707409733.17</v>
      </c>
      <c r="J13" s="60">
        <f>(I13/H13)</f>
        <v>0.8191873188878332</v>
      </c>
    </row>
    <row r="16" spans="1:10" ht="30">
      <c r="A16" s="263" t="s">
        <v>50</v>
      </c>
      <c r="B16" s="263" t="s">
        <v>51</v>
      </c>
      <c r="C16" s="263" t="s">
        <v>52</v>
      </c>
      <c r="D16" s="263" t="s">
        <v>53</v>
      </c>
      <c r="G16" s="263" t="s">
        <v>60</v>
      </c>
      <c r="H16" s="263" t="s">
        <v>51</v>
      </c>
      <c r="I16" s="263" t="s">
        <v>59</v>
      </c>
      <c r="J16" s="263" t="s">
        <v>53</v>
      </c>
    </row>
    <row r="17" spans="1:10" ht="15">
      <c r="A17" s="6" t="s">
        <v>54</v>
      </c>
      <c r="B17" s="264">
        <v>2108121428</v>
      </c>
      <c r="C17" s="264">
        <v>2108121424</v>
      </c>
      <c r="D17" s="60">
        <f>(C17/B17)</f>
        <v>0.9999999981025761</v>
      </c>
      <c r="G17" s="6" t="s">
        <v>432</v>
      </c>
      <c r="H17" s="264">
        <v>1871348349.74</v>
      </c>
      <c r="I17" s="264">
        <v>1823239308.18</v>
      </c>
      <c r="J17" s="60">
        <f>(I17/H17)</f>
        <v>0.9742917765328492</v>
      </c>
    </row>
    <row r="18" spans="1:10" ht="15">
      <c r="A18" s="6" t="s">
        <v>55</v>
      </c>
      <c r="B18" s="264">
        <v>4888299927.639999</v>
      </c>
      <c r="C18" s="264">
        <v>5317829673.84</v>
      </c>
      <c r="D18" s="60">
        <f>(C18/B18)</f>
        <v>1.0878689426913646</v>
      </c>
      <c r="G18" s="6" t="s">
        <v>57</v>
      </c>
      <c r="H18" s="264">
        <v>9152371154.71</v>
      </c>
      <c r="I18" s="264">
        <v>6451983738.66</v>
      </c>
      <c r="J18" s="60">
        <f>(I18/H18)</f>
        <v>0.7049521516989262</v>
      </c>
    </row>
    <row r="19" spans="1:10" ht="15">
      <c r="A19" s="6" t="s">
        <v>58</v>
      </c>
      <c r="B19" s="264">
        <v>4215277315.8100014</v>
      </c>
      <c r="C19" s="264">
        <v>1993004402.2399998</v>
      </c>
      <c r="D19" s="60">
        <f>(C19/B19)</f>
        <v>0.4728050500414175</v>
      </c>
      <c r="G19" s="6" t="s">
        <v>58</v>
      </c>
      <c r="H19" s="264">
        <v>187979167</v>
      </c>
      <c r="I19" s="264">
        <v>187542467</v>
      </c>
      <c r="J19" s="60">
        <f>(I19/H19)</f>
        <v>0.997676870224667</v>
      </c>
    </row>
    <row r="20" spans="1:10" ht="15">
      <c r="A20" s="6" t="s">
        <v>56</v>
      </c>
      <c r="B20" s="264">
        <f>SUM(B17:B19)</f>
        <v>11211698671.45</v>
      </c>
      <c r="C20" s="264">
        <f>SUM(C17:C19)</f>
        <v>9418955500.08</v>
      </c>
      <c r="D20" s="60">
        <f>(C20/B20)</f>
        <v>0.8401006641451106</v>
      </c>
      <c r="G20" s="6" t="s">
        <v>56</v>
      </c>
      <c r="H20" s="264">
        <f>SUM(H17:H19)</f>
        <v>11211698671.449999</v>
      </c>
      <c r="I20" s="264">
        <f>SUM(I17:I19)</f>
        <v>8462765513.84</v>
      </c>
      <c r="J20" s="60">
        <f>(I20/H20)</f>
        <v>0.7548156405050367</v>
      </c>
    </row>
    <row r="23" spans="1:10" ht="30">
      <c r="A23" s="263" t="s">
        <v>50</v>
      </c>
      <c r="B23" s="263" t="s">
        <v>51</v>
      </c>
      <c r="C23" s="263" t="s">
        <v>52</v>
      </c>
      <c r="D23" s="263" t="s">
        <v>53</v>
      </c>
      <c r="G23" s="263" t="s">
        <v>60</v>
      </c>
      <c r="H23" s="263" t="s">
        <v>51</v>
      </c>
      <c r="I23" s="263" t="s">
        <v>59</v>
      </c>
      <c r="J23" s="263" t="s">
        <v>53</v>
      </c>
    </row>
    <row r="24" spans="1:10" ht="15">
      <c r="A24" s="6" t="s">
        <v>54</v>
      </c>
      <c r="B24" s="264">
        <v>2047349979</v>
      </c>
      <c r="C24" s="264">
        <v>2047349980.22</v>
      </c>
      <c r="D24" s="60">
        <f>(C24/B24)</f>
        <v>1.0000000005958922</v>
      </c>
      <c r="G24" s="6" t="s">
        <v>432</v>
      </c>
      <c r="H24" s="264">
        <v>2139759248.12</v>
      </c>
      <c r="I24" s="264">
        <v>1990490441.94</v>
      </c>
      <c r="J24" s="60">
        <f>(I24/H24)</f>
        <v>0.9302403733919374</v>
      </c>
    </row>
    <row r="25" spans="1:10" ht="15">
      <c r="A25" s="6" t="s">
        <v>55</v>
      </c>
      <c r="B25" s="264">
        <v>8021093685.73</v>
      </c>
      <c r="C25" s="264">
        <v>7210224564.650001</v>
      </c>
      <c r="D25" s="60">
        <f>(C25/B25)</f>
        <v>0.8989079104608162</v>
      </c>
      <c r="G25" s="6" t="s">
        <v>57</v>
      </c>
      <c r="H25" s="264">
        <v>19721226780.61</v>
      </c>
      <c r="I25" s="264">
        <v>13718361934.91</v>
      </c>
      <c r="J25" s="60">
        <f>(I25/H25)</f>
        <v>0.6956140248028564</v>
      </c>
    </row>
    <row r="26" spans="1:10" ht="15">
      <c r="A26" s="6" t="s">
        <v>58</v>
      </c>
      <c r="B26" s="264">
        <v>11891751435</v>
      </c>
      <c r="C26" s="264">
        <v>4706207227</v>
      </c>
      <c r="D26" s="60">
        <f>(C26/B26)</f>
        <v>0.3957539183966302</v>
      </c>
      <c r="G26" s="6" t="s">
        <v>58</v>
      </c>
      <c r="H26" s="264">
        <v>99209071</v>
      </c>
      <c r="I26" s="264">
        <v>99007458</v>
      </c>
      <c r="J26" s="60">
        <f>(I26/H26)</f>
        <v>0.997967796714879</v>
      </c>
    </row>
    <row r="27" spans="1:10" ht="15">
      <c r="A27" s="6" t="s">
        <v>56</v>
      </c>
      <c r="B27" s="264">
        <f>SUM(B24:B26)</f>
        <v>21960195099.73</v>
      </c>
      <c r="C27" s="264">
        <f>SUM(C24:C26)</f>
        <v>13963781771.87</v>
      </c>
      <c r="D27" s="60">
        <f>(C27/B27)</f>
        <v>0.6358678376241605</v>
      </c>
      <c r="G27" s="6" t="s">
        <v>56</v>
      </c>
      <c r="H27" s="264">
        <f>SUM(H24:H26)</f>
        <v>21960195099.73</v>
      </c>
      <c r="I27" s="264">
        <f>SUM(I24:I26)</f>
        <v>15807859834.85</v>
      </c>
      <c r="J27" s="60">
        <f>(I27/H27)</f>
        <v>0.7198415024575241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F27"/>
    </sheetView>
  </sheetViews>
  <sheetFormatPr defaultColWidth="11.421875" defaultRowHeight="15"/>
  <cols>
    <col min="1" max="1" width="49.00390625" style="0" customWidth="1"/>
    <col min="2" max="5" width="16.140625" style="0" bestFit="1" customWidth="1"/>
    <col min="6" max="6" width="16.421875" style="0" bestFit="1" customWidth="1"/>
  </cols>
  <sheetData>
    <row r="1" spans="1:6" ht="15">
      <c r="A1" s="133" t="s">
        <v>507</v>
      </c>
      <c r="B1" s="291" t="s">
        <v>39</v>
      </c>
      <c r="C1" s="291" t="s">
        <v>36</v>
      </c>
      <c r="D1" s="291" t="s">
        <v>37</v>
      </c>
      <c r="E1" s="291" t="s">
        <v>38</v>
      </c>
      <c r="F1" s="293" t="s">
        <v>62</v>
      </c>
    </row>
    <row r="2" spans="1:6" ht="15">
      <c r="A2" s="135" t="s">
        <v>508</v>
      </c>
      <c r="B2" s="292"/>
      <c r="C2" s="292"/>
      <c r="D2" s="292"/>
      <c r="E2" s="292"/>
      <c r="F2" s="294"/>
    </row>
    <row r="3" spans="1:6" ht="15">
      <c r="A3" s="137" t="s">
        <v>81</v>
      </c>
      <c r="B3" s="147">
        <v>428212824</v>
      </c>
      <c r="C3" s="147">
        <v>509315818</v>
      </c>
      <c r="D3" s="147">
        <v>540006688</v>
      </c>
      <c r="E3" s="147">
        <v>852238092</v>
      </c>
      <c r="F3" s="147">
        <v>766342000</v>
      </c>
    </row>
    <row r="4" spans="1:6" ht="15">
      <c r="A4" s="137" t="s">
        <v>173</v>
      </c>
      <c r="B4" s="147">
        <v>164127570</v>
      </c>
      <c r="C4" s="147">
        <v>200305000</v>
      </c>
      <c r="D4" s="147">
        <v>223636309</v>
      </c>
      <c r="E4" s="147">
        <v>113442900</v>
      </c>
      <c r="F4" s="147">
        <v>277829543</v>
      </c>
    </row>
    <row r="5" spans="1:6" ht="15">
      <c r="A5" s="137" t="s">
        <v>170</v>
      </c>
      <c r="B5" s="147">
        <v>219669698</v>
      </c>
      <c r="C5" s="147">
        <v>301764366</v>
      </c>
      <c r="D5" s="147">
        <v>206919638</v>
      </c>
      <c r="E5" s="147">
        <v>205316687</v>
      </c>
      <c r="F5" s="147">
        <v>313160749</v>
      </c>
    </row>
    <row r="6" spans="1:6" ht="15">
      <c r="A6" s="137" t="s">
        <v>171</v>
      </c>
      <c r="B6" s="147">
        <v>38614373</v>
      </c>
      <c r="C6" s="147">
        <v>13279578</v>
      </c>
      <c r="D6" s="147">
        <v>3325614</v>
      </c>
      <c r="E6" s="147">
        <v>13205000</v>
      </c>
      <c r="F6" s="147">
        <v>2290000</v>
      </c>
    </row>
    <row r="7" spans="1:6" ht="15">
      <c r="A7" s="137" t="s">
        <v>172</v>
      </c>
      <c r="B7" s="147">
        <v>12084400</v>
      </c>
      <c r="C7" s="147">
        <v>11810100</v>
      </c>
      <c r="D7" s="147">
        <v>7561000</v>
      </c>
      <c r="E7" s="147">
        <v>11757000</v>
      </c>
      <c r="F7" s="147">
        <v>12599000</v>
      </c>
    </row>
    <row r="8" spans="1:6" ht="15">
      <c r="A8" s="137" t="s">
        <v>179</v>
      </c>
      <c r="B8" s="147">
        <v>492342000</v>
      </c>
      <c r="C8" s="147">
        <v>528891000</v>
      </c>
      <c r="D8" s="147">
        <v>496391000</v>
      </c>
      <c r="E8" s="147">
        <v>469981000</v>
      </c>
      <c r="F8" s="147">
        <v>436318000</v>
      </c>
    </row>
    <row r="9" spans="1:6" ht="15">
      <c r="A9" s="137" t="s">
        <v>240</v>
      </c>
      <c r="B9" s="147">
        <v>318233913</v>
      </c>
      <c r="C9" s="147">
        <v>411153956</v>
      </c>
      <c r="D9" s="147">
        <v>459149259</v>
      </c>
      <c r="E9" s="147">
        <v>456919622</v>
      </c>
      <c r="F9" s="147">
        <v>489676606</v>
      </c>
    </row>
    <row r="10" spans="1:6" ht="15">
      <c r="A10" s="137" t="s">
        <v>242</v>
      </c>
      <c r="B10" s="147">
        <v>5282000</v>
      </c>
      <c r="C10" s="147">
        <v>5854850</v>
      </c>
      <c r="D10" s="147">
        <v>3185420</v>
      </c>
      <c r="E10" s="147">
        <v>6343690</v>
      </c>
      <c r="F10" s="147">
        <v>9189740</v>
      </c>
    </row>
    <row r="11" spans="1:6" ht="15">
      <c r="A11" s="137" t="s">
        <v>524</v>
      </c>
      <c r="B11" s="138">
        <v>115439163</v>
      </c>
      <c r="C11" s="138">
        <v>149918778</v>
      </c>
      <c r="D11" s="138">
        <v>165022929</v>
      </c>
      <c r="E11" s="138">
        <v>166576388</v>
      </c>
      <c r="F11" s="138">
        <v>174812471</v>
      </c>
    </row>
    <row r="12" spans="1:6" ht="15">
      <c r="A12" s="137" t="s">
        <v>246</v>
      </c>
      <c r="B12" s="147">
        <v>115439163</v>
      </c>
      <c r="C12" s="147">
        <v>149918778</v>
      </c>
      <c r="D12" s="147">
        <v>117613930</v>
      </c>
      <c r="E12" s="147">
        <v>117552388</v>
      </c>
      <c r="F12" s="147">
        <v>117675471</v>
      </c>
    </row>
    <row r="13" spans="1:6" ht="15">
      <c r="A13" s="137" t="s">
        <v>248</v>
      </c>
      <c r="B13" s="147">
        <v>0</v>
      </c>
      <c r="C13" s="147">
        <v>0</v>
      </c>
      <c r="D13" s="147">
        <v>47408999</v>
      </c>
      <c r="E13" s="147">
        <v>49024000</v>
      </c>
      <c r="F13" s="147">
        <v>57137000</v>
      </c>
    </row>
    <row r="14" spans="1:6" ht="15">
      <c r="A14" s="137" t="s">
        <v>250</v>
      </c>
      <c r="B14" s="147">
        <v>34820762</v>
      </c>
      <c r="C14" s="147">
        <v>14782974</v>
      </c>
      <c r="D14" s="147">
        <v>17063899</v>
      </c>
      <c r="E14" s="147">
        <v>18024283</v>
      </c>
      <c r="F14" s="147">
        <v>17342673</v>
      </c>
    </row>
    <row r="15" spans="1:6" ht="15">
      <c r="A15" s="137" t="s">
        <v>252</v>
      </c>
      <c r="B15" s="147">
        <v>0</v>
      </c>
      <c r="C15" s="147">
        <v>262407031</v>
      </c>
      <c r="D15" s="147">
        <v>266969464</v>
      </c>
      <c r="E15" s="147">
        <v>271635977</v>
      </c>
      <c r="F15" s="147">
        <v>249817445</v>
      </c>
    </row>
    <row r="16" spans="1:6" ht="15">
      <c r="A16" s="137" t="s">
        <v>525</v>
      </c>
      <c r="B16" s="138">
        <v>0</v>
      </c>
      <c r="C16" s="138">
        <v>49822681</v>
      </c>
      <c r="D16" s="138">
        <v>65526538</v>
      </c>
      <c r="E16" s="138">
        <v>0</v>
      </c>
      <c r="F16" s="138">
        <v>0</v>
      </c>
    </row>
    <row r="17" spans="1:6" ht="15">
      <c r="A17" s="137" t="s">
        <v>448</v>
      </c>
      <c r="B17" s="147">
        <v>0</v>
      </c>
      <c r="C17" s="147">
        <v>49822681</v>
      </c>
      <c r="D17" s="147">
        <v>65526538</v>
      </c>
      <c r="E17" s="147">
        <v>0</v>
      </c>
      <c r="F17" s="147"/>
    </row>
    <row r="18" spans="1:6" ht="15">
      <c r="A18" s="137" t="s">
        <v>526</v>
      </c>
      <c r="B18" s="138">
        <v>736484197</v>
      </c>
      <c r="C18" s="138">
        <v>567589554</v>
      </c>
      <c r="D18" s="138">
        <v>639158216</v>
      </c>
      <c r="E18" s="138">
        <v>669417741</v>
      </c>
      <c r="F18" s="138">
        <v>685635742</v>
      </c>
    </row>
    <row r="19" spans="1:6" ht="15">
      <c r="A19" s="137" t="s">
        <v>97</v>
      </c>
      <c r="B19" s="147">
        <v>0</v>
      </c>
      <c r="C19" s="147">
        <v>31339300</v>
      </c>
      <c r="D19" s="147">
        <v>0</v>
      </c>
      <c r="E19" s="147">
        <v>34878270</v>
      </c>
      <c r="F19" s="147">
        <v>35896077</v>
      </c>
    </row>
    <row r="20" spans="1:6" ht="15">
      <c r="A20" s="137" t="s">
        <v>98</v>
      </c>
      <c r="B20" s="147">
        <v>0</v>
      </c>
      <c r="C20" s="147">
        <v>23504475</v>
      </c>
      <c r="D20" s="147">
        <v>0</v>
      </c>
      <c r="E20" s="147">
        <v>26158703</v>
      </c>
      <c r="F20" s="147">
        <v>26922056</v>
      </c>
    </row>
    <row r="21" spans="1:6" ht="15">
      <c r="A21" s="137" t="s">
        <v>527</v>
      </c>
      <c r="B21" s="147">
        <v>736484197</v>
      </c>
      <c r="C21" s="147">
        <v>512745779</v>
      </c>
      <c r="D21" s="147">
        <v>639158216</v>
      </c>
      <c r="E21" s="147">
        <v>608380768</v>
      </c>
      <c r="F21" s="147">
        <v>622817609</v>
      </c>
    </row>
    <row r="22" spans="1:6" ht="15">
      <c r="A22" s="137" t="s">
        <v>528</v>
      </c>
      <c r="B22" s="147">
        <v>2208917282.75</v>
      </c>
      <c r="C22" s="147">
        <v>420715458</v>
      </c>
      <c r="D22" s="147">
        <v>917170307</v>
      </c>
      <c r="E22" s="147">
        <v>973659066</v>
      </c>
      <c r="F22" s="147">
        <v>4706207227</v>
      </c>
    </row>
    <row r="23" spans="1:6" ht="15">
      <c r="A23" s="137" t="s">
        <v>530</v>
      </c>
      <c r="B23" s="147">
        <v>0</v>
      </c>
      <c r="C23" s="147">
        <v>0</v>
      </c>
      <c r="D23" s="147">
        <v>0</v>
      </c>
      <c r="E23" s="147">
        <v>0</v>
      </c>
      <c r="F23" s="147">
        <v>554266438</v>
      </c>
    </row>
    <row r="24" spans="1:6" ht="15">
      <c r="A24" s="137" t="s">
        <v>341</v>
      </c>
      <c r="B24" s="147">
        <v>402155641</v>
      </c>
      <c r="C24" s="147">
        <v>425162383</v>
      </c>
      <c r="D24" s="147">
        <v>443430630</v>
      </c>
      <c r="E24" s="147">
        <v>441919776</v>
      </c>
      <c r="F24" s="147">
        <v>389702357.22</v>
      </c>
    </row>
    <row r="25" spans="1:6" ht="15">
      <c r="A25" s="137" t="s">
        <v>343</v>
      </c>
      <c r="B25" s="147">
        <v>0</v>
      </c>
      <c r="C25" s="147">
        <v>4275284</v>
      </c>
      <c r="D25" s="147">
        <v>4342366</v>
      </c>
      <c r="E25" s="147">
        <v>4351267</v>
      </c>
      <c r="F25" s="147"/>
    </row>
    <row r="26" spans="1:6" ht="15">
      <c r="A26" s="137" t="s">
        <v>534</v>
      </c>
      <c r="B26" s="147">
        <v>0</v>
      </c>
      <c r="C26" s="147">
        <v>0</v>
      </c>
      <c r="D26" s="147">
        <v>0</v>
      </c>
      <c r="E26" s="147">
        <v>40396568</v>
      </c>
      <c r="F26" s="147"/>
    </row>
    <row r="27" spans="1:6" ht="15">
      <c r="A27" s="137" t="s">
        <v>355</v>
      </c>
      <c r="B27" s="147">
        <v>25206217</v>
      </c>
      <c r="C27" s="147">
        <v>31201083</v>
      </c>
      <c r="D27" s="147">
        <v>35450220</v>
      </c>
      <c r="E27" s="147">
        <v>38879802</v>
      </c>
      <c r="F27" s="147">
        <v>40362686</v>
      </c>
    </row>
  </sheetData>
  <sheetProtection/>
  <mergeCells count="5">
    <mergeCell ref="F1:F2"/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Mayra</cp:lastModifiedBy>
  <cp:lastPrinted>2012-04-11T14:00:07Z</cp:lastPrinted>
  <dcterms:created xsi:type="dcterms:W3CDTF">2011-07-30T10:23:56Z</dcterms:created>
  <dcterms:modified xsi:type="dcterms:W3CDTF">2014-06-26T02:22:24Z</dcterms:modified>
  <cp:category/>
  <cp:version/>
  <cp:contentType/>
  <cp:contentStatus/>
</cp:coreProperties>
</file>