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795" windowHeight="6150" activeTab="0"/>
  </bookViews>
  <sheets>
    <sheet name="P PLURIANUAL 2008" sheetId="1" r:id="rId1"/>
    <sheet name="P PLURIANUAL 2009" sheetId="2" r:id="rId2"/>
    <sheet name="P PLURIANUAL 2010" sheetId="3" r:id="rId3"/>
    <sheet name="P PLURIANUAL 2011" sheetId="4" r:id="rId4"/>
  </sheets>
  <definedNames>
    <definedName name="_xlnm.Print_Titles" localSheetId="0">'P PLURIANUAL 2008'!$2:$8</definedName>
    <definedName name="_xlnm.Print_Titles" localSheetId="1">'P PLURIANUAL 2009'!$2:$7</definedName>
    <definedName name="_xlnm.Print_Titles" localSheetId="2">'P PLURIANUAL 2010'!$3:$9</definedName>
    <definedName name="_xlnm.Print_Titles" localSheetId="3">'P PLURIANUAL 2011'!$1:$8</definedName>
  </definedNames>
  <calcPr fullCalcOnLoad="1"/>
</workbook>
</file>

<file path=xl/sharedStrings.xml><?xml version="1.0" encoding="utf-8"?>
<sst xmlns="http://schemas.openxmlformats.org/spreadsheetml/2006/main" count="406" uniqueCount="122">
  <si>
    <t>OBJETIVO ESTRATEGICO</t>
  </si>
  <si>
    <t>PROGRAMAS</t>
  </si>
  <si>
    <t>PROYECTOS</t>
  </si>
  <si>
    <t>SALUD INTEGRAL</t>
  </si>
  <si>
    <t>DEPORTE Y RECREACION PARA ALIMENTAR EL ESPIRITU Y LA SALUD</t>
  </si>
  <si>
    <t>CULTURA PARA LA CONVIVENCIA</t>
  </si>
  <si>
    <t>VIVIENDA DIGNA PARA TODOS</t>
  </si>
  <si>
    <t>ATENCION GRUPOS VULNERABLES</t>
  </si>
  <si>
    <t>SERVICIOS PUBLICOS PARA TODOS</t>
  </si>
  <si>
    <t>DESARROLLO AGROPECUARIO</t>
  </si>
  <si>
    <t>VIAS PARA EL DESARROLLO</t>
  </si>
  <si>
    <t>GESTION AMBIENTAL CON DESARROLLO SOSTENIBLE</t>
  </si>
  <si>
    <t>GESTION DEL RIESGO PARA LA ATENCION Y PREVENCION DE DESASTRES</t>
  </si>
  <si>
    <t>DESARROLLO ECONOMICO PARA MEJORAR LA CALIDAD DE VIDA</t>
  </si>
  <si>
    <t>BARAYA EFICIENTE Y TRANSPARENTE</t>
  </si>
  <si>
    <t>FORTALECIMIENTO DE LA PARTICIPACION CIUDADANA Y COMUNITARIA</t>
  </si>
  <si>
    <t>MEJORAMIENTO Y ADECUACION DE ESPACIO PUBLICO Y EQUIPAMIENTO URBANO</t>
  </si>
  <si>
    <t>BARAYA SEGURA, SALUDABLE Y CULTA</t>
  </si>
  <si>
    <t>Proyecto de reubicación de la ESE Municipal</t>
  </si>
  <si>
    <t>Proyecto de mantenimiento de la infraestructura física de puestos de salud</t>
  </si>
  <si>
    <t xml:space="preserve">Proyecto Baraya Municipio Saludable </t>
  </si>
  <si>
    <t>Proyecto de ampliación de cobertura del régimen subsidiado de salud</t>
  </si>
  <si>
    <t>Proyecto de continuidad del régimen subsidiado en salud</t>
  </si>
  <si>
    <t>Proyecto de prestación de servicios a la población vinculada</t>
  </si>
  <si>
    <t>EDUCACION PARA LA IGUALDAD SOCIAL</t>
  </si>
  <si>
    <t>Proyecto de ampliación y adecuación de la infraestructura educativa</t>
  </si>
  <si>
    <t>Proyecto de construcción y dotación de restaurantes escolares</t>
  </si>
  <si>
    <t>Proyecto de dotación de establecimientos educativos</t>
  </si>
  <si>
    <t>Proyecto de mantenimiento de la infraestructura educativa</t>
  </si>
  <si>
    <r>
      <t xml:space="preserve"> </t>
    </r>
    <r>
      <rPr>
        <sz val="12"/>
        <rFont val="Arial"/>
        <family val="2"/>
      </rPr>
      <t>Proyecto de subsidio a la educación</t>
    </r>
  </si>
  <si>
    <t>Proyecto de Plan Excelencia – apoyo mejores bachilleres</t>
  </si>
  <si>
    <t xml:space="preserve">Proyecto de apoyo al programa de alimentación escolar </t>
  </si>
  <si>
    <t>Proyecto de Mantenimiento, Evaluación y Promoción calidad educativa</t>
  </si>
  <si>
    <t>Proyecto de apoyo a la educación formal y no formal</t>
  </si>
  <si>
    <t>Proyecto de dotación de paquete escolar</t>
  </si>
  <si>
    <t>Proyecto de dotación de la escuela de formación deportiva municipal.</t>
  </si>
  <si>
    <t>Proyecto de construcción, remodelación y ampliación de escenarios deportivos</t>
  </si>
  <si>
    <t>Proyecto de mantenimiento de escenarios deportivos</t>
  </si>
  <si>
    <t>Proyecto de dotación de escenarios deportivos</t>
  </si>
  <si>
    <t>Proyecto de fomento y apoyo a la práctica del deporte, la recreación y aprovechamiento del tiempo libre.</t>
  </si>
  <si>
    <t>Proyecto de dotación y capacitación de la escuela de formación artística y cultural</t>
  </si>
  <si>
    <t>Proyecto de mejoramiento, mantenimiento y dotación de la biblioteca Municipal y la casa de la cultura</t>
  </si>
  <si>
    <t>Proyecto de fomento y apoyo a eventos y actividades culturales y artísticas</t>
  </si>
  <si>
    <t>Proyectos de adecuación y mejoramiento de viviendas de interés social.</t>
  </si>
  <si>
    <t>Programa de apoyo y atención a la población discapacitada</t>
  </si>
  <si>
    <t>Programa de apoyo y atención a la niñez y a la juventud</t>
  </si>
  <si>
    <t>Programa de apoyo y atención a la tercera edad</t>
  </si>
  <si>
    <t>Programa de apoyo y atención a las madres cabeza de hogar</t>
  </si>
  <si>
    <t>Programa de apoyo y atención a la población desplazada</t>
  </si>
  <si>
    <t>Proyecto de subsidios de servicios públicos</t>
  </si>
  <si>
    <t>Proyecto de construcción y mejoramiento de baterías sanitarias y pozos sépticos</t>
  </si>
  <si>
    <t>Proyecto de elaboración del plan  maestro de acueducto y alcantarillado</t>
  </si>
  <si>
    <t>Proyecto de ampliación de redes de electrificación</t>
  </si>
  <si>
    <t>Proyecto de tratamiento y disposición de residuos sólidos</t>
  </si>
  <si>
    <t>Proyecto de mantenimiento y ampliación del alumbrado público</t>
  </si>
  <si>
    <t>Proyecto de asistencia técnica y capacitación a productores agropecuarios</t>
  </si>
  <si>
    <t>Proyecto de apoyo a proyectos productivos y fomento de cultivos promisorios.</t>
  </si>
  <si>
    <t>Proyecto de promoción de asociaciones y sistemas de cadenas productivas.</t>
  </si>
  <si>
    <t>Proyecto de mejoramiento y mantenimiento de la red vial municipal.</t>
  </si>
  <si>
    <t>Proyecto de ampliación y construcción de vías</t>
  </si>
  <si>
    <t>Proyecto de reforestación, recuperación y protección de cuencas y microcuencas hidrográficas</t>
  </si>
  <si>
    <t>Proyecto de compra de predios para protección de nacederos de agua</t>
  </si>
  <si>
    <t>Proyecto de reforestación y aislamientos de nacimientos de agua para acueductos</t>
  </si>
  <si>
    <t xml:space="preserve">Proyecto de educación ambiental </t>
  </si>
  <si>
    <t xml:space="preserve">Proyecto de disposición, eliminación y reciclaje de residuos sólidos y líquidos. </t>
  </si>
  <si>
    <t>Proyecto de elaboración del estudio de vulnerabilidad y riesgo elaborado para las zonas con amenaza y riesgo alto.</t>
  </si>
  <si>
    <t>Proyecto para la capacitación en prevención y atención de desastres</t>
  </si>
  <si>
    <t>Proyecto de apoyo al cuerpo de bomberos voluntario</t>
  </si>
  <si>
    <t>Proyecto de atención de desastres</t>
  </si>
  <si>
    <t>Proyecto de promoción de asociaciones y alianzas para el desarrollo empresarial</t>
  </si>
  <si>
    <t>Proyecto de promoción de la capacitación para el empleo</t>
  </si>
  <si>
    <t>Proyecto de fomento y apoyo al acceso de tecnologías avanzadas para los procesos</t>
  </si>
  <si>
    <t>Proyecto de asistencia técnica en procesos de producción, distribución y comercialización</t>
  </si>
  <si>
    <t>Proyecto de asesoría para el acceso a fuentes de financiación de proyectos productivos</t>
  </si>
  <si>
    <t>Proyecto de fortalecimiento de la capacidad institucional</t>
  </si>
  <si>
    <t>Proyecto de capacitación orientados al desarrollo eficiente de las competencias municipales</t>
  </si>
  <si>
    <t>Proyecto de apoyo al Consejo Territorial de Planeación Municipal</t>
  </si>
  <si>
    <t xml:space="preserve">Proyecto de Divulgación, capacitación, asesoría y asistencia técnica a la comunidad. </t>
  </si>
  <si>
    <t>Proyecto de mantenimiento, mejoramiento y dotación de edificios municipales</t>
  </si>
  <si>
    <t>Proyecto de mantenimiento y mejoramiento de mataderos, plazas de mercado, cementerios, parques y plazas públicas</t>
  </si>
  <si>
    <t>Proyecto de operación del Fondo Territorial de Seguridad</t>
  </si>
  <si>
    <t>Proyecto Plan Integral de Convivencia y Seguridad Ciudadana</t>
  </si>
  <si>
    <t>Proyecto de construcción de vivienda nueva de interés social</t>
  </si>
  <si>
    <t>Proyecto de construcción, ampliación, mejoramiento y mantenimiento del sistema de acueducto</t>
  </si>
  <si>
    <t>Proyecto de construcción, ampliación, mejoramiento y mantenimiento del sistema de alcantarillado y aguas lluvias</t>
  </si>
  <si>
    <t>Proyecto de apoyo al programa de transporte escolar</t>
  </si>
  <si>
    <t>CONSTRUIR EQUIDAD Y DESARROLLO SOCIAL</t>
  </si>
  <si>
    <t>PROMOVER EL DESARROLLO ECONOMICO SOSTENIBLE Y LA CREACION DE EMPLEO</t>
  </si>
  <si>
    <t>INCREMENTAR LA TRANSPARENCIA Y EFICIENCIA DEL MUNICIPIO, Y CONSOLIDAR LA SEGURIDAD Y CONVIVENCIA CIUDADANA</t>
  </si>
  <si>
    <t>TOTAL RECURSOS</t>
  </si>
  <si>
    <t>SGP</t>
  </si>
  <si>
    <t>IC. D.ESP.</t>
  </si>
  <si>
    <t>REGALIAS</t>
  </si>
  <si>
    <t>DPTO</t>
  </si>
  <si>
    <t>CREDITO</t>
  </si>
  <si>
    <t>COFIN. OTR</t>
  </si>
  <si>
    <t>FUENTES DE COFINANCIACION (MILLONES DE PESOS)</t>
  </si>
  <si>
    <t>AÑO 2008</t>
  </si>
  <si>
    <t>FOSYGA Y ETESA</t>
  </si>
  <si>
    <t>IC. L. DESTIN.</t>
  </si>
  <si>
    <t>Proyecto de subsidio a la educación</t>
  </si>
  <si>
    <t>AÑO 2009</t>
  </si>
  <si>
    <t>CULTURA PARA LA CONVIVENCIA CIUDADANA</t>
  </si>
  <si>
    <t>PLAN DE DESARROLLO "BARAYA SIN INDIFERENCIA Y CON EQUIDAD SOCIAL"</t>
  </si>
  <si>
    <t>PLAN PLURIANUAL DE INVERSIÓN AÑO 2008</t>
  </si>
  <si>
    <t>PLAN PLURIANUAL DE INVERSIÓN AÑO 2009</t>
  </si>
  <si>
    <t>TOTAL PLAN PLURIANUAL 2009</t>
  </si>
  <si>
    <t>TOTAL PLAN PLURIANUAL 2008</t>
  </si>
  <si>
    <t>PLAN PLURIANUAL DE INVERSIÓN AÑO 2010</t>
  </si>
  <si>
    <t>TOTAL PLAN PLURIANUAL 2010</t>
  </si>
  <si>
    <t>AÑO 2010</t>
  </si>
  <si>
    <t>AÑO 2011</t>
  </si>
  <si>
    <t>PLAN PLURIANUAL DE INVERSIÓN AÑO 2011</t>
  </si>
  <si>
    <t>TOTAL PLAN PLURIANUAL 2011</t>
  </si>
  <si>
    <t>TOTAL PLAN PLURIANUAL DE INVERSIONES 2008-2011</t>
  </si>
  <si>
    <t xml:space="preserve">Proyecto educación ambiental </t>
  </si>
  <si>
    <t>Proyecto atención de desastres</t>
  </si>
  <si>
    <t>Proyecto de mejoramiento y mantenimiento red vial municipal.</t>
  </si>
  <si>
    <t>Proyecto de compra de predios para protección nacederos agua</t>
  </si>
  <si>
    <t>Proyecto reforestación y aislamientos nacimientos agua</t>
  </si>
  <si>
    <t>Plan departamental de aguas</t>
  </si>
  <si>
    <t>Adquisición maquinaria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</si>
</sst>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 * #,##0.0_ ;_ * \-#,##0.0_ ;_ * &quot;-&quot;??_ ;_ @_ "/>
    <numFmt numFmtId="177" formatCode="_ * #,##0_ ;_ * \-#,##0_ ;_ * &quot;-&quot;??_ ;_ @_ 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2"/>
    </font>
    <font>
      <sz val="7"/>
      <name val="Times New Roman"/>
      <family val="1"/>
    </font>
    <font>
      <sz val="10"/>
      <color indexed="10"/>
      <name val="Arial"/>
      <family val="0"/>
    </font>
    <font>
      <sz val="12"/>
      <name val="Symbol"/>
      <family val="1"/>
    </font>
    <font>
      <i/>
      <sz val="10"/>
      <name val="Arial"/>
      <family val="2"/>
    </font>
    <font>
      <sz val="9.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3" fillId="0" borderId="10" xfId="0" applyFont="1" applyBorder="1" applyAlignment="1">
      <alignment horizontal="justify"/>
    </xf>
    <xf numFmtId="0" fontId="3" fillId="0" borderId="10" xfId="0" applyFont="1" applyBorder="1" applyAlignment="1">
      <alignment horizontal="justify" vertical="justify" wrapText="1"/>
    </xf>
    <xf numFmtId="0" fontId="4" fillId="0" borderId="10" xfId="0" applyFont="1" applyBorder="1" applyAlignment="1">
      <alignment horizontal="justify"/>
    </xf>
    <xf numFmtId="0" fontId="3" fillId="0" borderId="10" xfId="0" applyFont="1" applyBorder="1" applyAlignment="1">
      <alignment vertical="justify" wrapText="1"/>
    </xf>
    <xf numFmtId="0" fontId="3" fillId="0" borderId="11" xfId="0" applyFont="1" applyBorder="1" applyAlignment="1">
      <alignment horizontal="justify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177" fontId="0" fillId="0" borderId="10" xfId="46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3" fontId="2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77" fontId="0" fillId="0" borderId="10" xfId="46" applyNumberFormat="1" applyFont="1" applyFill="1" applyBorder="1" applyAlignment="1">
      <alignment/>
    </xf>
    <xf numFmtId="177" fontId="0" fillId="0" borderId="0" xfId="0" applyNumberFormat="1" applyAlignment="1">
      <alignment/>
    </xf>
    <xf numFmtId="177" fontId="1" fillId="0" borderId="10" xfId="46" applyNumberFormat="1" applyFont="1" applyBorder="1" applyAlignment="1">
      <alignment/>
    </xf>
    <xf numFmtId="177" fontId="0" fillId="0" borderId="0" xfId="46" applyNumberFormat="1" applyFont="1" applyAlignment="1">
      <alignment/>
    </xf>
    <xf numFmtId="3" fontId="0" fillId="0" borderId="0" xfId="0" applyNumberFormat="1" applyAlignment="1">
      <alignment/>
    </xf>
    <xf numFmtId="177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77" fontId="0" fillId="0" borderId="0" xfId="46" applyNumberFormat="1" applyFont="1" applyFill="1" applyAlignment="1">
      <alignment/>
    </xf>
    <xf numFmtId="177" fontId="0" fillId="0" borderId="10" xfId="0" applyNumberFormat="1" applyBorder="1" applyAlignment="1">
      <alignment/>
    </xf>
    <xf numFmtId="3" fontId="0" fillId="0" borderId="0" xfId="0" applyNumberFormat="1" applyFont="1" applyFill="1" applyAlignment="1">
      <alignment/>
    </xf>
    <xf numFmtId="177" fontId="0" fillId="0" borderId="10" xfId="46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  <xf numFmtId="177" fontId="0" fillId="0" borderId="10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177" fontId="1" fillId="0" borderId="0" xfId="46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justify" wrapText="1"/>
    </xf>
    <xf numFmtId="177" fontId="0" fillId="0" borderId="10" xfId="46" applyNumberFormat="1" applyFont="1" applyBorder="1" applyAlignment="1">
      <alignment/>
    </xf>
    <xf numFmtId="0" fontId="0" fillId="0" borderId="10" xfId="0" applyFont="1" applyBorder="1" applyAlignment="1">
      <alignment/>
    </xf>
    <xf numFmtId="177" fontId="0" fillId="0" borderId="0" xfId="0" applyNumberFormat="1" applyFont="1" applyAlignment="1">
      <alignment/>
    </xf>
    <xf numFmtId="177" fontId="0" fillId="0" borderId="0" xfId="46" applyNumberFormat="1" applyFont="1" applyAlignment="1">
      <alignment/>
    </xf>
    <xf numFmtId="3" fontId="0" fillId="0" borderId="0" xfId="0" applyNumberFormat="1" applyFont="1" applyAlignment="1">
      <alignment/>
    </xf>
    <xf numFmtId="177" fontId="0" fillId="0" borderId="10" xfId="0" applyNumberFormat="1" applyFont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0" xfId="46" applyNumberFormat="1" applyFont="1" applyFill="1" applyAlignment="1">
      <alignment/>
    </xf>
    <xf numFmtId="0" fontId="0" fillId="0" borderId="0" xfId="0" applyFont="1" applyAlignment="1">
      <alignment/>
    </xf>
    <xf numFmtId="177" fontId="0" fillId="0" borderId="0" xfId="46" applyNumberFormat="1" applyFont="1" applyAlignment="1">
      <alignment/>
    </xf>
    <xf numFmtId="0" fontId="0" fillId="0" borderId="0" xfId="0" applyFont="1" applyAlignment="1">
      <alignment/>
    </xf>
    <xf numFmtId="177" fontId="0" fillId="0" borderId="0" xfId="46" applyNumberFormat="1" applyFont="1" applyAlignment="1">
      <alignment/>
    </xf>
    <xf numFmtId="177" fontId="0" fillId="0" borderId="0" xfId="46" applyNumberFormat="1" applyFont="1" applyFill="1" applyAlignment="1">
      <alignment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 indent="4"/>
    </xf>
    <xf numFmtId="171" fontId="0" fillId="0" borderId="0" xfId="46" applyFont="1" applyAlignment="1">
      <alignment/>
    </xf>
    <xf numFmtId="3" fontId="0" fillId="0" borderId="0" xfId="0" applyNumberFormat="1" applyFont="1" applyFill="1" applyBorder="1" applyAlignment="1">
      <alignment/>
    </xf>
    <xf numFmtId="177" fontId="0" fillId="0" borderId="11" xfId="0" applyNumberFormat="1" applyFont="1" applyFill="1" applyBorder="1" applyAlignment="1">
      <alignment/>
    </xf>
    <xf numFmtId="177" fontId="0" fillId="0" borderId="11" xfId="46" applyNumberFormat="1" applyFont="1" applyBorder="1" applyAlignment="1">
      <alignment/>
    </xf>
    <xf numFmtId="177" fontId="0" fillId="0" borderId="11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77" fontId="0" fillId="0" borderId="13" xfId="0" applyNumberFormat="1" applyFont="1" applyBorder="1" applyAlignment="1">
      <alignment/>
    </xf>
    <xf numFmtId="177" fontId="0" fillId="0" borderId="14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77" fontId="0" fillId="0" borderId="0" xfId="0" applyNumberFormat="1" applyFont="1" applyFill="1" applyBorder="1" applyAlignment="1">
      <alignment/>
    </xf>
    <xf numFmtId="177" fontId="0" fillId="0" borderId="0" xfId="46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77" fontId="5" fillId="0" borderId="10" xfId="46" applyNumberFormat="1" applyFont="1" applyBorder="1" applyAlignment="1">
      <alignment/>
    </xf>
    <xf numFmtId="0" fontId="7" fillId="0" borderId="0" xfId="0" applyFont="1" applyAlignment="1">
      <alignment/>
    </xf>
    <xf numFmtId="0" fontId="9" fillId="0" borderId="10" xfId="0" applyFont="1" applyBorder="1" applyAlignment="1">
      <alignment vertical="justify" wrapText="1"/>
    </xf>
    <xf numFmtId="0" fontId="9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 vertical="top" textRotation="255" wrapText="1"/>
    </xf>
    <xf numFmtId="0" fontId="0" fillId="0" borderId="16" xfId="0" applyFont="1" applyBorder="1" applyAlignment="1">
      <alignment horizontal="center" vertical="top" textRotation="255" wrapText="1"/>
    </xf>
    <xf numFmtId="0" fontId="0" fillId="0" borderId="11" xfId="0" applyFont="1" applyBorder="1" applyAlignment="1">
      <alignment horizontal="center" vertical="top" textRotation="255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textRotation="255" wrapText="1"/>
    </xf>
    <xf numFmtId="0" fontId="3" fillId="0" borderId="11" xfId="0" applyFont="1" applyBorder="1" applyAlignment="1">
      <alignment horizontal="center" vertical="top" textRotation="255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1"/>
  <sheetViews>
    <sheetView tabSelected="1" zoomScalePageLayoutView="0" workbookViewId="0" topLeftCell="A72">
      <selection activeCell="A77" sqref="A77"/>
    </sheetView>
  </sheetViews>
  <sheetFormatPr defaultColWidth="11.421875" defaultRowHeight="12.75"/>
  <cols>
    <col min="1" max="1" width="16.57421875" style="29" customWidth="1"/>
    <col min="2" max="2" width="18.57421875" style="29" customWidth="1"/>
    <col min="3" max="3" width="43.8515625" style="0" customWidth="1"/>
    <col min="4" max="4" width="16.57421875" style="0" bestFit="1" customWidth="1"/>
    <col min="5" max="5" width="13.8515625" style="0" bestFit="1" customWidth="1"/>
    <col min="6" max="6" width="12.140625" style="0" customWidth="1"/>
    <col min="7" max="7" width="13.57421875" style="0" customWidth="1"/>
    <col min="8" max="8" width="12.57421875" style="0" customWidth="1"/>
    <col min="9" max="9" width="12.140625" style="0" customWidth="1"/>
    <col min="10" max="11" width="13.7109375" style="0" customWidth="1"/>
  </cols>
  <sheetData>
    <row r="2" spans="1:12" ht="12.75">
      <c r="A2" s="75" t="s">
        <v>103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12.75">
      <c r="A3" s="75" t="s">
        <v>104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12.7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3:12" ht="12.75"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ht="12.75">
      <c r="A6" s="66" t="s">
        <v>0</v>
      </c>
      <c r="B6" s="71" t="s">
        <v>1</v>
      </c>
      <c r="C6" s="71" t="s">
        <v>2</v>
      </c>
      <c r="D6" s="66" t="s">
        <v>89</v>
      </c>
      <c r="E6" s="70" t="s">
        <v>96</v>
      </c>
      <c r="F6" s="70"/>
      <c r="G6" s="70"/>
      <c r="H6" s="70"/>
      <c r="I6" s="70"/>
      <c r="J6" s="70"/>
      <c r="K6" s="70"/>
      <c r="L6" s="70"/>
    </row>
    <row r="7" spans="1:12" ht="12.75">
      <c r="A7" s="66"/>
      <c r="B7" s="71"/>
      <c r="C7" s="71"/>
      <c r="D7" s="66"/>
      <c r="E7" s="70" t="s">
        <v>97</v>
      </c>
      <c r="F7" s="70"/>
      <c r="G7" s="70"/>
      <c r="H7" s="70"/>
      <c r="I7" s="70"/>
      <c r="J7" s="70"/>
      <c r="K7" s="70"/>
      <c r="L7" s="70"/>
    </row>
    <row r="8" spans="1:12" ht="27" customHeight="1">
      <c r="A8" s="66"/>
      <c r="B8" s="71"/>
      <c r="C8" s="71"/>
      <c r="D8" s="66"/>
      <c r="E8" s="30" t="s">
        <v>99</v>
      </c>
      <c r="F8" s="30" t="s">
        <v>91</v>
      </c>
      <c r="G8" s="30" t="s">
        <v>90</v>
      </c>
      <c r="H8" s="31" t="s">
        <v>98</v>
      </c>
      <c r="I8" s="30" t="s">
        <v>92</v>
      </c>
      <c r="J8" s="30" t="s">
        <v>93</v>
      </c>
      <c r="K8" s="30" t="s">
        <v>95</v>
      </c>
      <c r="L8" s="30" t="s">
        <v>94</v>
      </c>
    </row>
    <row r="9" spans="1:12" ht="30">
      <c r="A9" s="77" t="s">
        <v>86</v>
      </c>
      <c r="B9" s="80" t="s">
        <v>3</v>
      </c>
      <c r="C9" s="5" t="s">
        <v>18</v>
      </c>
      <c r="D9" s="8">
        <f>SUM(E9:L9)</f>
        <v>15000000</v>
      </c>
      <c r="E9" s="7"/>
      <c r="F9" s="7"/>
      <c r="G9" s="32">
        <v>15000000</v>
      </c>
      <c r="H9" s="7"/>
      <c r="I9" s="7"/>
      <c r="J9" s="7"/>
      <c r="K9" s="7"/>
      <c r="L9" s="7"/>
    </row>
    <row r="10" spans="1:12" ht="30">
      <c r="A10" s="78"/>
      <c r="B10" s="66"/>
      <c r="C10" s="1" t="s">
        <v>19</v>
      </c>
      <c r="D10" s="8">
        <f>SUM(E10:L10)</f>
        <v>0</v>
      </c>
      <c r="E10" s="7"/>
      <c r="F10" s="7"/>
      <c r="G10" s="7"/>
      <c r="H10" s="7"/>
      <c r="I10" s="7"/>
      <c r="J10" s="7"/>
      <c r="K10" s="7"/>
      <c r="L10" s="7"/>
    </row>
    <row r="11" spans="1:12" ht="15">
      <c r="A11" s="78"/>
      <c r="B11" s="66"/>
      <c r="C11" s="1" t="s">
        <v>20</v>
      </c>
      <c r="D11" s="8">
        <f>SUM(E11:L11)</f>
        <v>58529440</v>
      </c>
      <c r="E11" s="7"/>
      <c r="F11" s="7"/>
      <c r="G11" s="21">
        <v>58529440</v>
      </c>
      <c r="H11" s="7"/>
      <c r="I11" s="7"/>
      <c r="J11" s="7"/>
      <c r="K11" s="7"/>
      <c r="L11" s="7"/>
    </row>
    <row r="12" spans="1:12" ht="30">
      <c r="A12" s="78"/>
      <c r="B12" s="66"/>
      <c r="C12" s="1" t="s">
        <v>21</v>
      </c>
      <c r="D12" s="8">
        <f>SUM(E12:L12)</f>
        <v>0</v>
      </c>
      <c r="E12" s="7"/>
      <c r="F12" s="7"/>
      <c r="G12" s="7"/>
      <c r="H12" s="7"/>
      <c r="I12" s="7"/>
      <c r="J12" s="7"/>
      <c r="K12" s="7"/>
      <c r="L12" s="7"/>
    </row>
    <row r="13" spans="1:12" ht="30">
      <c r="A13" s="78"/>
      <c r="B13" s="66"/>
      <c r="C13" s="1" t="s">
        <v>22</v>
      </c>
      <c r="D13" s="8">
        <f>SUM(E13:L13)</f>
        <v>1996336995</v>
      </c>
      <c r="E13" s="6"/>
      <c r="F13" s="8">
        <v>5000000</v>
      </c>
      <c r="G13" s="9">
        <v>908357912</v>
      </c>
      <c r="H13" s="22">
        <v>605840596</v>
      </c>
      <c r="I13" s="22">
        <v>200000000</v>
      </c>
      <c r="J13" s="11">
        <v>223912853</v>
      </c>
      <c r="K13" s="11">
        <f>4147452+49078182</f>
        <v>53225634</v>
      </c>
      <c r="L13" s="23"/>
    </row>
    <row r="14" spans="1:12" ht="30">
      <c r="A14" s="78"/>
      <c r="B14" s="66"/>
      <c r="C14" s="1" t="s">
        <v>23</v>
      </c>
      <c r="D14" s="8">
        <f aca="true" t="shared" si="0" ref="D14:D73">SUM(E14:L14)</f>
        <v>160301757</v>
      </c>
      <c r="E14" s="7"/>
      <c r="F14" s="7"/>
      <c r="G14" s="8">
        <v>160301757</v>
      </c>
      <c r="H14" s="7"/>
      <c r="I14" s="7"/>
      <c r="J14" s="7"/>
      <c r="K14" s="7"/>
      <c r="L14" s="7"/>
    </row>
    <row r="15" spans="1:12" ht="30">
      <c r="A15" s="78"/>
      <c r="B15" s="66" t="s">
        <v>24</v>
      </c>
      <c r="C15" s="1" t="s">
        <v>25</v>
      </c>
      <c r="D15" s="8">
        <f t="shared" si="0"/>
        <v>6000000</v>
      </c>
      <c r="E15" s="7"/>
      <c r="F15" s="7"/>
      <c r="G15" s="8">
        <f>6000000</f>
        <v>6000000</v>
      </c>
      <c r="H15" s="7"/>
      <c r="I15" s="7"/>
      <c r="J15" s="7"/>
      <c r="K15" s="7"/>
      <c r="L15" s="7"/>
    </row>
    <row r="16" spans="1:12" ht="30">
      <c r="A16" s="78"/>
      <c r="B16" s="66"/>
      <c r="C16" s="1" t="s">
        <v>26</v>
      </c>
      <c r="D16" s="8">
        <f t="shared" si="0"/>
        <v>0</v>
      </c>
      <c r="E16" s="7"/>
      <c r="F16" s="7"/>
      <c r="G16" s="10"/>
      <c r="H16" s="23"/>
      <c r="I16" s="23"/>
      <c r="J16" s="23"/>
      <c r="K16" s="23"/>
      <c r="L16" s="23"/>
    </row>
    <row r="17" spans="1:12" ht="30">
      <c r="A17" s="78"/>
      <c r="B17" s="66"/>
      <c r="C17" s="1" t="s">
        <v>27</v>
      </c>
      <c r="D17" s="8">
        <f t="shared" si="0"/>
        <v>1000000</v>
      </c>
      <c r="E17" s="7"/>
      <c r="F17" s="7"/>
      <c r="G17" s="11">
        <v>1000000</v>
      </c>
      <c r="H17" s="23"/>
      <c r="I17" s="23"/>
      <c r="J17" s="23"/>
      <c r="K17" s="23"/>
      <c r="L17" s="23"/>
    </row>
    <row r="18" spans="1:12" ht="30">
      <c r="A18" s="78"/>
      <c r="B18" s="66"/>
      <c r="C18" s="1" t="s">
        <v>28</v>
      </c>
      <c r="D18" s="8">
        <f t="shared" si="0"/>
        <v>4028094</v>
      </c>
      <c r="E18" s="7"/>
      <c r="F18" s="7"/>
      <c r="G18" s="11">
        <v>4028094</v>
      </c>
      <c r="H18" s="23"/>
      <c r="I18" s="23"/>
      <c r="J18" s="23"/>
      <c r="K18" s="23"/>
      <c r="L18" s="23"/>
    </row>
    <row r="19" spans="1:12" ht="30">
      <c r="A19" s="78"/>
      <c r="B19" s="66"/>
      <c r="C19" s="1" t="s">
        <v>31</v>
      </c>
      <c r="D19" s="8">
        <f t="shared" si="0"/>
        <v>38161163</v>
      </c>
      <c r="E19" s="7"/>
      <c r="F19" s="7"/>
      <c r="G19" s="9">
        <v>38161163</v>
      </c>
      <c r="H19" s="23"/>
      <c r="I19" s="23"/>
      <c r="J19" s="23"/>
      <c r="K19" s="23"/>
      <c r="L19" s="23"/>
    </row>
    <row r="20" spans="1:12" ht="30">
      <c r="A20" s="78"/>
      <c r="B20" s="66"/>
      <c r="C20" s="2" t="s">
        <v>85</v>
      </c>
      <c r="D20" s="8">
        <f t="shared" si="0"/>
        <v>302000000</v>
      </c>
      <c r="E20" s="7"/>
      <c r="F20" s="7"/>
      <c r="G20" s="8">
        <v>2000000</v>
      </c>
      <c r="H20" s="7"/>
      <c r="I20" s="8">
        <v>150000000</v>
      </c>
      <c r="J20" s="8">
        <v>150000000</v>
      </c>
      <c r="K20" s="7"/>
      <c r="L20" s="7"/>
    </row>
    <row r="21" spans="1:12" ht="15">
      <c r="A21" s="78"/>
      <c r="B21" s="66"/>
      <c r="C21" s="3" t="s">
        <v>29</v>
      </c>
      <c r="D21" s="8">
        <f t="shared" si="0"/>
        <v>100000000</v>
      </c>
      <c r="E21" s="7"/>
      <c r="F21" s="7"/>
      <c r="G21" s="8">
        <v>100000000</v>
      </c>
      <c r="H21" s="7"/>
      <c r="I21" s="7"/>
      <c r="J21" s="7"/>
      <c r="K21" s="7"/>
      <c r="L21" s="7"/>
    </row>
    <row r="22" spans="1:12" ht="30">
      <c r="A22" s="78"/>
      <c r="B22" s="66"/>
      <c r="C22" s="1" t="s">
        <v>30</v>
      </c>
      <c r="D22" s="8">
        <f t="shared" si="0"/>
        <v>5000000</v>
      </c>
      <c r="E22" s="8">
        <v>5000000</v>
      </c>
      <c r="F22" s="7"/>
      <c r="G22" s="7"/>
      <c r="H22" s="7"/>
      <c r="I22" s="7"/>
      <c r="J22" s="7"/>
      <c r="K22" s="7"/>
      <c r="L22" s="7"/>
    </row>
    <row r="23" spans="1:12" ht="30">
      <c r="A23" s="78"/>
      <c r="B23" s="66"/>
      <c r="C23" s="1" t="s">
        <v>32</v>
      </c>
      <c r="D23" s="8">
        <f t="shared" si="0"/>
        <v>1000000</v>
      </c>
      <c r="E23" s="7"/>
      <c r="F23" s="7"/>
      <c r="G23" s="8">
        <v>1000000</v>
      </c>
      <c r="H23" s="7"/>
      <c r="I23" s="7"/>
      <c r="J23" s="7"/>
      <c r="K23" s="7"/>
      <c r="L23" s="7"/>
    </row>
    <row r="24" spans="1:12" ht="30">
      <c r="A24" s="78"/>
      <c r="B24" s="66"/>
      <c r="C24" s="1" t="s">
        <v>33</v>
      </c>
      <c r="D24" s="8">
        <f t="shared" si="0"/>
        <v>3000000</v>
      </c>
      <c r="E24" s="7"/>
      <c r="F24" s="7"/>
      <c r="G24" s="14">
        <v>3000000</v>
      </c>
      <c r="H24" s="7"/>
      <c r="I24" s="7"/>
      <c r="J24" s="7"/>
      <c r="K24" s="7"/>
      <c r="L24" s="7"/>
    </row>
    <row r="25" spans="1:12" ht="15">
      <c r="A25" s="78"/>
      <c r="B25" s="66"/>
      <c r="C25" s="1" t="s">
        <v>34</v>
      </c>
      <c r="D25" s="8">
        <f t="shared" si="0"/>
        <v>0</v>
      </c>
      <c r="E25" s="7"/>
      <c r="F25" s="7"/>
      <c r="G25" s="7"/>
      <c r="H25" s="7"/>
      <c r="I25" s="7"/>
      <c r="J25" s="7"/>
      <c r="K25" s="7"/>
      <c r="L25" s="7"/>
    </row>
    <row r="26" spans="1:12" ht="30">
      <c r="A26" s="78"/>
      <c r="B26" s="66" t="s">
        <v>4</v>
      </c>
      <c r="C26" s="1" t="s">
        <v>35</v>
      </c>
      <c r="D26" s="8">
        <f t="shared" si="0"/>
        <v>9922080</v>
      </c>
      <c r="E26" s="7"/>
      <c r="F26" s="7"/>
      <c r="G26" s="11">
        <v>9922080</v>
      </c>
      <c r="H26" s="23"/>
      <c r="I26" s="23"/>
      <c r="J26" s="23"/>
      <c r="K26" s="23"/>
      <c r="L26" s="23"/>
    </row>
    <row r="27" spans="1:12" ht="30">
      <c r="A27" s="78"/>
      <c r="B27" s="66"/>
      <c r="C27" s="1" t="s">
        <v>36</v>
      </c>
      <c r="D27" s="8">
        <f t="shared" si="0"/>
        <v>0</v>
      </c>
      <c r="E27" s="7"/>
      <c r="F27" s="7"/>
      <c r="G27" s="24"/>
      <c r="H27" s="7"/>
      <c r="I27" s="7"/>
      <c r="J27" s="7"/>
      <c r="K27" s="7"/>
      <c r="L27" s="7"/>
    </row>
    <row r="28" spans="1:12" ht="30">
      <c r="A28" s="78"/>
      <c r="B28" s="66"/>
      <c r="C28" s="1" t="s">
        <v>37</v>
      </c>
      <c r="D28" s="8">
        <f t="shared" si="0"/>
        <v>6005878</v>
      </c>
      <c r="E28" s="7"/>
      <c r="F28" s="7"/>
      <c r="G28" s="11">
        <v>6005878</v>
      </c>
      <c r="H28" s="23"/>
      <c r="I28" s="23"/>
      <c r="J28" s="23"/>
      <c r="K28" s="23"/>
      <c r="L28" s="23"/>
    </row>
    <row r="29" spans="1:12" ht="30">
      <c r="A29" s="78"/>
      <c r="B29" s="66"/>
      <c r="C29" s="1" t="s">
        <v>38</v>
      </c>
      <c r="D29" s="8">
        <f t="shared" si="0"/>
        <v>2551985</v>
      </c>
      <c r="E29" s="7"/>
      <c r="F29" s="7"/>
      <c r="G29" s="11">
        <v>2551985</v>
      </c>
      <c r="H29" s="23"/>
      <c r="I29" s="23"/>
      <c r="J29" s="23"/>
      <c r="K29" s="23"/>
      <c r="L29" s="23"/>
    </row>
    <row r="30" spans="1:12" ht="45">
      <c r="A30" s="78"/>
      <c r="B30" s="66"/>
      <c r="C30" s="1" t="s">
        <v>39</v>
      </c>
      <c r="D30" s="8">
        <f t="shared" si="0"/>
        <v>17392772</v>
      </c>
      <c r="E30" s="7"/>
      <c r="F30" s="7"/>
      <c r="G30" s="11">
        <f>40950636-8557863-1-15000000</f>
        <v>17392772</v>
      </c>
      <c r="H30" s="23"/>
      <c r="I30" s="23"/>
      <c r="J30" s="23"/>
      <c r="K30" s="23"/>
      <c r="L30" s="23"/>
    </row>
    <row r="31" spans="1:12" ht="30">
      <c r="A31" s="78"/>
      <c r="B31" s="66" t="s">
        <v>5</v>
      </c>
      <c r="C31" s="1" t="s">
        <v>40</v>
      </c>
      <c r="D31" s="8">
        <f t="shared" si="0"/>
        <v>10000000</v>
      </c>
      <c r="E31" s="7"/>
      <c r="F31" s="7"/>
      <c r="G31" s="7"/>
      <c r="H31" s="7"/>
      <c r="I31" s="7"/>
      <c r="J31" s="7"/>
      <c r="K31" s="8">
        <v>10000000</v>
      </c>
      <c r="L31" s="7"/>
    </row>
    <row r="32" spans="1:12" ht="42.75" customHeight="1">
      <c r="A32" s="78"/>
      <c r="B32" s="66"/>
      <c r="C32" s="1" t="s">
        <v>41</v>
      </c>
      <c r="D32" s="8">
        <f t="shared" si="0"/>
        <v>40000000</v>
      </c>
      <c r="E32" s="7"/>
      <c r="F32" s="7"/>
      <c r="G32" s="11">
        <v>10000000</v>
      </c>
      <c r="H32" s="23"/>
      <c r="I32" s="23"/>
      <c r="J32" s="23"/>
      <c r="K32" s="22">
        <v>30000000</v>
      </c>
      <c r="L32" s="23"/>
    </row>
    <row r="33" spans="1:12" ht="27" customHeight="1">
      <c r="A33" s="78"/>
      <c r="B33" s="66"/>
      <c r="C33" s="1" t="s">
        <v>42</v>
      </c>
      <c r="D33" s="8">
        <f t="shared" si="0"/>
        <v>62904536</v>
      </c>
      <c r="E33" s="7"/>
      <c r="F33" s="8">
        <v>6000000</v>
      </c>
      <c r="G33" s="11">
        <v>16904536</v>
      </c>
      <c r="H33" s="23"/>
      <c r="I33" s="23"/>
      <c r="J33" s="23"/>
      <c r="K33" s="22">
        <v>40000000</v>
      </c>
      <c r="L33" s="23"/>
    </row>
    <row r="34" spans="1:12" ht="29.25" customHeight="1">
      <c r="A34" s="78"/>
      <c r="B34" s="66" t="s">
        <v>6</v>
      </c>
      <c r="C34" s="4" t="s">
        <v>82</v>
      </c>
      <c r="D34" s="8">
        <f t="shared" si="0"/>
        <v>36681828</v>
      </c>
      <c r="E34" s="7"/>
      <c r="F34" s="7"/>
      <c r="G34" s="12">
        <v>36681828</v>
      </c>
      <c r="H34" s="23"/>
      <c r="I34" s="23"/>
      <c r="J34" s="23"/>
      <c r="K34" s="23"/>
      <c r="L34" s="23"/>
    </row>
    <row r="35" spans="1:12" ht="30">
      <c r="A35" s="78"/>
      <c r="B35" s="66"/>
      <c r="C35" s="1" t="s">
        <v>43</v>
      </c>
      <c r="D35" s="8">
        <f t="shared" si="0"/>
        <v>25000000</v>
      </c>
      <c r="E35" s="7"/>
      <c r="F35" s="7"/>
      <c r="G35" s="8">
        <v>25000000</v>
      </c>
      <c r="H35" s="7"/>
      <c r="I35" s="7"/>
      <c r="J35" s="7"/>
      <c r="K35" s="7"/>
      <c r="L35" s="7"/>
    </row>
    <row r="36" spans="1:12" ht="27" customHeight="1">
      <c r="A36" s="78"/>
      <c r="B36" s="66" t="s">
        <v>7</v>
      </c>
      <c r="C36" s="1" t="s">
        <v>45</v>
      </c>
      <c r="D36" s="8">
        <f t="shared" si="0"/>
        <v>5000000</v>
      </c>
      <c r="E36" s="8"/>
      <c r="F36" s="8"/>
      <c r="G36" s="8">
        <v>5000000</v>
      </c>
      <c r="H36" s="7"/>
      <c r="I36" s="7"/>
      <c r="J36" s="7"/>
      <c r="K36" s="7"/>
      <c r="L36" s="7"/>
    </row>
    <row r="37" spans="1:12" ht="28.5" customHeight="1">
      <c r="A37" s="78"/>
      <c r="B37" s="66"/>
      <c r="C37" s="1" t="s">
        <v>46</v>
      </c>
      <c r="D37" s="8">
        <f t="shared" si="0"/>
        <v>30000000</v>
      </c>
      <c r="E37" s="8">
        <v>15000000</v>
      </c>
      <c r="F37" s="8"/>
      <c r="G37" s="8">
        <v>15000000</v>
      </c>
      <c r="H37" s="7"/>
      <c r="I37" s="7"/>
      <c r="J37" s="7"/>
      <c r="K37" s="7"/>
      <c r="L37" s="7"/>
    </row>
    <row r="38" spans="1:12" ht="28.5" customHeight="1">
      <c r="A38" s="78"/>
      <c r="B38" s="66"/>
      <c r="C38" s="1" t="s">
        <v>47</v>
      </c>
      <c r="D38" s="8">
        <f t="shared" si="0"/>
        <v>5000000</v>
      </c>
      <c r="E38" s="8"/>
      <c r="F38" s="8"/>
      <c r="G38" s="8">
        <v>5000000</v>
      </c>
      <c r="H38" s="7"/>
      <c r="I38" s="7"/>
      <c r="J38" s="7"/>
      <c r="K38" s="7"/>
      <c r="L38" s="7"/>
    </row>
    <row r="39" spans="1:12" ht="28.5" customHeight="1">
      <c r="A39" s="78"/>
      <c r="B39" s="66"/>
      <c r="C39" s="1" t="s">
        <v>48</v>
      </c>
      <c r="D39" s="8">
        <f t="shared" si="0"/>
        <v>6000000</v>
      </c>
      <c r="E39" s="8">
        <v>5000000</v>
      </c>
      <c r="F39" s="8"/>
      <c r="G39" s="8">
        <v>1000000</v>
      </c>
      <c r="H39" s="7"/>
      <c r="I39" s="7"/>
      <c r="J39" s="7"/>
      <c r="K39" s="7"/>
      <c r="L39" s="7"/>
    </row>
    <row r="40" spans="1:12" ht="30">
      <c r="A40" s="79"/>
      <c r="B40" s="66"/>
      <c r="C40" s="2" t="s">
        <v>44</v>
      </c>
      <c r="D40" s="8">
        <f t="shared" si="0"/>
        <v>5000000</v>
      </c>
      <c r="E40" s="8"/>
      <c r="F40" s="8"/>
      <c r="G40" s="8">
        <v>5000000</v>
      </c>
      <c r="H40" s="7"/>
      <c r="I40" s="7"/>
      <c r="J40" s="7"/>
      <c r="K40" s="7"/>
      <c r="L40" s="7"/>
    </row>
    <row r="41" spans="1:12" ht="30">
      <c r="A41" s="72" t="s">
        <v>87</v>
      </c>
      <c r="B41" s="66" t="s">
        <v>8</v>
      </c>
      <c r="C41" s="1" t="s">
        <v>49</v>
      </c>
      <c r="D41" s="8">
        <f t="shared" si="0"/>
        <v>160000000</v>
      </c>
      <c r="E41" s="8"/>
      <c r="F41" s="8"/>
      <c r="G41" s="8">
        <v>160000000</v>
      </c>
      <c r="H41" s="7"/>
      <c r="I41" s="7"/>
      <c r="J41" s="7"/>
      <c r="K41" s="7"/>
      <c r="L41" s="7"/>
    </row>
    <row r="42" spans="1:12" ht="45">
      <c r="A42" s="73"/>
      <c r="B42" s="66"/>
      <c r="C42" s="2" t="s">
        <v>83</v>
      </c>
      <c r="D42" s="8">
        <f t="shared" si="0"/>
        <v>153113616</v>
      </c>
      <c r="E42" s="7"/>
      <c r="F42" s="7"/>
      <c r="G42" s="8">
        <v>53113616</v>
      </c>
      <c r="H42" s="7"/>
      <c r="I42" s="8">
        <v>100000000</v>
      </c>
      <c r="J42" s="7"/>
      <c r="K42" s="7"/>
      <c r="L42" s="7"/>
    </row>
    <row r="43" spans="1:12" ht="45">
      <c r="A43" s="73"/>
      <c r="B43" s="66"/>
      <c r="C43" s="1" t="s">
        <v>84</v>
      </c>
      <c r="D43" s="8">
        <f t="shared" si="0"/>
        <v>208113616</v>
      </c>
      <c r="E43" s="7"/>
      <c r="F43" s="7"/>
      <c r="G43" s="8">
        <v>58113616</v>
      </c>
      <c r="H43" s="7"/>
      <c r="I43" s="8">
        <v>150000000</v>
      </c>
      <c r="J43" s="7"/>
      <c r="K43" s="7"/>
      <c r="L43" s="7"/>
    </row>
    <row r="44" spans="1:12" ht="30">
      <c r="A44" s="73"/>
      <c r="B44" s="66"/>
      <c r="C44" s="1" t="s">
        <v>50</v>
      </c>
      <c r="D44" s="8">
        <f t="shared" si="0"/>
        <v>50000000</v>
      </c>
      <c r="E44" s="7"/>
      <c r="F44" s="7"/>
      <c r="G44" s="8">
        <v>50000000</v>
      </c>
      <c r="H44" s="7"/>
      <c r="I44" s="7"/>
      <c r="J44" s="7"/>
      <c r="K44" s="7"/>
      <c r="L44" s="7"/>
    </row>
    <row r="45" spans="1:12" ht="30">
      <c r="A45" s="73"/>
      <c r="B45" s="66"/>
      <c r="C45" s="1" t="s">
        <v>51</v>
      </c>
      <c r="D45" s="8">
        <f t="shared" si="0"/>
        <v>0</v>
      </c>
      <c r="E45" s="7"/>
      <c r="F45" s="7"/>
      <c r="G45" s="7"/>
      <c r="H45" s="7"/>
      <c r="I45" s="7"/>
      <c r="J45" s="7"/>
      <c r="K45" s="7"/>
      <c r="L45" s="7"/>
    </row>
    <row r="46" spans="1:12" ht="30">
      <c r="A46" s="73"/>
      <c r="B46" s="66"/>
      <c r="C46" s="1" t="s">
        <v>52</v>
      </c>
      <c r="D46" s="8">
        <f t="shared" si="0"/>
        <v>12000000</v>
      </c>
      <c r="E46" s="8"/>
      <c r="F46" s="8">
        <v>2000000</v>
      </c>
      <c r="G46" s="8">
        <v>10000000</v>
      </c>
      <c r="H46" s="7"/>
      <c r="I46" s="7"/>
      <c r="J46" s="7"/>
      <c r="K46" s="7"/>
      <c r="L46" s="7"/>
    </row>
    <row r="47" spans="1:12" ht="30">
      <c r="A47" s="73"/>
      <c r="B47" s="66"/>
      <c r="C47" s="1" t="s">
        <v>53</v>
      </c>
      <c r="D47" s="8">
        <f t="shared" si="0"/>
        <v>20000000</v>
      </c>
      <c r="E47" s="7"/>
      <c r="F47" s="7"/>
      <c r="G47" s="8">
        <v>20000000</v>
      </c>
      <c r="H47" s="7"/>
      <c r="I47" s="7"/>
      <c r="J47" s="7"/>
      <c r="K47" s="7"/>
      <c r="L47" s="7"/>
    </row>
    <row r="48" spans="1:12" ht="30">
      <c r="A48" s="73"/>
      <c r="B48" s="66"/>
      <c r="C48" s="1" t="s">
        <v>54</v>
      </c>
      <c r="D48" s="8">
        <f t="shared" si="0"/>
        <v>95000000</v>
      </c>
      <c r="E48" s="8">
        <v>15000000</v>
      </c>
      <c r="F48" s="8">
        <v>80000000</v>
      </c>
      <c r="G48" s="7"/>
      <c r="H48" s="7"/>
      <c r="I48" s="7"/>
      <c r="J48" s="7"/>
      <c r="K48" s="7"/>
      <c r="L48" s="7"/>
    </row>
    <row r="49" spans="1:12" ht="31.5" customHeight="1">
      <c r="A49" s="73"/>
      <c r="B49" s="66" t="s">
        <v>9</v>
      </c>
      <c r="C49" s="1" t="s">
        <v>55</v>
      </c>
      <c r="D49" s="8">
        <f t="shared" si="0"/>
        <v>35000000</v>
      </c>
      <c r="E49" s="7"/>
      <c r="F49" s="7"/>
      <c r="G49" s="8">
        <v>35000000</v>
      </c>
      <c r="H49" s="7"/>
      <c r="I49" s="7"/>
      <c r="J49" s="7"/>
      <c r="K49" s="7"/>
      <c r="L49" s="7"/>
    </row>
    <row r="50" spans="1:12" ht="30" customHeight="1">
      <c r="A50" s="73"/>
      <c r="B50" s="66"/>
      <c r="C50" s="1" t="s">
        <v>56</v>
      </c>
      <c r="D50" s="8">
        <f t="shared" si="0"/>
        <v>5000000</v>
      </c>
      <c r="E50" s="7"/>
      <c r="F50" s="7"/>
      <c r="G50" s="8">
        <v>5000000</v>
      </c>
      <c r="H50" s="7"/>
      <c r="I50" s="7"/>
      <c r="J50" s="7"/>
      <c r="K50" s="7"/>
      <c r="L50" s="7"/>
    </row>
    <row r="51" spans="1:12" ht="30">
      <c r="A51" s="73"/>
      <c r="B51" s="66"/>
      <c r="C51" s="1" t="s">
        <v>57</v>
      </c>
      <c r="D51" s="8">
        <f t="shared" si="0"/>
        <v>5000000</v>
      </c>
      <c r="E51" s="7"/>
      <c r="F51" s="7"/>
      <c r="G51" s="8">
        <v>5000000</v>
      </c>
      <c r="H51" s="7"/>
      <c r="I51" s="7"/>
      <c r="J51" s="7"/>
      <c r="K51" s="7"/>
      <c r="L51" s="7"/>
    </row>
    <row r="52" spans="1:12" ht="30">
      <c r="A52" s="73"/>
      <c r="B52" s="66" t="s">
        <v>10</v>
      </c>
      <c r="C52" s="1" t="s">
        <v>58</v>
      </c>
      <c r="D52" s="8">
        <f t="shared" si="0"/>
        <v>265256677</v>
      </c>
      <c r="E52" s="11">
        <f>8775000+9000000</f>
        <v>17775000</v>
      </c>
      <c r="F52" s="23"/>
      <c r="G52" s="11">
        <f>107481677+10000000</f>
        <v>117481677</v>
      </c>
      <c r="H52" s="23"/>
      <c r="I52" s="23"/>
      <c r="J52" s="23"/>
      <c r="K52" s="22">
        <v>130000000</v>
      </c>
      <c r="L52" s="23"/>
    </row>
    <row r="53" spans="1:12" ht="30">
      <c r="A53" s="73"/>
      <c r="B53" s="66"/>
      <c r="C53" s="4" t="s">
        <v>59</v>
      </c>
      <c r="D53" s="8">
        <f t="shared" si="0"/>
        <v>12005000</v>
      </c>
      <c r="E53" s="7"/>
      <c r="F53" s="11">
        <v>2005000</v>
      </c>
      <c r="G53" s="22">
        <v>10000000</v>
      </c>
      <c r="H53" s="23"/>
      <c r="I53" s="23"/>
      <c r="J53" s="23"/>
      <c r="K53" s="23"/>
      <c r="L53" s="23"/>
    </row>
    <row r="54" spans="1:12" ht="30">
      <c r="A54" s="73"/>
      <c r="B54" s="66" t="s">
        <v>11</v>
      </c>
      <c r="C54" s="1" t="s">
        <v>61</v>
      </c>
      <c r="D54" s="8">
        <f t="shared" si="0"/>
        <v>0</v>
      </c>
      <c r="E54" s="7"/>
      <c r="F54" s="7"/>
      <c r="G54" s="7"/>
      <c r="H54" s="7"/>
      <c r="I54" s="7"/>
      <c r="J54" s="7"/>
      <c r="K54" s="7"/>
      <c r="L54" s="7"/>
    </row>
    <row r="55" spans="1:12" ht="30">
      <c r="A55" s="73"/>
      <c r="B55" s="66"/>
      <c r="C55" s="1" t="s">
        <v>62</v>
      </c>
      <c r="D55" s="8">
        <f t="shared" si="0"/>
        <v>2000000</v>
      </c>
      <c r="E55" s="7"/>
      <c r="F55" s="7"/>
      <c r="G55" s="8">
        <v>2000000</v>
      </c>
      <c r="H55" s="7"/>
      <c r="I55" s="7"/>
      <c r="J55" s="7"/>
      <c r="K55" s="7"/>
      <c r="L55" s="7"/>
    </row>
    <row r="56" spans="1:12" ht="18" customHeight="1">
      <c r="A56" s="73"/>
      <c r="B56" s="66"/>
      <c r="C56" s="1" t="s">
        <v>63</v>
      </c>
      <c r="D56" s="8">
        <f t="shared" si="0"/>
        <v>2000000</v>
      </c>
      <c r="E56" s="7"/>
      <c r="F56" s="7"/>
      <c r="G56" s="8">
        <v>2000000</v>
      </c>
      <c r="H56" s="7"/>
      <c r="I56" s="7"/>
      <c r="J56" s="7"/>
      <c r="K56" s="7"/>
      <c r="L56" s="7"/>
    </row>
    <row r="57" spans="1:12" ht="30">
      <c r="A57" s="73"/>
      <c r="B57" s="66"/>
      <c r="C57" s="1" t="s">
        <v>64</v>
      </c>
      <c r="D57" s="8">
        <f t="shared" si="0"/>
        <v>0</v>
      </c>
      <c r="E57" s="7"/>
      <c r="F57" s="7"/>
      <c r="G57" s="7"/>
      <c r="H57" s="7"/>
      <c r="I57" s="7"/>
      <c r="J57" s="7"/>
      <c r="K57" s="7"/>
      <c r="L57" s="7"/>
    </row>
    <row r="58" spans="1:12" ht="45">
      <c r="A58" s="73"/>
      <c r="B58" s="66"/>
      <c r="C58" s="2" t="s">
        <v>60</v>
      </c>
      <c r="D58" s="8">
        <f t="shared" si="0"/>
        <v>26468095</v>
      </c>
      <c r="E58" s="7"/>
      <c r="F58" s="7"/>
      <c r="G58" s="11">
        <v>26468095</v>
      </c>
      <c r="H58" s="23"/>
      <c r="I58" s="23"/>
      <c r="J58" s="23"/>
      <c r="K58" s="23"/>
      <c r="L58" s="23"/>
    </row>
    <row r="59" spans="1:12" ht="45" customHeight="1">
      <c r="A59" s="73"/>
      <c r="B59" s="66" t="s">
        <v>12</v>
      </c>
      <c r="C59" s="2" t="s">
        <v>65</v>
      </c>
      <c r="D59" s="8">
        <f t="shared" si="0"/>
        <v>10000000</v>
      </c>
      <c r="E59" s="7"/>
      <c r="F59" s="7"/>
      <c r="G59" s="8">
        <v>10000000</v>
      </c>
      <c r="H59" s="7"/>
      <c r="I59" s="7"/>
      <c r="J59" s="7"/>
      <c r="K59" s="7"/>
      <c r="L59" s="7"/>
    </row>
    <row r="60" spans="1:12" ht="30" customHeight="1">
      <c r="A60" s="73"/>
      <c r="B60" s="66"/>
      <c r="C60" s="2" t="s">
        <v>66</v>
      </c>
      <c r="D60" s="8">
        <f t="shared" si="0"/>
        <v>0</v>
      </c>
      <c r="E60" s="7"/>
      <c r="F60" s="7"/>
      <c r="G60" s="7"/>
      <c r="H60" s="7"/>
      <c r="I60" s="7"/>
      <c r="J60" s="7"/>
      <c r="K60" s="7"/>
      <c r="L60" s="7"/>
    </row>
    <row r="61" spans="1:12" ht="29.25" customHeight="1">
      <c r="A61" s="73"/>
      <c r="B61" s="66"/>
      <c r="C61" s="4" t="s">
        <v>67</v>
      </c>
      <c r="D61" s="8">
        <f t="shared" si="0"/>
        <v>2000000</v>
      </c>
      <c r="E61" s="7"/>
      <c r="F61" s="7"/>
      <c r="G61" s="8">
        <v>2000000</v>
      </c>
      <c r="H61" s="7"/>
      <c r="I61" s="7"/>
      <c r="J61" s="7"/>
      <c r="K61" s="7"/>
      <c r="L61" s="7"/>
    </row>
    <row r="62" spans="1:12" ht="20.25" customHeight="1">
      <c r="A62" s="73"/>
      <c r="B62" s="66"/>
      <c r="C62" s="1" t="s">
        <v>68</v>
      </c>
      <c r="D62" s="8">
        <f t="shared" si="0"/>
        <v>5000000</v>
      </c>
      <c r="E62" s="7"/>
      <c r="F62" s="7"/>
      <c r="G62" s="8">
        <v>5000000</v>
      </c>
      <c r="H62" s="7"/>
      <c r="I62" s="7"/>
      <c r="J62" s="7"/>
      <c r="K62" s="7"/>
      <c r="L62" s="7"/>
    </row>
    <row r="63" spans="1:12" ht="30">
      <c r="A63" s="73"/>
      <c r="B63" s="66" t="s">
        <v>13</v>
      </c>
      <c r="C63" s="1" t="s">
        <v>69</v>
      </c>
      <c r="D63" s="8">
        <f t="shared" si="0"/>
        <v>5000000</v>
      </c>
      <c r="E63" s="7"/>
      <c r="F63" s="7"/>
      <c r="G63" s="8">
        <v>5000000</v>
      </c>
      <c r="H63" s="7"/>
      <c r="I63" s="7"/>
      <c r="J63" s="7"/>
      <c r="K63" s="7"/>
      <c r="L63" s="7"/>
    </row>
    <row r="64" spans="1:12" ht="30">
      <c r="A64" s="73"/>
      <c r="B64" s="66"/>
      <c r="C64" s="1" t="s">
        <v>70</v>
      </c>
      <c r="D64" s="8">
        <f t="shared" si="0"/>
        <v>5000000</v>
      </c>
      <c r="E64" s="7"/>
      <c r="F64" s="7"/>
      <c r="G64" s="8">
        <v>5000000</v>
      </c>
      <c r="H64" s="7"/>
      <c r="I64" s="7"/>
      <c r="J64" s="7"/>
      <c r="K64" s="7"/>
      <c r="L64" s="7"/>
    </row>
    <row r="65" spans="1:12" ht="30.75" customHeight="1">
      <c r="A65" s="73"/>
      <c r="B65" s="66"/>
      <c r="C65" s="4" t="s">
        <v>71</v>
      </c>
      <c r="D65" s="8">
        <f t="shared" si="0"/>
        <v>0</v>
      </c>
      <c r="E65" s="7"/>
      <c r="F65" s="7"/>
      <c r="G65" s="8"/>
      <c r="H65" s="7"/>
      <c r="I65" s="7"/>
      <c r="J65" s="7"/>
      <c r="K65" s="7"/>
      <c r="L65" s="7"/>
    </row>
    <row r="66" spans="1:12" ht="44.25" customHeight="1">
      <c r="A66" s="73"/>
      <c r="B66" s="66"/>
      <c r="C66" s="2" t="s">
        <v>72</v>
      </c>
      <c r="D66" s="8">
        <f t="shared" si="0"/>
        <v>1000000</v>
      </c>
      <c r="E66" s="7"/>
      <c r="F66" s="7"/>
      <c r="G66" s="8">
        <v>1000000</v>
      </c>
      <c r="H66" s="7"/>
      <c r="I66" s="7"/>
      <c r="J66" s="7"/>
      <c r="K66" s="7"/>
      <c r="L66" s="7"/>
    </row>
    <row r="67" spans="1:12" ht="45">
      <c r="A67" s="74"/>
      <c r="B67" s="66"/>
      <c r="C67" s="2" t="s">
        <v>73</v>
      </c>
      <c r="D67" s="8">
        <f t="shared" si="0"/>
        <v>1000000</v>
      </c>
      <c r="E67" s="7"/>
      <c r="F67" s="7"/>
      <c r="G67" s="8">
        <v>1000000</v>
      </c>
      <c r="H67" s="7"/>
      <c r="I67" s="7"/>
      <c r="J67" s="7"/>
      <c r="K67" s="7"/>
      <c r="L67" s="7"/>
    </row>
    <row r="68" spans="1:12" ht="45" customHeight="1">
      <c r="A68" s="67" t="s">
        <v>88</v>
      </c>
      <c r="B68" s="66" t="s">
        <v>14</v>
      </c>
      <c r="C68" s="2" t="s">
        <v>75</v>
      </c>
      <c r="D68" s="8">
        <f t="shared" si="0"/>
        <v>5000000</v>
      </c>
      <c r="E68" s="7"/>
      <c r="F68" s="7"/>
      <c r="G68" s="8">
        <v>5000000</v>
      </c>
      <c r="H68" s="7"/>
      <c r="I68" s="7"/>
      <c r="J68" s="7"/>
      <c r="K68" s="7"/>
      <c r="L68" s="7"/>
    </row>
    <row r="69" spans="1:12" ht="32.25" customHeight="1">
      <c r="A69" s="68"/>
      <c r="B69" s="66"/>
      <c r="C69" s="2" t="s">
        <v>74</v>
      </c>
      <c r="D69" s="8">
        <f t="shared" si="0"/>
        <v>17000000</v>
      </c>
      <c r="E69" s="7"/>
      <c r="F69" s="7"/>
      <c r="G69" s="8">
        <v>17000000</v>
      </c>
      <c r="H69" s="7"/>
      <c r="I69" s="7"/>
      <c r="J69" s="7"/>
      <c r="K69" s="7"/>
      <c r="L69" s="7"/>
    </row>
    <row r="70" spans="1:12" ht="42.75" customHeight="1">
      <c r="A70" s="68"/>
      <c r="B70" s="66" t="s">
        <v>15</v>
      </c>
      <c r="C70" s="1" t="s">
        <v>77</v>
      </c>
      <c r="D70" s="8">
        <f t="shared" si="0"/>
        <v>15000000</v>
      </c>
      <c r="E70" s="7"/>
      <c r="F70" s="7"/>
      <c r="G70" s="8">
        <v>10000000</v>
      </c>
      <c r="H70" s="7"/>
      <c r="I70" s="7"/>
      <c r="J70" s="7"/>
      <c r="K70" s="8">
        <v>5000000</v>
      </c>
      <c r="L70" s="7"/>
    </row>
    <row r="71" spans="1:12" ht="30">
      <c r="A71" s="68"/>
      <c r="B71" s="66"/>
      <c r="C71" s="4" t="s">
        <v>76</v>
      </c>
      <c r="D71" s="8">
        <f t="shared" si="0"/>
        <v>2000000</v>
      </c>
      <c r="E71" s="7"/>
      <c r="F71" s="7"/>
      <c r="G71" s="8">
        <v>2000000</v>
      </c>
      <c r="H71" s="7"/>
      <c r="I71" s="7"/>
      <c r="J71" s="7"/>
      <c r="K71" s="7"/>
      <c r="L71" s="7"/>
    </row>
    <row r="72" spans="1:12" ht="33" customHeight="1">
      <c r="A72" s="68"/>
      <c r="B72" s="66" t="s">
        <v>16</v>
      </c>
      <c r="C72" s="1" t="s">
        <v>78</v>
      </c>
      <c r="D72" s="8">
        <f t="shared" si="0"/>
        <v>1500000</v>
      </c>
      <c r="E72" s="7"/>
      <c r="F72" s="7"/>
      <c r="G72" s="8">
        <v>1500000</v>
      </c>
      <c r="H72" s="7"/>
      <c r="I72" s="7"/>
      <c r="J72" s="7"/>
      <c r="K72" s="7"/>
      <c r="L72" s="7"/>
    </row>
    <row r="73" spans="1:12" ht="45.75" customHeight="1">
      <c r="A73" s="68"/>
      <c r="B73" s="66"/>
      <c r="C73" s="4" t="s">
        <v>79</v>
      </c>
      <c r="D73" s="8">
        <f t="shared" si="0"/>
        <v>20000000</v>
      </c>
      <c r="E73" s="7"/>
      <c r="F73" s="7"/>
      <c r="G73" s="8">
        <v>5000000</v>
      </c>
      <c r="H73" s="7"/>
      <c r="I73" s="7"/>
      <c r="J73" s="7"/>
      <c r="K73" s="8">
        <v>15000000</v>
      </c>
      <c r="L73" s="7"/>
    </row>
    <row r="74" spans="1:12" ht="32.25" customHeight="1">
      <c r="A74" s="68"/>
      <c r="B74" s="66" t="s">
        <v>17</v>
      </c>
      <c r="C74" s="2" t="s">
        <v>80</v>
      </c>
      <c r="D74" s="8">
        <f>SUM(E74:L74)</f>
        <v>5000000</v>
      </c>
      <c r="E74" s="7"/>
      <c r="F74" s="8">
        <v>5000000</v>
      </c>
      <c r="G74" s="8"/>
      <c r="H74" s="7"/>
      <c r="I74" s="7"/>
      <c r="J74" s="7"/>
      <c r="K74" s="7"/>
      <c r="L74" s="7"/>
    </row>
    <row r="75" spans="1:12" ht="33" customHeight="1">
      <c r="A75" s="69"/>
      <c r="B75" s="66"/>
      <c r="C75" s="2" t="s">
        <v>81</v>
      </c>
      <c r="D75" s="8">
        <f>SUM(E75:L75)</f>
        <v>10000000</v>
      </c>
      <c r="E75" s="8"/>
      <c r="F75" s="7"/>
      <c r="G75" s="8">
        <v>10000000</v>
      </c>
      <c r="H75" s="7"/>
      <c r="I75" s="7"/>
      <c r="J75" s="7"/>
      <c r="K75" s="7"/>
      <c r="L75" s="7"/>
    </row>
    <row r="76" spans="1:12" ht="12.75">
      <c r="A76" s="76" t="s">
        <v>107</v>
      </c>
      <c r="B76" s="76"/>
      <c r="C76" s="76"/>
      <c r="D76" s="26">
        <f>SUM(D9:D75)</f>
        <v>4107273532</v>
      </c>
      <c r="E76" s="26">
        <f aca="true" t="shared" si="1" ref="E76:J76">SUM(E9:E75)</f>
        <v>57775000</v>
      </c>
      <c r="F76" s="26">
        <f t="shared" si="1"/>
        <v>100005000</v>
      </c>
      <c r="G76" s="26">
        <f t="shared" si="1"/>
        <v>2086514449</v>
      </c>
      <c r="H76" s="26">
        <f t="shared" si="1"/>
        <v>605840596</v>
      </c>
      <c r="I76" s="26">
        <f t="shared" si="1"/>
        <v>600000000</v>
      </c>
      <c r="J76" s="26">
        <f t="shared" si="1"/>
        <v>373912853</v>
      </c>
      <c r="K76" s="26">
        <f>SUM(K9:K75)</f>
        <v>283225634</v>
      </c>
      <c r="L76" s="26">
        <f>SUM(L9:L75)</f>
        <v>0</v>
      </c>
    </row>
    <row r="77" spans="4:10" ht="12.75">
      <c r="D77" s="28"/>
      <c r="G77" s="15"/>
      <c r="H77" s="15"/>
      <c r="J77" s="15"/>
    </row>
    <row r="78" ht="12.75">
      <c r="D78" s="27"/>
    </row>
    <row r="79" spans="7:11" ht="12.75">
      <c r="G79" s="19"/>
      <c r="J79" s="15"/>
      <c r="K79" s="15"/>
    </row>
    <row r="80" spans="7:11" ht="12.75">
      <c r="G80" s="18"/>
      <c r="J80" s="18"/>
      <c r="K80" s="18"/>
    </row>
    <row r="81" spans="7:11" ht="12.75">
      <c r="G81" s="13"/>
      <c r="J81" s="16"/>
      <c r="K81" s="13"/>
    </row>
  </sheetData>
  <sheetProtection/>
  <mergeCells count="28">
    <mergeCell ref="A2:L2"/>
    <mergeCell ref="A3:L3"/>
    <mergeCell ref="A76:C76"/>
    <mergeCell ref="B34:B35"/>
    <mergeCell ref="B36:B40"/>
    <mergeCell ref="A9:A40"/>
    <mergeCell ref="B41:B48"/>
    <mergeCell ref="B9:B14"/>
    <mergeCell ref="B15:B25"/>
    <mergeCell ref="B26:B30"/>
    <mergeCell ref="B31:B33"/>
    <mergeCell ref="A41:A67"/>
    <mergeCell ref="B68:B69"/>
    <mergeCell ref="B70:B71"/>
    <mergeCell ref="B49:B51"/>
    <mergeCell ref="B52:B53"/>
    <mergeCell ref="B54:B58"/>
    <mergeCell ref="B59:B62"/>
    <mergeCell ref="B72:B73"/>
    <mergeCell ref="B74:B75"/>
    <mergeCell ref="A68:A75"/>
    <mergeCell ref="E6:L6"/>
    <mergeCell ref="E7:L7"/>
    <mergeCell ref="D6:D8"/>
    <mergeCell ref="C6:C8"/>
    <mergeCell ref="B6:B8"/>
    <mergeCell ref="A6:A8"/>
    <mergeCell ref="B63:B67"/>
  </mergeCells>
  <printOptions horizontalCentered="1" verticalCentered="1"/>
  <pageMargins left="0.4330708661417323" right="0.5118110236220472" top="0.9055118110236221" bottom="0.7874015748031497" header="0" footer="0"/>
  <pageSetup horizontalDpi="300" verticalDpi="3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85"/>
  <sheetViews>
    <sheetView zoomScalePageLayoutView="0" workbookViewId="0" topLeftCell="A1">
      <pane xSplit="2" ySplit="7" topLeftCell="C7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76" sqref="A76:C76"/>
    </sheetView>
  </sheetViews>
  <sheetFormatPr defaultColWidth="11.421875" defaultRowHeight="12.75"/>
  <cols>
    <col min="1" max="1" width="15.00390625" style="0" customWidth="1"/>
    <col min="2" max="2" width="18.00390625" style="0" customWidth="1"/>
    <col min="3" max="3" width="36.00390625" style="0" customWidth="1"/>
    <col min="4" max="4" width="14.8515625" style="0" customWidth="1"/>
    <col min="5" max="5" width="12.57421875" style="0" customWidth="1"/>
    <col min="6" max="6" width="12.00390625" style="0" customWidth="1"/>
    <col min="7" max="7" width="14.00390625" style="0" customWidth="1"/>
    <col min="8" max="8" width="12.140625" style="0" customWidth="1"/>
    <col min="9" max="9" width="12.00390625" style="0" customWidth="1"/>
    <col min="10" max="10" width="14.421875" style="0" customWidth="1"/>
    <col min="11" max="11" width="13.57421875" style="0" customWidth="1"/>
    <col min="12" max="12" width="12.00390625" style="0" customWidth="1"/>
    <col min="13" max="13" width="12.7109375" style="0" bestFit="1" customWidth="1"/>
    <col min="14" max="14" width="16.57421875" style="0" bestFit="1" customWidth="1"/>
  </cols>
  <sheetData>
    <row r="2" spans="1:12" ht="12.75">
      <c r="A2" s="75" t="s">
        <v>103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12.75">
      <c r="A3" s="75" t="s">
        <v>105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12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2.75">
      <c r="A5" s="66" t="s">
        <v>0</v>
      </c>
      <c r="B5" s="71" t="s">
        <v>1</v>
      </c>
      <c r="C5" s="71" t="s">
        <v>2</v>
      </c>
      <c r="D5" s="66" t="s">
        <v>89</v>
      </c>
      <c r="E5" s="70" t="s">
        <v>96</v>
      </c>
      <c r="F5" s="70"/>
      <c r="G5" s="70"/>
      <c r="H5" s="70"/>
      <c r="I5" s="70"/>
      <c r="J5" s="70"/>
      <c r="K5" s="70"/>
      <c r="L5" s="70"/>
    </row>
    <row r="6" spans="1:12" ht="12.75">
      <c r="A6" s="66"/>
      <c r="B6" s="71"/>
      <c r="C6" s="71"/>
      <c r="D6" s="66"/>
      <c r="E6" s="70" t="s">
        <v>101</v>
      </c>
      <c r="F6" s="70"/>
      <c r="G6" s="70"/>
      <c r="H6" s="70"/>
      <c r="I6" s="70"/>
      <c r="J6" s="70"/>
      <c r="K6" s="70"/>
      <c r="L6" s="70"/>
    </row>
    <row r="7" spans="1:12" ht="25.5">
      <c r="A7" s="66"/>
      <c r="B7" s="71"/>
      <c r="C7" s="71"/>
      <c r="D7" s="66"/>
      <c r="E7" s="30" t="s">
        <v>99</v>
      </c>
      <c r="F7" s="30" t="s">
        <v>91</v>
      </c>
      <c r="G7" s="30" t="s">
        <v>90</v>
      </c>
      <c r="H7" s="31" t="s">
        <v>98</v>
      </c>
      <c r="I7" s="30" t="s">
        <v>92</v>
      </c>
      <c r="J7" s="30" t="s">
        <v>93</v>
      </c>
      <c r="K7" s="30" t="s">
        <v>95</v>
      </c>
      <c r="L7" s="30" t="s">
        <v>94</v>
      </c>
    </row>
    <row r="8" spans="1:14" ht="33.75" customHeight="1">
      <c r="A8" s="77" t="s">
        <v>86</v>
      </c>
      <c r="B8" s="80" t="s">
        <v>3</v>
      </c>
      <c r="C8" s="5" t="s">
        <v>18</v>
      </c>
      <c r="D8" s="32">
        <f>SUM(E8:L8)</f>
        <v>100000000</v>
      </c>
      <c r="E8" s="33"/>
      <c r="F8" s="33"/>
      <c r="G8" s="32"/>
      <c r="H8" s="33"/>
      <c r="I8" s="32">
        <v>100000000</v>
      </c>
      <c r="J8" s="33"/>
      <c r="K8" s="33"/>
      <c r="L8" s="33"/>
      <c r="M8" s="16"/>
      <c r="N8" s="15"/>
    </row>
    <row r="9" spans="1:12" ht="45" customHeight="1">
      <c r="A9" s="78"/>
      <c r="B9" s="66"/>
      <c r="C9" s="1" t="s">
        <v>19</v>
      </c>
      <c r="D9" s="32">
        <f>SUM(E9:L9)</f>
        <v>20000000</v>
      </c>
      <c r="E9" s="33"/>
      <c r="F9" s="33"/>
      <c r="G9" s="33"/>
      <c r="H9" s="33"/>
      <c r="I9" s="32">
        <v>20000000</v>
      </c>
      <c r="J9" s="33"/>
      <c r="K9" s="33"/>
      <c r="L9" s="33"/>
    </row>
    <row r="10" spans="1:12" ht="33" customHeight="1">
      <c r="A10" s="78"/>
      <c r="B10" s="66"/>
      <c r="C10" s="1" t="s">
        <v>20</v>
      </c>
      <c r="D10" s="32">
        <f>SUM(E10:L10)</f>
        <v>60870617.6</v>
      </c>
      <c r="E10" s="33"/>
      <c r="F10" s="33"/>
      <c r="G10" s="9">
        <f>58529440*1.04</f>
        <v>60870617.6</v>
      </c>
      <c r="H10" s="33"/>
      <c r="I10" s="33"/>
      <c r="J10" s="33"/>
      <c r="K10" s="33"/>
      <c r="L10" s="33"/>
    </row>
    <row r="11" spans="1:12" ht="45.75" customHeight="1">
      <c r="A11" s="78"/>
      <c r="B11" s="66"/>
      <c r="C11" s="1" t="s">
        <v>21</v>
      </c>
      <c r="D11" s="32">
        <f>SUM(E11:L11)</f>
        <v>100000000</v>
      </c>
      <c r="E11" s="33"/>
      <c r="F11" s="33"/>
      <c r="G11" s="32">
        <v>40000000</v>
      </c>
      <c r="H11" s="33"/>
      <c r="I11" s="32">
        <v>20000000</v>
      </c>
      <c r="J11" s="32">
        <v>40000000</v>
      </c>
      <c r="K11" s="32"/>
      <c r="L11" s="33"/>
    </row>
    <row r="12" spans="1:12" ht="30" customHeight="1">
      <c r="A12" s="78"/>
      <c r="B12" s="66"/>
      <c r="C12" s="1" t="s">
        <v>22</v>
      </c>
      <c r="D12" s="32">
        <f>SUM(E12:L12)</f>
        <v>2072990474.8</v>
      </c>
      <c r="E12" s="33"/>
      <c r="F12" s="32">
        <v>10000000</v>
      </c>
      <c r="G12" s="9">
        <f>908357912*1.04</f>
        <v>944692228.48</v>
      </c>
      <c r="H12" s="32">
        <f>605840596*1.04</f>
        <v>630074219.84</v>
      </c>
      <c r="I12" s="32">
        <v>200000000</v>
      </c>
      <c r="J12" s="11">
        <f>223912853*1.04</f>
        <v>232869367.12</v>
      </c>
      <c r="K12" s="11">
        <f>(4147452+49078182)*1.04</f>
        <v>55354659.36</v>
      </c>
      <c r="L12" s="33"/>
    </row>
    <row r="13" spans="1:12" ht="31.5" customHeight="1">
      <c r="A13" s="78"/>
      <c r="B13" s="66"/>
      <c r="C13" s="1" t="s">
        <v>23</v>
      </c>
      <c r="D13" s="32">
        <f aca="true" t="shared" si="0" ref="D13:D73">SUM(E13:L13)</f>
        <v>166713827.28</v>
      </c>
      <c r="E13" s="33"/>
      <c r="F13" s="33"/>
      <c r="G13" s="32">
        <f>160301757*1.04</f>
        <v>166713827.28</v>
      </c>
      <c r="H13" s="33"/>
      <c r="I13" s="33"/>
      <c r="J13" s="33"/>
      <c r="K13" s="33"/>
      <c r="L13" s="33"/>
    </row>
    <row r="14" spans="1:14" ht="48.75" customHeight="1">
      <c r="A14" s="78"/>
      <c r="B14" s="66" t="s">
        <v>24</v>
      </c>
      <c r="C14" s="1" t="s">
        <v>25</v>
      </c>
      <c r="D14" s="32">
        <f t="shared" si="0"/>
        <v>66640000</v>
      </c>
      <c r="E14" s="33"/>
      <c r="F14" s="33"/>
      <c r="G14" s="32">
        <f>16000000*1.04</f>
        <v>16640000</v>
      </c>
      <c r="H14" s="33"/>
      <c r="I14" s="32"/>
      <c r="J14" s="32">
        <v>50000000</v>
      </c>
      <c r="K14" s="33"/>
      <c r="L14" s="33"/>
      <c r="M14" s="16"/>
      <c r="N14" s="15"/>
    </row>
    <row r="15" spans="1:12" ht="31.5" customHeight="1">
      <c r="A15" s="78"/>
      <c r="B15" s="66"/>
      <c r="C15" s="1" t="s">
        <v>26</v>
      </c>
      <c r="D15" s="32">
        <f t="shared" si="0"/>
        <v>130400000</v>
      </c>
      <c r="E15" s="33"/>
      <c r="F15" s="33"/>
      <c r="G15" s="11">
        <f>10000000*1.04</f>
        <v>10400000</v>
      </c>
      <c r="H15" s="33"/>
      <c r="I15" s="32"/>
      <c r="J15" s="32">
        <v>120000000</v>
      </c>
      <c r="K15" s="33"/>
      <c r="L15" s="33"/>
    </row>
    <row r="16" spans="1:12" ht="31.5" customHeight="1">
      <c r="A16" s="78"/>
      <c r="B16" s="66"/>
      <c r="C16" s="1" t="s">
        <v>27</v>
      </c>
      <c r="D16" s="32">
        <f t="shared" si="0"/>
        <v>56240000</v>
      </c>
      <c r="E16" s="33"/>
      <c r="F16" s="33"/>
      <c r="G16" s="11">
        <f>6000000*1.04</f>
        <v>6240000</v>
      </c>
      <c r="H16" s="33"/>
      <c r="I16" s="32"/>
      <c r="J16" s="32">
        <v>50000000</v>
      </c>
      <c r="K16" s="33"/>
      <c r="L16" s="33"/>
    </row>
    <row r="17" spans="1:12" ht="33" customHeight="1">
      <c r="A17" s="78"/>
      <c r="B17" s="66"/>
      <c r="C17" s="1" t="s">
        <v>28</v>
      </c>
      <c r="D17" s="32">
        <f t="shared" si="0"/>
        <v>34589217.76</v>
      </c>
      <c r="E17" s="33"/>
      <c r="F17" s="33"/>
      <c r="G17" s="11">
        <f>14028094*1.04</f>
        <v>14589217.76</v>
      </c>
      <c r="H17" s="33"/>
      <c r="I17" s="32">
        <v>20000000</v>
      </c>
      <c r="J17" s="33"/>
      <c r="K17" s="33"/>
      <c r="L17" s="33"/>
    </row>
    <row r="18" spans="1:12" ht="32.25" customHeight="1">
      <c r="A18" s="78"/>
      <c r="B18" s="66"/>
      <c r="C18" s="1" t="s">
        <v>31</v>
      </c>
      <c r="D18" s="32">
        <f t="shared" si="0"/>
        <v>39687609.52</v>
      </c>
      <c r="E18" s="33"/>
      <c r="F18" s="33"/>
      <c r="G18" s="9">
        <f>38161163*1.04</f>
        <v>39687609.52</v>
      </c>
      <c r="H18" s="33"/>
      <c r="I18" s="33"/>
      <c r="J18" s="33"/>
      <c r="K18" s="33"/>
      <c r="L18" s="33"/>
    </row>
    <row r="19" spans="1:12" ht="30" customHeight="1">
      <c r="A19" s="78"/>
      <c r="B19" s="66"/>
      <c r="C19" s="2" t="s">
        <v>85</v>
      </c>
      <c r="D19" s="32">
        <f t="shared" si="0"/>
        <v>302080000</v>
      </c>
      <c r="E19" s="33"/>
      <c r="F19" s="33"/>
      <c r="G19" s="32">
        <f>2000000*1.04</f>
        <v>2080000</v>
      </c>
      <c r="H19" s="33"/>
      <c r="I19" s="32">
        <v>150000000</v>
      </c>
      <c r="J19" s="32">
        <v>150000000</v>
      </c>
      <c r="K19" s="33"/>
      <c r="L19" s="33"/>
    </row>
    <row r="20" spans="1:12" ht="29.25" customHeight="1">
      <c r="A20" s="78"/>
      <c r="B20" s="66"/>
      <c r="C20" s="1" t="s">
        <v>100</v>
      </c>
      <c r="D20" s="32">
        <f t="shared" si="0"/>
        <v>62400000</v>
      </c>
      <c r="E20" s="33"/>
      <c r="F20" s="33"/>
      <c r="G20" s="32">
        <f>60000000*1.04</f>
        <v>62400000</v>
      </c>
      <c r="H20" s="33"/>
      <c r="I20" s="33"/>
      <c r="J20" s="33"/>
      <c r="K20" s="33"/>
      <c r="L20" s="33"/>
    </row>
    <row r="21" spans="1:12" ht="32.25" customHeight="1">
      <c r="A21" s="78"/>
      <c r="B21" s="66"/>
      <c r="C21" s="1" t="s">
        <v>30</v>
      </c>
      <c r="D21" s="32">
        <f t="shared" si="0"/>
        <v>5250000</v>
      </c>
      <c r="E21" s="32">
        <f>5000000*1.05</f>
        <v>5250000</v>
      </c>
      <c r="F21" s="33"/>
      <c r="G21" s="33"/>
      <c r="H21" s="33"/>
      <c r="I21" s="33"/>
      <c r="J21" s="33"/>
      <c r="K21" s="33"/>
      <c r="L21" s="33"/>
    </row>
    <row r="22" spans="1:12" ht="46.5" customHeight="1">
      <c r="A22" s="78"/>
      <c r="B22" s="66"/>
      <c r="C22" s="1" t="s">
        <v>32</v>
      </c>
      <c r="D22" s="32">
        <f t="shared" si="0"/>
        <v>6240000</v>
      </c>
      <c r="E22" s="33"/>
      <c r="F22" s="33"/>
      <c r="G22" s="32">
        <f>6000000*1.04</f>
        <v>6240000</v>
      </c>
      <c r="H22" s="33"/>
      <c r="I22" s="33"/>
      <c r="J22" s="33"/>
      <c r="K22" s="33"/>
      <c r="L22" s="33"/>
    </row>
    <row r="23" spans="1:12" ht="34.5" customHeight="1">
      <c r="A23" s="78"/>
      <c r="B23" s="66"/>
      <c r="C23" s="1" t="s">
        <v>33</v>
      </c>
      <c r="D23" s="32">
        <f t="shared" si="0"/>
        <v>4160000</v>
      </c>
      <c r="E23" s="32"/>
      <c r="F23" s="33"/>
      <c r="G23" s="35">
        <f>4000000*1.04</f>
        <v>4160000</v>
      </c>
      <c r="H23" s="33"/>
      <c r="I23" s="33"/>
      <c r="J23" s="33"/>
      <c r="K23" s="33"/>
      <c r="L23" s="33"/>
    </row>
    <row r="24" spans="1:12" ht="32.25" customHeight="1">
      <c r="A24" s="78"/>
      <c r="B24" s="66"/>
      <c r="C24" s="1" t="s">
        <v>34</v>
      </c>
      <c r="D24" s="32">
        <f t="shared" si="0"/>
        <v>20000000</v>
      </c>
      <c r="E24" s="33"/>
      <c r="F24" s="33"/>
      <c r="G24" s="33"/>
      <c r="H24" s="33"/>
      <c r="I24" s="32">
        <v>20000000</v>
      </c>
      <c r="J24" s="33"/>
      <c r="K24" s="33"/>
      <c r="L24" s="33"/>
    </row>
    <row r="25" spans="1:14" ht="38.25" customHeight="1">
      <c r="A25" s="78"/>
      <c r="B25" s="66" t="s">
        <v>4</v>
      </c>
      <c r="C25" s="1" t="s">
        <v>35</v>
      </c>
      <c r="D25" s="32">
        <f t="shared" si="0"/>
        <v>0</v>
      </c>
      <c r="E25" s="33"/>
      <c r="F25" s="33"/>
      <c r="G25" s="33"/>
      <c r="H25" s="33"/>
      <c r="I25" s="33"/>
      <c r="J25" s="33"/>
      <c r="K25" s="33"/>
      <c r="L25" s="33"/>
      <c r="M25" s="16"/>
      <c r="N25" s="15"/>
    </row>
    <row r="26" spans="1:12" ht="48" customHeight="1">
      <c r="A26" s="78"/>
      <c r="B26" s="66"/>
      <c r="C26" s="1" t="s">
        <v>36</v>
      </c>
      <c r="D26" s="32">
        <f t="shared" si="0"/>
        <v>140318963.2</v>
      </c>
      <c r="E26" s="33"/>
      <c r="F26" s="33"/>
      <c r="G26" s="11">
        <f>9922080*1.04</f>
        <v>10318963.200000001</v>
      </c>
      <c r="H26" s="33"/>
      <c r="I26" s="33"/>
      <c r="J26" s="32">
        <v>130000000</v>
      </c>
      <c r="K26" s="32"/>
      <c r="L26" s="33"/>
    </row>
    <row r="27" spans="1:12" ht="32.25" customHeight="1">
      <c r="A27" s="78"/>
      <c r="B27" s="66"/>
      <c r="C27" s="1" t="s">
        <v>37</v>
      </c>
      <c r="D27" s="32">
        <f t="shared" si="0"/>
        <v>6246113.12</v>
      </c>
      <c r="E27" s="33"/>
      <c r="F27" s="33"/>
      <c r="G27" s="11">
        <f>6005878*1.04</f>
        <v>6246113.12</v>
      </c>
      <c r="H27" s="33"/>
      <c r="I27" s="33"/>
      <c r="J27" s="33"/>
      <c r="K27" s="33"/>
      <c r="L27" s="33"/>
    </row>
    <row r="28" spans="1:12" ht="33.75" customHeight="1">
      <c r="A28" s="78"/>
      <c r="B28" s="66"/>
      <c r="C28" s="1" t="s">
        <v>38</v>
      </c>
      <c r="D28" s="32">
        <f t="shared" si="0"/>
        <v>2654064.4</v>
      </c>
      <c r="E28" s="33"/>
      <c r="F28" s="33"/>
      <c r="G28" s="11">
        <f>2551985*1.04</f>
        <v>2654064.4</v>
      </c>
      <c r="H28" s="33"/>
      <c r="I28" s="33"/>
      <c r="J28" s="33"/>
      <c r="K28" s="33"/>
      <c r="L28" s="33"/>
    </row>
    <row r="29" spans="1:12" ht="60" customHeight="1">
      <c r="A29" s="78"/>
      <c r="B29" s="66"/>
      <c r="C29" s="1" t="s">
        <v>39</v>
      </c>
      <c r="D29" s="32">
        <f t="shared" si="0"/>
        <v>18088482.88</v>
      </c>
      <c r="E29" s="33"/>
      <c r="F29" s="32"/>
      <c r="G29" s="32">
        <f>17392772*1.04</f>
        <v>18088482.88</v>
      </c>
      <c r="H29" s="33"/>
      <c r="I29" s="33"/>
      <c r="J29" s="33"/>
      <c r="K29" s="33"/>
      <c r="L29" s="33"/>
    </row>
    <row r="30" spans="1:14" ht="47.25" customHeight="1">
      <c r="A30" s="78"/>
      <c r="B30" s="66" t="s">
        <v>5</v>
      </c>
      <c r="C30" s="1" t="s">
        <v>40</v>
      </c>
      <c r="D30" s="32">
        <f t="shared" si="0"/>
        <v>0</v>
      </c>
      <c r="E30" s="33"/>
      <c r="F30" s="33"/>
      <c r="G30" s="33"/>
      <c r="H30" s="33"/>
      <c r="I30" s="33"/>
      <c r="J30" s="33"/>
      <c r="K30" s="62"/>
      <c r="L30" s="33"/>
      <c r="M30" s="16"/>
      <c r="N30" s="15"/>
    </row>
    <row r="31" spans="1:12" ht="60.75" customHeight="1">
      <c r="A31" s="78"/>
      <c r="B31" s="66"/>
      <c r="C31" s="1" t="s">
        <v>41</v>
      </c>
      <c r="D31" s="32">
        <f t="shared" si="0"/>
        <v>10400000</v>
      </c>
      <c r="E31" s="33"/>
      <c r="F31" s="33"/>
      <c r="G31" s="11">
        <f>10000000*1.04</f>
        <v>10400000</v>
      </c>
      <c r="H31" s="33"/>
      <c r="I31" s="33"/>
      <c r="J31" s="33"/>
      <c r="K31" s="62"/>
      <c r="L31" s="33"/>
    </row>
    <row r="32" spans="1:12" ht="46.5" customHeight="1">
      <c r="A32" s="78"/>
      <c r="B32" s="66"/>
      <c r="C32" s="1" t="s">
        <v>42</v>
      </c>
      <c r="D32" s="32">
        <f t="shared" si="0"/>
        <v>71580717.44</v>
      </c>
      <c r="E32" s="33"/>
      <c r="F32" s="32">
        <v>14000000</v>
      </c>
      <c r="G32" s="11">
        <f>16904536*1.04</f>
        <v>17580717.44</v>
      </c>
      <c r="H32" s="33"/>
      <c r="I32" s="33"/>
      <c r="J32" s="33"/>
      <c r="K32" s="32">
        <v>40000000</v>
      </c>
      <c r="L32" s="33"/>
    </row>
    <row r="33" spans="1:12" ht="32.25" customHeight="1">
      <c r="A33" s="78"/>
      <c r="B33" s="66" t="s">
        <v>6</v>
      </c>
      <c r="C33" s="64" t="s">
        <v>82</v>
      </c>
      <c r="D33" s="32">
        <f>SUM(E33:L33)</f>
        <v>1630869101.12</v>
      </c>
      <c r="E33" s="33"/>
      <c r="F33" s="33"/>
      <c r="G33" s="12">
        <f>29681828*1.04</f>
        <v>30869101.12</v>
      </c>
      <c r="H33" s="33"/>
      <c r="I33" s="33"/>
      <c r="J33" s="32">
        <f>100*6000000</f>
        <v>600000000</v>
      </c>
      <c r="K33" s="32">
        <f>100*9000000</f>
        <v>900000000</v>
      </c>
      <c r="L33" s="32">
        <v>100000000</v>
      </c>
    </row>
    <row r="34" spans="1:12" ht="43.5" customHeight="1">
      <c r="A34" s="78"/>
      <c r="B34" s="66"/>
      <c r="C34" s="1" t="s">
        <v>43</v>
      </c>
      <c r="D34" s="32">
        <f>SUM(E34:L34)</f>
        <v>151775000</v>
      </c>
      <c r="E34" s="11"/>
      <c r="F34" s="33"/>
      <c r="G34" s="32">
        <f>35000000*1.04</f>
        <v>36400000</v>
      </c>
      <c r="H34" s="32"/>
      <c r="I34" s="33"/>
      <c r="J34" s="33"/>
      <c r="K34" s="32">
        <f>461500*10*25</f>
        <v>115375000</v>
      </c>
      <c r="L34" s="33"/>
    </row>
    <row r="35" spans="1:12" ht="33.75" customHeight="1">
      <c r="A35" s="78"/>
      <c r="B35" s="66" t="s">
        <v>7</v>
      </c>
      <c r="C35" s="1" t="s">
        <v>45</v>
      </c>
      <c r="D35" s="32">
        <f t="shared" si="0"/>
        <v>5200000</v>
      </c>
      <c r="E35" s="32"/>
      <c r="F35" s="32"/>
      <c r="G35" s="32">
        <f>5000000*1.04</f>
        <v>5200000</v>
      </c>
      <c r="H35" s="33"/>
      <c r="I35" s="33"/>
      <c r="J35" s="33"/>
      <c r="K35" s="33"/>
      <c r="L35" s="33"/>
    </row>
    <row r="36" spans="1:12" ht="33.75" customHeight="1">
      <c r="A36" s="78"/>
      <c r="B36" s="66"/>
      <c r="C36" s="1" t="s">
        <v>46</v>
      </c>
      <c r="D36" s="32">
        <f t="shared" si="0"/>
        <v>31350000</v>
      </c>
      <c r="E36" s="32">
        <f>15000000*1.05</f>
        <v>15750000</v>
      </c>
      <c r="F36" s="32"/>
      <c r="G36" s="32">
        <f>15000000*1.04</f>
        <v>15600000</v>
      </c>
      <c r="H36" s="33"/>
      <c r="I36" s="33"/>
      <c r="J36" s="33"/>
      <c r="K36" s="33"/>
      <c r="L36" s="33"/>
    </row>
    <row r="37" spans="1:12" ht="34.5" customHeight="1">
      <c r="A37" s="78"/>
      <c r="B37" s="66"/>
      <c r="C37" s="1" t="s">
        <v>47</v>
      </c>
      <c r="D37" s="32">
        <f t="shared" si="0"/>
        <v>5200000</v>
      </c>
      <c r="E37" s="32"/>
      <c r="F37" s="32"/>
      <c r="G37" s="32">
        <f>5000000*1.04</f>
        <v>5200000</v>
      </c>
      <c r="H37" s="33"/>
      <c r="I37" s="33"/>
      <c r="J37" s="33"/>
      <c r="K37" s="33"/>
      <c r="L37" s="33"/>
    </row>
    <row r="38" spans="1:12" ht="33" customHeight="1">
      <c r="A38" s="78"/>
      <c r="B38" s="66"/>
      <c r="C38" s="1" t="s">
        <v>48</v>
      </c>
      <c r="D38" s="32">
        <f t="shared" si="0"/>
        <v>6290000</v>
      </c>
      <c r="E38" s="32">
        <f>5000000*1.05</f>
        <v>5250000</v>
      </c>
      <c r="F38" s="32"/>
      <c r="G38" s="32">
        <f>1000000*1.04</f>
        <v>1040000</v>
      </c>
      <c r="H38" s="33"/>
      <c r="I38" s="33"/>
      <c r="J38" s="33"/>
      <c r="K38" s="33"/>
      <c r="L38" s="33"/>
    </row>
    <row r="39" spans="1:12" ht="33.75" customHeight="1">
      <c r="A39" s="79"/>
      <c r="B39" s="66"/>
      <c r="C39" s="2" t="s">
        <v>44</v>
      </c>
      <c r="D39" s="32">
        <f t="shared" si="0"/>
        <v>5200000</v>
      </c>
      <c r="E39" s="32"/>
      <c r="F39" s="32"/>
      <c r="G39" s="32">
        <f>5000000*1.04</f>
        <v>5200000</v>
      </c>
      <c r="H39" s="33"/>
      <c r="I39" s="33"/>
      <c r="J39" s="33"/>
      <c r="K39" s="33"/>
      <c r="L39" s="33"/>
    </row>
    <row r="40" spans="1:14" ht="33.75" customHeight="1">
      <c r="A40" s="72" t="s">
        <v>87</v>
      </c>
      <c r="B40" s="81" t="s">
        <v>8</v>
      </c>
      <c r="C40" s="1" t="s">
        <v>49</v>
      </c>
      <c r="D40" s="32">
        <f t="shared" si="0"/>
        <v>166400000</v>
      </c>
      <c r="E40" s="32"/>
      <c r="F40" s="32"/>
      <c r="G40" s="32">
        <f>160000000*1.04</f>
        <v>166400000</v>
      </c>
      <c r="H40" s="33"/>
      <c r="I40" s="33"/>
      <c r="J40" s="33"/>
      <c r="K40" s="33"/>
      <c r="L40" s="33"/>
      <c r="M40" s="13"/>
      <c r="N40" s="15"/>
    </row>
    <row r="41" spans="1:12" ht="63.75" customHeight="1">
      <c r="A41" s="73"/>
      <c r="B41" s="82"/>
      <c r="C41" s="2" t="s">
        <v>83</v>
      </c>
      <c r="D41" s="32">
        <f t="shared" si="0"/>
        <v>155238160.64</v>
      </c>
      <c r="E41" s="33"/>
      <c r="F41" s="33"/>
      <c r="G41" s="32">
        <f>53113616*1.04</f>
        <v>55238160.64</v>
      </c>
      <c r="H41" s="33"/>
      <c r="I41" s="32"/>
      <c r="J41" s="32">
        <v>100000000</v>
      </c>
      <c r="K41" s="33"/>
      <c r="L41" s="33"/>
    </row>
    <row r="42" spans="1:12" ht="65.25" customHeight="1">
      <c r="A42" s="73"/>
      <c r="B42" s="82"/>
      <c r="C42" s="1" t="s">
        <v>84</v>
      </c>
      <c r="D42" s="32">
        <f t="shared" si="0"/>
        <v>560438160.64</v>
      </c>
      <c r="E42" s="33"/>
      <c r="F42" s="33"/>
      <c r="G42" s="32">
        <f>58113616*1.04</f>
        <v>60438160.64</v>
      </c>
      <c r="H42" s="33"/>
      <c r="I42" s="32"/>
      <c r="J42" s="33"/>
      <c r="K42" s="32">
        <v>500000000</v>
      </c>
      <c r="L42" s="33"/>
    </row>
    <row r="43" spans="1:12" ht="48" customHeight="1">
      <c r="A43" s="73"/>
      <c r="B43" s="82"/>
      <c r="C43" s="1" t="s">
        <v>50</v>
      </c>
      <c r="D43" s="32">
        <f t="shared" si="0"/>
        <v>85600000</v>
      </c>
      <c r="E43" s="33"/>
      <c r="F43" s="33"/>
      <c r="G43" s="32">
        <f>15000000*1.04</f>
        <v>15600000</v>
      </c>
      <c r="H43" s="33"/>
      <c r="I43" s="32">
        <v>70000000</v>
      </c>
      <c r="J43" s="33"/>
      <c r="K43" s="33"/>
      <c r="L43" s="33"/>
    </row>
    <row r="44" spans="1:12" ht="46.5" customHeight="1">
      <c r="A44" s="73"/>
      <c r="B44" s="82"/>
      <c r="C44" s="1" t="s">
        <v>51</v>
      </c>
      <c r="D44" s="32">
        <f t="shared" si="0"/>
        <v>36400000</v>
      </c>
      <c r="E44" s="33"/>
      <c r="F44" s="33"/>
      <c r="G44" s="32">
        <f>35000000*1.04</f>
        <v>36400000</v>
      </c>
      <c r="H44" s="33"/>
      <c r="I44" s="33"/>
      <c r="J44" s="33"/>
      <c r="K44" s="33"/>
      <c r="L44" s="33"/>
    </row>
    <row r="45" spans="1:12" ht="33.75" customHeight="1">
      <c r="A45" s="73"/>
      <c r="B45" s="82"/>
      <c r="C45" s="1" t="s">
        <v>52</v>
      </c>
      <c r="D45" s="32">
        <f t="shared" si="0"/>
        <v>15400000</v>
      </c>
      <c r="E45" s="32"/>
      <c r="F45" s="32">
        <v>5000000</v>
      </c>
      <c r="G45" s="32">
        <f>10000000*1.04</f>
        <v>10400000</v>
      </c>
      <c r="H45" s="33"/>
      <c r="I45" s="33"/>
      <c r="J45" s="33"/>
      <c r="K45" s="33"/>
      <c r="L45" s="33"/>
    </row>
    <row r="46" spans="1:12" ht="35.25" customHeight="1">
      <c r="A46" s="73"/>
      <c r="B46" s="82"/>
      <c r="C46" s="1" t="s">
        <v>53</v>
      </c>
      <c r="D46" s="32">
        <f t="shared" si="0"/>
        <v>20800000</v>
      </c>
      <c r="E46" s="33"/>
      <c r="F46" s="33"/>
      <c r="G46" s="32">
        <f>20000000*1.04</f>
        <v>20800000</v>
      </c>
      <c r="H46" s="33"/>
      <c r="I46" s="33"/>
      <c r="J46" s="33"/>
      <c r="K46" s="33"/>
      <c r="L46" s="33"/>
    </row>
    <row r="47" spans="1:12" ht="36" customHeight="1">
      <c r="A47" s="73"/>
      <c r="B47" s="82"/>
      <c r="C47" s="1" t="s">
        <v>54</v>
      </c>
      <c r="D47" s="32">
        <f t="shared" si="0"/>
        <v>95750000</v>
      </c>
      <c r="E47" s="32">
        <f>15000000*1.05</f>
        <v>15750000</v>
      </c>
      <c r="F47" s="32">
        <f>80000000</f>
        <v>80000000</v>
      </c>
      <c r="G47" s="33"/>
      <c r="H47" s="33"/>
      <c r="I47" s="33"/>
      <c r="J47" s="33"/>
      <c r="K47" s="33"/>
      <c r="L47" s="33"/>
    </row>
    <row r="48" spans="1:12" ht="16.5" customHeight="1">
      <c r="A48" s="73"/>
      <c r="B48" s="80"/>
      <c r="C48" s="65" t="s">
        <v>120</v>
      </c>
      <c r="D48" s="32">
        <f>L48</f>
        <v>100000000</v>
      </c>
      <c r="E48" s="32"/>
      <c r="F48" s="32"/>
      <c r="G48" s="33"/>
      <c r="H48" s="33"/>
      <c r="I48" s="33"/>
      <c r="J48" s="33"/>
      <c r="K48" s="33"/>
      <c r="L48" s="32">
        <v>100000000</v>
      </c>
    </row>
    <row r="49" spans="1:12" ht="48" customHeight="1">
      <c r="A49" s="73"/>
      <c r="B49" s="66" t="s">
        <v>9</v>
      </c>
      <c r="C49" s="1" t="s">
        <v>55</v>
      </c>
      <c r="D49" s="32">
        <f t="shared" si="0"/>
        <v>21840000</v>
      </c>
      <c r="E49" s="33"/>
      <c r="F49" s="33"/>
      <c r="G49" s="32">
        <f>21000000*1.04</f>
        <v>21840000</v>
      </c>
      <c r="H49" s="33"/>
      <c r="I49" s="33"/>
      <c r="J49" s="33"/>
      <c r="K49" s="33"/>
      <c r="L49" s="33"/>
    </row>
    <row r="50" spans="1:12" ht="49.5" customHeight="1">
      <c r="A50" s="73"/>
      <c r="B50" s="66"/>
      <c r="C50" s="1" t="s">
        <v>56</v>
      </c>
      <c r="D50" s="32">
        <f t="shared" si="0"/>
        <v>20800000</v>
      </c>
      <c r="E50" s="33"/>
      <c r="F50" s="33"/>
      <c r="G50" s="32">
        <f>20000000*1.04</f>
        <v>20800000</v>
      </c>
      <c r="H50" s="33"/>
      <c r="I50" s="33"/>
      <c r="J50" s="33"/>
      <c r="K50" s="33"/>
      <c r="L50" s="33"/>
    </row>
    <row r="51" spans="1:12" ht="48.75" customHeight="1">
      <c r="A51" s="73"/>
      <c r="B51" s="66"/>
      <c r="C51" s="1" t="s">
        <v>57</v>
      </c>
      <c r="D51" s="32">
        <f t="shared" si="0"/>
        <v>10400000</v>
      </c>
      <c r="E51" s="33"/>
      <c r="F51" s="33"/>
      <c r="G51" s="32">
        <f>10000000*1.04</f>
        <v>10400000</v>
      </c>
      <c r="H51" s="33"/>
      <c r="I51" s="33"/>
      <c r="J51" s="33"/>
      <c r="K51" s="33"/>
      <c r="L51" s="33"/>
    </row>
    <row r="52" spans="1:12" ht="48.75" customHeight="1">
      <c r="A52" s="73"/>
      <c r="B52" s="66" t="s">
        <v>10</v>
      </c>
      <c r="C52" s="1" t="s">
        <v>58</v>
      </c>
      <c r="D52" s="32">
        <f t="shared" si="0"/>
        <v>182500944.07999998</v>
      </c>
      <c r="E52" s="29"/>
      <c r="F52" s="33"/>
      <c r="G52" s="11">
        <f>50481677*1.04</f>
        <v>52500944.08</v>
      </c>
      <c r="H52" s="32"/>
      <c r="I52" s="33"/>
      <c r="J52" s="33"/>
      <c r="K52" s="32">
        <v>130000000</v>
      </c>
      <c r="L52" s="33"/>
    </row>
    <row r="53" spans="1:12" ht="37.5" customHeight="1">
      <c r="A53" s="73"/>
      <c r="B53" s="66"/>
      <c r="C53" s="2" t="s">
        <v>59</v>
      </c>
      <c r="D53" s="32">
        <f t="shared" si="0"/>
        <v>46000000</v>
      </c>
      <c r="E53" s="29"/>
      <c r="F53" s="11">
        <v>20000000</v>
      </c>
      <c r="G53" s="32">
        <f>25000000*1.04</f>
        <v>26000000</v>
      </c>
      <c r="H53" s="33"/>
      <c r="I53" s="33"/>
      <c r="J53" s="33"/>
      <c r="K53" s="33"/>
      <c r="L53" s="33"/>
    </row>
    <row r="54" spans="1:12" ht="45" customHeight="1">
      <c r="A54" s="73"/>
      <c r="B54" s="66" t="s">
        <v>11</v>
      </c>
      <c r="C54" s="1" t="s">
        <v>61</v>
      </c>
      <c r="D54" s="32">
        <f t="shared" si="0"/>
        <v>15600000</v>
      </c>
      <c r="E54" s="33"/>
      <c r="F54" s="33"/>
      <c r="G54" s="32">
        <f>15000000*1.04</f>
        <v>15600000</v>
      </c>
      <c r="H54" s="33"/>
      <c r="I54" s="33"/>
      <c r="J54" s="33"/>
      <c r="K54" s="33"/>
      <c r="L54" s="33"/>
    </row>
    <row r="55" spans="1:12" ht="48.75" customHeight="1">
      <c r="A55" s="73"/>
      <c r="B55" s="66"/>
      <c r="C55" s="1" t="s">
        <v>62</v>
      </c>
      <c r="D55" s="32">
        <f t="shared" si="0"/>
        <v>22480000</v>
      </c>
      <c r="E55" s="33"/>
      <c r="F55" s="33"/>
      <c r="G55" s="32">
        <f>12000000*1.04</f>
        <v>12480000</v>
      </c>
      <c r="H55" s="33"/>
      <c r="I55" s="33"/>
      <c r="J55" s="33"/>
      <c r="K55" s="32">
        <v>10000000</v>
      </c>
      <c r="L55" s="33"/>
    </row>
    <row r="56" spans="1:12" ht="20.25" customHeight="1">
      <c r="A56" s="73"/>
      <c r="B56" s="66"/>
      <c r="C56" s="1" t="s">
        <v>63</v>
      </c>
      <c r="D56" s="32">
        <f t="shared" si="0"/>
        <v>2080000</v>
      </c>
      <c r="E56" s="33"/>
      <c r="F56" s="33"/>
      <c r="G56" s="32">
        <f>2000000*1.04</f>
        <v>2080000</v>
      </c>
      <c r="H56" s="33"/>
      <c r="I56" s="33"/>
      <c r="J56" s="33"/>
      <c r="K56" s="33"/>
      <c r="L56" s="33"/>
    </row>
    <row r="57" spans="1:12" ht="48.75" customHeight="1">
      <c r="A57" s="73"/>
      <c r="B57" s="66"/>
      <c r="C57" s="1" t="s">
        <v>64</v>
      </c>
      <c r="D57" s="32">
        <f t="shared" si="0"/>
        <v>10400000</v>
      </c>
      <c r="E57" s="33"/>
      <c r="F57" s="33"/>
      <c r="G57" s="32">
        <f>10000000*1.04</f>
        <v>10400000</v>
      </c>
      <c r="H57" s="33"/>
      <c r="I57" s="33"/>
      <c r="J57" s="33"/>
      <c r="K57" s="33"/>
      <c r="L57" s="33"/>
    </row>
    <row r="58" spans="1:12" ht="69" customHeight="1">
      <c r="A58" s="73"/>
      <c r="B58" s="66"/>
      <c r="C58" s="2" t="s">
        <v>60</v>
      </c>
      <c r="D58" s="32">
        <f t="shared" si="0"/>
        <v>47526818.8</v>
      </c>
      <c r="E58" s="33"/>
      <c r="F58" s="33"/>
      <c r="G58" s="11">
        <f>26468095*1.04</f>
        <v>27526818.8</v>
      </c>
      <c r="H58" s="33"/>
      <c r="I58" s="33"/>
      <c r="J58" s="33"/>
      <c r="K58" s="32">
        <v>20000000</v>
      </c>
      <c r="L58" s="33"/>
    </row>
    <row r="59" spans="1:12" ht="63.75" customHeight="1">
      <c r="A59" s="73"/>
      <c r="B59" s="66" t="s">
        <v>12</v>
      </c>
      <c r="C59" s="2" t="s">
        <v>65</v>
      </c>
      <c r="D59" s="32">
        <f t="shared" si="0"/>
        <v>0</v>
      </c>
      <c r="E59" s="33"/>
      <c r="F59" s="33"/>
      <c r="G59" s="29"/>
      <c r="H59" s="33"/>
      <c r="I59" s="33"/>
      <c r="J59" s="33"/>
      <c r="K59" s="33"/>
      <c r="L59" s="33"/>
    </row>
    <row r="60" spans="1:12" ht="33.75" customHeight="1">
      <c r="A60" s="73"/>
      <c r="B60" s="66"/>
      <c r="C60" s="2" t="s">
        <v>66</v>
      </c>
      <c r="D60" s="32">
        <f t="shared" si="0"/>
        <v>4160000</v>
      </c>
      <c r="E60" s="33"/>
      <c r="F60" s="33"/>
      <c r="G60" s="32">
        <f>4000000*1.04</f>
        <v>4160000</v>
      </c>
      <c r="H60" s="33"/>
      <c r="I60" s="33"/>
      <c r="J60" s="33"/>
      <c r="K60" s="33"/>
      <c r="L60" s="33"/>
    </row>
    <row r="61" spans="1:12" ht="33.75" customHeight="1">
      <c r="A61" s="73"/>
      <c r="B61" s="66"/>
      <c r="C61" s="4" t="s">
        <v>67</v>
      </c>
      <c r="D61" s="32">
        <f t="shared" si="0"/>
        <v>3120000</v>
      </c>
      <c r="E61" s="33"/>
      <c r="F61" s="33"/>
      <c r="G61" s="32">
        <f>3000000*1.04</f>
        <v>3120000</v>
      </c>
      <c r="H61" s="33"/>
      <c r="I61" s="33"/>
      <c r="J61" s="33"/>
      <c r="K61" s="33"/>
      <c r="L61" s="33"/>
    </row>
    <row r="62" spans="1:12" ht="22.5" customHeight="1">
      <c r="A62" s="73"/>
      <c r="B62" s="66"/>
      <c r="C62" s="1" t="s">
        <v>68</v>
      </c>
      <c r="D62" s="32">
        <f t="shared" si="0"/>
        <v>5200000</v>
      </c>
      <c r="E62" s="33"/>
      <c r="F62" s="33"/>
      <c r="G62" s="32">
        <f>5000000*1.04</f>
        <v>5200000</v>
      </c>
      <c r="H62" s="33"/>
      <c r="I62" s="33"/>
      <c r="J62" s="33"/>
      <c r="K62" s="33"/>
      <c r="L62" s="33"/>
    </row>
    <row r="63" spans="1:12" ht="51" customHeight="1">
      <c r="A63" s="73"/>
      <c r="B63" s="66" t="s">
        <v>13</v>
      </c>
      <c r="C63" s="1" t="s">
        <v>69</v>
      </c>
      <c r="D63" s="32">
        <f t="shared" si="0"/>
        <v>5200000</v>
      </c>
      <c r="E63" s="33"/>
      <c r="F63" s="33"/>
      <c r="G63" s="32">
        <f>5000000*1.04</f>
        <v>5200000</v>
      </c>
      <c r="H63" s="33"/>
      <c r="I63" s="33"/>
      <c r="J63" s="33"/>
      <c r="K63" s="33"/>
      <c r="L63" s="33"/>
    </row>
    <row r="64" spans="1:12" ht="34.5" customHeight="1">
      <c r="A64" s="73"/>
      <c r="B64" s="66"/>
      <c r="C64" s="1" t="s">
        <v>70</v>
      </c>
      <c r="D64" s="32">
        <f t="shared" si="0"/>
        <v>5200000</v>
      </c>
      <c r="E64" s="33"/>
      <c r="F64" s="33"/>
      <c r="G64" s="32">
        <f>5000000*1.04</f>
        <v>5200000</v>
      </c>
      <c r="H64" s="33"/>
      <c r="I64" s="33"/>
      <c r="J64" s="33"/>
      <c r="K64" s="33"/>
      <c r="L64" s="33"/>
    </row>
    <row r="65" spans="1:12" ht="50.25" customHeight="1">
      <c r="A65" s="73"/>
      <c r="B65" s="66"/>
      <c r="C65" s="4" t="s">
        <v>71</v>
      </c>
      <c r="D65" s="32">
        <f t="shared" si="0"/>
        <v>5200000</v>
      </c>
      <c r="E65" s="33"/>
      <c r="F65" s="33"/>
      <c r="G65" s="32">
        <f>5000000*1.04</f>
        <v>5200000</v>
      </c>
      <c r="H65" s="33"/>
      <c r="I65" s="33"/>
      <c r="J65" s="33"/>
      <c r="K65" s="33"/>
      <c r="L65" s="33"/>
    </row>
    <row r="66" spans="1:12" ht="48.75" customHeight="1">
      <c r="A66" s="73"/>
      <c r="B66" s="66"/>
      <c r="C66" s="2" t="s">
        <v>72</v>
      </c>
      <c r="D66" s="32">
        <f t="shared" si="0"/>
        <v>2080000</v>
      </c>
      <c r="E66" s="33"/>
      <c r="F66" s="33"/>
      <c r="G66" s="32">
        <f>2000000*1.04</f>
        <v>2080000</v>
      </c>
      <c r="H66" s="33"/>
      <c r="I66" s="33"/>
      <c r="J66" s="33"/>
      <c r="K66" s="33"/>
      <c r="L66" s="33"/>
    </row>
    <row r="67" spans="1:12" ht="47.25" customHeight="1">
      <c r="A67" s="74"/>
      <c r="B67" s="66"/>
      <c r="C67" s="2" t="s">
        <v>73</v>
      </c>
      <c r="D67" s="32">
        <f t="shared" si="0"/>
        <v>2080000</v>
      </c>
      <c r="E67" s="33"/>
      <c r="F67" s="33"/>
      <c r="G67" s="32">
        <f>2000000*1.04</f>
        <v>2080000</v>
      </c>
      <c r="H67" s="33"/>
      <c r="I67" s="33"/>
      <c r="J67" s="33"/>
      <c r="K67" s="33"/>
      <c r="L67" s="33"/>
    </row>
    <row r="68" spans="1:12" ht="46.5" customHeight="1">
      <c r="A68" s="66" t="s">
        <v>88</v>
      </c>
      <c r="B68" s="66" t="s">
        <v>14</v>
      </c>
      <c r="C68" s="4" t="s">
        <v>75</v>
      </c>
      <c r="D68" s="32">
        <f t="shared" si="0"/>
        <v>10400000</v>
      </c>
      <c r="E68" s="33"/>
      <c r="F68" s="33"/>
      <c r="G68" s="32">
        <f>10000000*1.04</f>
        <v>10400000</v>
      </c>
      <c r="H68" s="33"/>
      <c r="I68" s="33"/>
      <c r="J68" s="33"/>
      <c r="K68" s="33"/>
      <c r="L68" s="33"/>
    </row>
    <row r="69" spans="1:12" ht="32.25" customHeight="1">
      <c r="A69" s="66"/>
      <c r="B69" s="66"/>
      <c r="C69" s="2" t="s">
        <v>74</v>
      </c>
      <c r="D69" s="32">
        <f>SUM(E69:L69)</f>
        <v>36343750</v>
      </c>
      <c r="E69" s="32">
        <f>17775000*1.05</f>
        <v>18663750</v>
      </c>
      <c r="F69" s="33"/>
      <c r="G69" s="32">
        <f>17000000*1.04</f>
        <v>17680000</v>
      </c>
      <c r="H69" s="33"/>
      <c r="I69" s="33"/>
      <c r="J69" s="33"/>
      <c r="K69" s="33"/>
      <c r="L69" s="33"/>
    </row>
    <row r="70" spans="1:12" ht="48.75" customHeight="1">
      <c r="A70" s="66"/>
      <c r="B70" s="66" t="s">
        <v>15</v>
      </c>
      <c r="C70" s="1" t="s">
        <v>77</v>
      </c>
      <c r="D70" s="32">
        <f t="shared" si="0"/>
        <v>5200000</v>
      </c>
      <c r="E70" s="33"/>
      <c r="F70" s="33"/>
      <c r="G70" s="32">
        <f>5000000*1.04</f>
        <v>5200000</v>
      </c>
      <c r="H70" s="33"/>
      <c r="I70" s="33"/>
      <c r="J70" s="33"/>
      <c r="K70" s="62"/>
      <c r="L70" s="33"/>
    </row>
    <row r="71" spans="1:12" ht="35.25" customHeight="1">
      <c r="A71" s="66"/>
      <c r="B71" s="66"/>
      <c r="C71" s="4" t="s">
        <v>76</v>
      </c>
      <c r="D71" s="32">
        <f t="shared" si="0"/>
        <v>2080000</v>
      </c>
      <c r="E71" s="33"/>
      <c r="F71" s="33"/>
      <c r="G71" s="32">
        <f>2000000*1.04</f>
        <v>2080000</v>
      </c>
      <c r="H71" s="33"/>
      <c r="I71" s="33"/>
      <c r="J71" s="33"/>
      <c r="K71" s="33"/>
      <c r="L71" s="33"/>
    </row>
    <row r="72" spans="1:12" ht="47.25" customHeight="1">
      <c r="A72" s="66"/>
      <c r="B72" s="66" t="s">
        <v>16</v>
      </c>
      <c r="C72" s="1" t="s">
        <v>78</v>
      </c>
      <c r="D72" s="32">
        <f t="shared" si="0"/>
        <v>205560000</v>
      </c>
      <c r="E72" s="32">
        <v>4000000</v>
      </c>
      <c r="F72" s="33"/>
      <c r="G72" s="32">
        <f>1500000*1.04</f>
        <v>1560000</v>
      </c>
      <c r="H72" s="33"/>
      <c r="I72" s="33"/>
      <c r="J72" s="33"/>
      <c r="K72" s="32">
        <v>200000000</v>
      </c>
      <c r="L72" s="33"/>
    </row>
    <row r="73" spans="1:12" ht="63.75" customHeight="1">
      <c r="A73" s="66"/>
      <c r="B73" s="66"/>
      <c r="C73" s="4" t="s">
        <v>79</v>
      </c>
      <c r="D73" s="32">
        <f t="shared" si="0"/>
        <v>31200000</v>
      </c>
      <c r="E73" s="33"/>
      <c r="F73" s="33"/>
      <c r="G73" s="32">
        <f>30000000*1.04</f>
        <v>31200000</v>
      </c>
      <c r="H73" s="33"/>
      <c r="I73" s="33"/>
      <c r="J73" s="33"/>
      <c r="K73" s="62"/>
      <c r="L73" s="33"/>
    </row>
    <row r="74" spans="1:12" ht="32.25" customHeight="1">
      <c r="A74" s="66"/>
      <c r="B74" s="66" t="s">
        <v>17</v>
      </c>
      <c r="C74" s="2" t="s">
        <v>80</v>
      </c>
      <c r="D74" s="32">
        <f>SUM(E74:L74)</f>
        <v>5250000</v>
      </c>
      <c r="E74" s="33"/>
      <c r="F74" s="32">
        <f>5000000*1.05</f>
        <v>5250000</v>
      </c>
      <c r="G74" s="62"/>
      <c r="H74" s="33"/>
      <c r="I74" s="33"/>
      <c r="J74" s="33"/>
      <c r="K74" s="33"/>
      <c r="L74" s="33"/>
    </row>
    <row r="75" spans="1:12" ht="46.5" customHeight="1">
      <c r="A75" s="66"/>
      <c r="B75" s="66"/>
      <c r="C75" s="2" t="s">
        <v>81</v>
      </c>
      <c r="D75" s="32">
        <f>SUM(E75:L75)</f>
        <v>5200000</v>
      </c>
      <c r="E75" s="32"/>
      <c r="F75" s="33"/>
      <c r="G75" s="32">
        <f>5000000*1.04</f>
        <v>5200000</v>
      </c>
      <c r="H75" s="33"/>
      <c r="I75" s="33"/>
      <c r="J75" s="33"/>
      <c r="K75" s="33"/>
      <c r="L75" s="33"/>
    </row>
    <row r="76" spans="1:12" ht="12.75">
      <c r="A76" s="76" t="s">
        <v>106</v>
      </c>
      <c r="B76" s="76"/>
      <c r="C76" s="76"/>
      <c r="D76" s="20">
        <f>SUM(D8:D75)</f>
        <v>7282562023.280002</v>
      </c>
      <c r="E76" s="20">
        <f aca="true" t="shared" si="1" ref="E76:L76">SUM(E8:E75)</f>
        <v>64663750</v>
      </c>
      <c r="F76" s="20">
        <f t="shared" si="1"/>
        <v>134250000</v>
      </c>
      <c r="G76" s="20">
        <f t="shared" si="1"/>
        <v>2209975026.96</v>
      </c>
      <c r="H76" s="20">
        <f t="shared" si="1"/>
        <v>630074219.84</v>
      </c>
      <c r="I76" s="20">
        <f t="shared" si="1"/>
        <v>600000000</v>
      </c>
      <c r="J76" s="20">
        <f t="shared" si="1"/>
        <v>1472869367.12</v>
      </c>
      <c r="K76" s="20">
        <f t="shared" si="1"/>
        <v>1970729659.3600001</v>
      </c>
      <c r="L76" s="20">
        <f t="shared" si="1"/>
        <v>200000000</v>
      </c>
    </row>
    <row r="77" spans="4:8" ht="12.75">
      <c r="D77" s="17"/>
      <c r="G77" s="15"/>
      <c r="H77" s="13"/>
    </row>
    <row r="79" spans="7:11" ht="12.75">
      <c r="G79" s="19"/>
      <c r="J79" s="13"/>
      <c r="K79" s="15"/>
    </row>
    <row r="80" spans="10:11" ht="12.75">
      <c r="J80" s="18"/>
      <c r="K80" s="18"/>
    </row>
    <row r="81" spans="10:11" ht="12.75">
      <c r="J81" s="13"/>
      <c r="K81" s="15"/>
    </row>
    <row r="85" ht="12.75">
      <c r="C85" s="47"/>
    </row>
  </sheetData>
  <sheetProtection/>
  <mergeCells count="28">
    <mergeCell ref="A76:C76"/>
    <mergeCell ref="C5:C7"/>
    <mergeCell ref="D5:D7"/>
    <mergeCell ref="E5:L5"/>
    <mergeCell ref="E6:L6"/>
    <mergeCell ref="A68:A75"/>
    <mergeCell ref="A8:A39"/>
    <mergeCell ref="A5:A7"/>
    <mergeCell ref="B5:B7"/>
    <mergeCell ref="B8:B13"/>
    <mergeCell ref="B14:B24"/>
    <mergeCell ref="B25:B29"/>
    <mergeCell ref="A2:L2"/>
    <mergeCell ref="A3:L3"/>
    <mergeCell ref="A40:A67"/>
    <mergeCell ref="B49:B51"/>
    <mergeCell ref="B52:B53"/>
    <mergeCell ref="B54:B58"/>
    <mergeCell ref="B59:B62"/>
    <mergeCell ref="B63:B67"/>
    <mergeCell ref="B74:B75"/>
    <mergeCell ref="B30:B32"/>
    <mergeCell ref="B33:B34"/>
    <mergeCell ref="B35:B39"/>
    <mergeCell ref="B40:B48"/>
    <mergeCell ref="B68:B69"/>
    <mergeCell ref="B70:B71"/>
    <mergeCell ref="B72:B73"/>
  </mergeCells>
  <printOptions horizontalCentered="1" verticalCentered="1"/>
  <pageMargins left="0.43" right="0.5" top="0.93" bottom="0.72" header="0" footer="0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79"/>
  <sheetViews>
    <sheetView zoomScalePageLayoutView="0" workbookViewId="0" topLeftCell="A69">
      <selection activeCell="C78" sqref="C78"/>
    </sheetView>
  </sheetViews>
  <sheetFormatPr defaultColWidth="11.421875" defaultRowHeight="12.75"/>
  <cols>
    <col min="1" max="1" width="16.57421875" style="29" customWidth="1"/>
    <col min="2" max="2" width="18.421875" style="29" customWidth="1"/>
    <col min="3" max="3" width="34.00390625" style="29" customWidth="1"/>
    <col min="4" max="4" width="15.00390625" style="29" customWidth="1"/>
    <col min="5" max="5" width="13.00390625" style="29" customWidth="1"/>
    <col min="6" max="6" width="12.7109375" style="29" customWidth="1"/>
    <col min="7" max="7" width="14.140625" style="29" customWidth="1"/>
    <col min="8" max="8" width="12.140625" style="29" customWidth="1"/>
    <col min="9" max="9" width="12.7109375" style="29" customWidth="1"/>
    <col min="10" max="11" width="13.8515625" style="29" customWidth="1"/>
    <col min="12" max="12" width="12.140625" style="29" customWidth="1"/>
    <col min="13" max="13" width="13.8515625" style="29" bestFit="1" customWidth="1"/>
    <col min="14" max="14" width="16.57421875" style="29" bestFit="1" customWidth="1"/>
    <col min="15" max="16384" width="11.421875" style="29" customWidth="1"/>
  </cols>
  <sheetData>
    <row r="3" spans="1:12" ht="12.75">
      <c r="A3" s="75" t="s">
        <v>103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12.75">
      <c r="A4" s="75" t="s">
        <v>108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2.7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7" spans="1:12" ht="12.75">
      <c r="A7" s="66" t="s">
        <v>0</v>
      </c>
      <c r="B7" s="71" t="s">
        <v>1</v>
      </c>
      <c r="C7" s="71" t="s">
        <v>2</v>
      </c>
      <c r="D7" s="66" t="s">
        <v>89</v>
      </c>
      <c r="E7" s="70" t="s">
        <v>96</v>
      </c>
      <c r="F7" s="70"/>
      <c r="G7" s="70"/>
      <c r="H7" s="70"/>
      <c r="I7" s="70"/>
      <c r="J7" s="70"/>
      <c r="K7" s="70"/>
      <c r="L7" s="70"/>
    </row>
    <row r="8" spans="1:12" ht="12.75">
      <c r="A8" s="66"/>
      <c r="B8" s="71"/>
      <c r="C8" s="71"/>
      <c r="D8" s="66"/>
      <c r="E8" s="70" t="s">
        <v>110</v>
      </c>
      <c r="F8" s="70"/>
      <c r="G8" s="70"/>
      <c r="H8" s="70"/>
      <c r="I8" s="70"/>
      <c r="J8" s="70"/>
      <c r="K8" s="70"/>
      <c r="L8" s="70"/>
    </row>
    <row r="9" spans="1:12" ht="25.5">
      <c r="A9" s="66"/>
      <c r="B9" s="71"/>
      <c r="C9" s="71"/>
      <c r="D9" s="66"/>
      <c r="E9" s="30" t="s">
        <v>99</v>
      </c>
      <c r="F9" s="30" t="s">
        <v>91</v>
      </c>
      <c r="G9" s="30" t="s">
        <v>90</v>
      </c>
      <c r="H9" s="31" t="s">
        <v>98</v>
      </c>
      <c r="I9" s="30" t="s">
        <v>92</v>
      </c>
      <c r="J9" s="30" t="s">
        <v>93</v>
      </c>
      <c r="K9" s="30" t="s">
        <v>95</v>
      </c>
      <c r="L9" s="30" t="s">
        <v>94</v>
      </c>
    </row>
    <row r="10" spans="1:14" ht="28.5" customHeight="1">
      <c r="A10" s="77" t="s">
        <v>86</v>
      </c>
      <c r="B10" s="66" t="s">
        <v>3</v>
      </c>
      <c r="C10" s="1" t="s">
        <v>18</v>
      </c>
      <c r="D10" s="32">
        <f>SUM(E10:L10)</f>
        <v>1000000000</v>
      </c>
      <c r="E10" s="33"/>
      <c r="F10" s="33"/>
      <c r="G10" s="32"/>
      <c r="H10" s="33"/>
      <c r="I10" s="32">
        <v>200000000</v>
      </c>
      <c r="J10" s="32">
        <v>800000000</v>
      </c>
      <c r="K10" s="33"/>
      <c r="L10" s="33"/>
      <c r="M10" s="34"/>
      <c r="N10" s="35"/>
    </row>
    <row r="11" spans="1:12" ht="45" customHeight="1">
      <c r="A11" s="78"/>
      <c r="B11" s="66"/>
      <c r="C11" s="1" t="s">
        <v>19</v>
      </c>
      <c r="D11" s="32">
        <f>SUM(E11:L11)</f>
        <v>15000000</v>
      </c>
      <c r="E11" s="33"/>
      <c r="F11" s="33"/>
      <c r="G11" s="33"/>
      <c r="H11" s="33"/>
      <c r="I11" s="32">
        <v>15000000</v>
      </c>
      <c r="J11" s="33"/>
      <c r="K11" s="33"/>
      <c r="L11" s="33"/>
    </row>
    <row r="12" spans="1:12" ht="30.75" customHeight="1">
      <c r="A12" s="78"/>
      <c r="B12" s="66"/>
      <c r="C12" s="1" t="s">
        <v>20</v>
      </c>
      <c r="D12" s="32">
        <f>SUM(E12:L12)</f>
        <v>63001089.216</v>
      </c>
      <c r="E12" s="33"/>
      <c r="F12" s="33"/>
      <c r="G12" s="11">
        <f>58529440*1.04*1.035</f>
        <v>63001089.216</v>
      </c>
      <c r="H12" s="33"/>
      <c r="I12" s="33"/>
      <c r="J12" s="33"/>
      <c r="K12" s="33"/>
      <c r="L12" s="33"/>
    </row>
    <row r="13" spans="1:12" ht="34.5" customHeight="1">
      <c r="A13" s="78"/>
      <c r="B13" s="66"/>
      <c r="C13" s="1" t="s">
        <v>22</v>
      </c>
      <c r="D13" s="32">
        <f>SUM(E13:L13)</f>
        <v>2229195141.418</v>
      </c>
      <c r="E13" s="33"/>
      <c r="F13" s="32">
        <f>10000000*1.1</f>
        <v>11000000</v>
      </c>
      <c r="G13" s="11">
        <f>(908357912*1.04*1.035)+40000000</f>
        <v>1017756456.4768</v>
      </c>
      <c r="H13" s="32">
        <f>605840596*1.04*1.035</f>
        <v>652126817.5344</v>
      </c>
      <c r="I13" s="32">
        <f>200000000+10000000</f>
        <v>210000000</v>
      </c>
      <c r="J13" s="11">
        <f>(223912853*1.04*1.035)+40000000</f>
        <v>281019794.9692</v>
      </c>
      <c r="K13" s="11">
        <f>(4147452+49078182)*1.04*1.035</f>
        <v>57292072.437599994</v>
      </c>
      <c r="L13" s="33"/>
    </row>
    <row r="14" spans="1:12" ht="45" customHeight="1">
      <c r="A14" s="78"/>
      <c r="B14" s="66"/>
      <c r="C14" s="1" t="s">
        <v>23</v>
      </c>
      <c r="D14" s="32">
        <f aca="true" t="shared" si="0" ref="D14:D71">SUM(E14:L14)</f>
        <v>172548811.23479998</v>
      </c>
      <c r="E14" s="33"/>
      <c r="F14" s="33"/>
      <c r="G14" s="32">
        <f>160301757*1.04*1.035</f>
        <v>172548811.23479998</v>
      </c>
      <c r="H14" s="33"/>
      <c r="I14" s="33"/>
      <c r="J14" s="33"/>
      <c r="K14" s="33"/>
      <c r="L14" s="33"/>
    </row>
    <row r="15" spans="1:14" ht="45.75" customHeight="1">
      <c r="A15" s="78"/>
      <c r="B15" s="66" t="s">
        <v>24</v>
      </c>
      <c r="C15" s="1" t="s">
        <v>25</v>
      </c>
      <c r="D15" s="32">
        <f t="shared" si="0"/>
        <v>67222400</v>
      </c>
      <c r="E15" s="33"/>
      <c r="F15" s="33"/>
      <c r="G15" s="32">
        <f>16000000*1.04*1.035</f>
        <v>17222400</v>
      </c>
      <c r="H15" s="33"/>
      <c r="I15" s="32"/>
      <c r="J15" s="32">
        <v>50000000</v>
      </c>
      <c r="K15" s="33"/>
      <c r="L15" s="33"/>
      <c r="M15" s="36"/>
      <c r="N15" s="35"/>
    </row>
    <row r="16" spans="1:12" ht="42.75" customHeight="1">
      <c r="A16" s="78"/>
      <c r="B16" s="66"/>
      <c r="C16" s="1" t="s">
        <v>26</v>
      </c>
      <c r="D16" s="32">
        <f t="shared" si="0"/>
        <v>110764000</v>
      </c>
      <c r="E16" s="33"/>
      <c r="F16" s="33"/>
      <c r="G16" s="11">
        <f>10000000*1.04*1.035</f>
        <v>10764000</v>
      </c>
      <c r="H16" s="33"/>
      <c r="I16" s="32"/>
      <c r="J16" s="32">
        <v>100000000</v>
      </c>
      <c r="K16" s="33"/>
      <c r="L16" s="33"/>
    </row>
    <row r="17" spans="1:12" ht="36" customHeight="1">
      <c r="A17" s="78"/>
      <c r="B17" s="66"/>
      <c r="C17" s="1" t="s">
        <v>27</v>
      </c>
      <c r="D17" s="32">
        <f t="shared" si="0"/>
        <v>56458400</v>
      </c>
      <c r="E17" s="33"/>
      <c r="F17" s="33"/>
      <c r="G17" s="11">
        <f>6000000*1.04*1.035</f>
        <v>6458399.999999999</v>
      </c>
      <c r="H17" s="33"/>
      <c r="I17" s="32"/>
      <c r="J17" s="32">
        <v>50000000</v>
      </c>
      <c r="K17" s="33"/>
      <c r="L17" s="33"/>
    </row>
    <row r="18" spans="1:12" ht="30.75" customHeight="1">
      <c r="A18" s="78"/>
      <c r="B18" s="66"/>
      <c r="C18" s="1" t="s">
        <v>28</v>
      </c>
      <c r="D18" s="32">
        <f t="shared" si="0"/>
        <v>20099840.3816</v>
      </c>
      <c r="E18" s="33"/>
      <c r="F18" s="33"/>
      <c r="G18" s="11">
        <f>14028094*1.04*1.035</f>
        <v>15099840.381599998</v>
      </c>
      <c r="H18" s="33"/>
      <c r="I18" s="32">
        <v>5000000</v>
      </c>
      <c r="J18" s="33"/>
      <c r="K18" s="33"/>
      <c r="L18" s="33"/>
    </row>
    <row r="19" spans="1:12" ht="34.5" customHeight="1">
      <c r="A19" s="78"/>
      <c r="B19" s="66"/>
      <c r="C19" s="1" t="s">
        <v>31</v>
      </c>
      <c r="D19" s="32">
        <f t="shared" si="0"/>
        <v>41076675.8532</v>
      </c>
      <c r="E19" s="33"/>
      <c r="F19" s="33"/>
      <c r="G19" s="11">
        <f>38161163*1.04*1.035</f>
        <v>41076675.8532</v>
      </c>
      <c r="H19" s="33"/>
      <c r="I19" s="33"/>
      <c r="J19" s="33"/>
      <c r="K19" s="33"/>
      <c r="L19" s="33"/>
    </row>
    <row r="20" spans="1:12" ht="31.5" customHeight="1">
      <c r="A20" s="78"/>
      <c r="B20" s="66"/>
      <c r="C20" s="2" t="s">
        <v>85</v>
      </c>
      <c r="D20" s="32">
        <f t="shared" si="0"/>
        <v>300000000</v>
      </c>
      <c r="E20" s="33"/>
      <c r="F20" s="33"/>
      <c r="G20" s="32"/>
      <c r="H20" s="33"/>
      <c r="I20" s="32">
        <v>150000000</v>
      </c>
      <c r="J20" s="32">
        <v>150000000</v>
      </c>
      <c r="K20" s="33"/>
      <c r="L20" s="33"/>
    </row>
    <row r="21" spans="1:12" ht="28.5" customHeight="1">
      <c r="A21" s="78"/>
      <c r="B21" s="66"/>
      <c r="C21" s="1" t="s">
        <v>100</v>
      </c>
      <c r="D21" s="32">
        <f t="shared" si="0"/>
        <v>64583999.99999999</v>
      </c>
      <c r="E21" s="33"/>
      <c r="F21" s="33"/>
      <c r="G21" s="32">
        <f>60000000*1.04*1.035</f>
        <v>64583999.99999999</v>
      </c>
      <c r="H21" s="33"/>
      <c r="I21" s="33"/>
      <c r="J21" s="33"/>
      <c r="K21" s="33"/>
      <c r="L21" s="33"/>
    </row>
    <row r="22" spans="1:12" ht="33" customHeight="1">
      <c r="A22" s="78"/>
      <c r="B22" s="66"/>
      <c r="C22" s="1" t="s">
        <v>30</v>
      </c>
      <c r="D22" s="32">
        <f t="shared" si="0"/>
        <v>5512500</v>
      </c>
      <c r="E22" s="32">
        <f>5250000*1.05</f>
        <v>5512500</v>
      </c>
      <c r="F22" s="33"/>
      <c r="G22" s="33"/>
      <c r="H22" s="33"/>
      <c r="I22" s="33"/>
      <c r="J22" s="33"/>
      <c r="K22" s="33"/>
      <c r="L22" s="33"/>
    </row>
    <row r="23" spans="1:12" ht="48" customHeight="1">
      <c r="A23" s="78"/>
      <c r="B23" s="66"/>
      <c r="C23" s="1" t="s">
        <v>32</v>
      </c>
      <c r="D23" s="32">
        <f t="shared" si="0"/>
        <v>6458399.999999999</v>
      </c>
      <c r="E23" s="33"/>
      <c r="F23" s="33"/>
      <c r="G23" s="32">
        <f>6000000*1.04*1.035</f>
        <v>6458399.999999999</v>
      </c>
      <c r="H23" s="33"/>
      <c r="I23" s="33"/>
      <c r="J23" s="33"/>
      <c r="K23" s="33"/>
      <c r="L23" s="33"/>
    </row>
    <row r="24" spans="1:12" ht="32.25" customHeight="1">
      <c r="A24" s="78"/>
      <c r="B24" s="66"/>
      <c r="C24" s="1" t="s">
        <v>33</v>
      </c>
      <c r="D24" s="32">
        <f t="shared" si="0"/>
        <v>2152800</v>
      </c>
      <c r="E24" s="32"/>
      <c r="F24" s="33"/>
      <c r="G24" s="32">
        <f>2000000*1.04*1.035</f>
        <v>2152800</v>
      </c>
      <c r="H24" s="33"/>
      <c r="I24" s="33"/>
      <c r="J24" s="33"/>
      <c r="K24" s="33"/>
      <c r="L24" s="33"/>
    </row>
    <row r="25" spans="1:12" ht="36" customHeight="1">
      <c r="A25" s="78"/>
      <c r="B25" s="66"/>
      <c r="C25" s="1" t="s">
        <v>34</v>
      </c>
      <c r="D25" s="32">
        <f t="shared" si="0"/>
        <v>10000000</v>
      </c>
      <c r="E25" s="33"/>
      <c r="F25" s="33"/>
      <c r="G25" s="33"/>
      <c r="H25" s="33"/>
      <c r="I25" s="32">
        <v>10000000</v>
      </c>
      <c r="J25" s="33"/>
      <c r="K25" s="33"/>
      <c r="L25" s="33"/>
    </row>
    <row r="26" spans="1:14" ht="51.75" customHeight="1">
      <c r="A26" s="78"/>
      <c r="B26" s="66" t="s">
        <v>4</v>
      </c>
      <c r="C26" s="1" t="s">
        <v>36</v>
      </c>
      <c r="D26" s="32">
        <f t="shared" si="0"/>
        <v>10680126.912</v>
      </c>
      <c r="E26" s="33"/>
      <c r="F26" s="33"/>
      <c r="G26" s="11">
        <f>9922080*1.04*1.035</f>
        <v>10680126.912</v>
      </c>
      <c r="H26" s="33"/>
      <c r="I26" s="33"/>
      <c r="J26" s="32"/>
      <c r="K26" s="32"/>
      <c r="L26" s="33"/>
      <c r="M26" s="34"/>
      <c r="N26" s="35"/>
    </row>
    <row r="27" spans="1:12" ht="39" customHeight="1">
      <c r="A27" s="78"/>
      <c r="B27" s="66"/>
      <c r="C27" s="1" t="s">
        <v>37</v>
      </c>
      <c r="D27" s="32">
        <f t="shared" si="0"/>
        <v>6464727.0792</v>
      </c>
      <c r="E27" s="33"/>
      <c r="F27" s="33"/>
      <c r="G27" s="11">
        <f>6005878*1.04*1.035</f>
        <v>6464727.0792</v>
      </c>
      <c r="H27" s="33"/>
      <c r="I27" s="33"/>
      <c r="J27" s="33"/>
      <c r="K27" s="33"/>
      <c r="L27" s="33"/>
    </row>
    <row r="28" spans="1:12" ht="39.75" customHeight="1">
      <c r="A28" s="78"/>
      <c r="B28" s="66"/>
      <c r="C28" s="1" t="s">
        <v>38</v>
      </c>
      <c r="D28" s="32">
        <f t="shared" si="0"/>
        <v>2746956.6539999996</v>
      </c>
      <c r="E28" s="33"/>
      <c r="F28" s="33"/>
      <c r="G28" s="11">
        <f>2551985*1.04*1.035</f>
        <v>2746956.6539999996</v>
      </c>
      <c r="H28" s="33"/>
      <c r="I28" s="33"/>
      <c r="J28" s="33"/>
      <c r="K28" s="33"/>
      <c r="L28" s="33"/>
    </row>
    <row r="29" spans="1:12" ht="67.5" customHeight="1">
      <c r="A29" s="78"/>
      <c r="B29" s="66"/>
      <c r="C29" s="1" t="s">
        <v>39</v>
      </c>
      <c r="D29" s="32">
        <f t="shared" si="0"/>
        <v>18721579.780799996</v>
      </c>
      <c r="E29" s="33"/>
      <c r="F29" s="32"/>
      <c r="G29" s="32">
        <f>17392772*1.04*1.035</f>
        <v>18721579.780799996</v>
      </c>
      <c r="H29" s="33"/>
      <c r="I29" s="33"/>
      <c r="J29" s="33"/>
      <c r="K29" s="33"/>
      <c r="L29" s="33"/>
    </row>
    <row r="30" spans="1:14" ht="66.75" customHeight="1">
      <c r="A30" s="78"/>
      <c r="B30" s="66" t="s">
        <v>5</v>
      </c>
      <c r="C30" s="1" t="s">
        <v>41</v>
      </c>
      <c r="D30" s="32">
        <f t="shared" si="0"/>
        <v>5382000</v>
      </c>
      <c r="E30" s="33"/>
      <c r="F30" s="33"/>
      <c r="G30" s="11">
        <f>5000000*1.04*1.035</f>
        <v>5382000</v>
      </c>
      <c r="H30" s="33"/>
      <c r="I30" s="33"/>
      <c r="J30" s="33"/>
      <c r="K30" s="32"/>
      <c r="L30" s="33"/>
      <c r="M30" s="36"/>
      <c r="N30" s="35"/>
    </row>
    <row r="31" spans="1:12" ht="47.25" customHeight="1">
      <c r="A31" s="78"/>
      <c r="B31" s="66"/>
      <c r="C31" s="1" t="s">
        <v>42</v>
      </c>
      <c r="D31" s="32">
        <f t="shared" si="0"/>
        <v>78278042.5504</v>
      </c>
      <c r="E31" s="33"/>
      <c r="F31" s="32">
        <f>14000000*1.05</f>
        <v>14700000</v>
      </c>
      <c r="G31" s="11">
        <f>21904536*1.04*1.035</f>
        <v>23578042.5504</v>
      </c>
      <c r="H31" s="33"/>
      <c r="I31" s="33"/>
      <c r="J31" s="33"/>
      <c r="K31" s="32">
        <v>40000000</v>
      </c>
      <c r="L31" s="33"/>
    </row>
    <row r="32" spans="1:12" ht="48" customHeight="1">
      <c r="A32" s="78"/>
      <c r="B32" s="66" t="s">
        <v>6</v>
      </c>
      <c r="C32" s="64" t="s">
        <v>82</v>
      </c>
      <c r="D32" s="32">
        <f t="shared" si="0"/>
        <v>3118025919.6591997</v>
      </c>
      <c r="E32" s="33"/>
      <c r="F32" s="33"/>
      <c r="G32" s="12">
        <f>30681828*1.04*1.035</f>
        <v>33025919.659199998</v>
      </c>
      <c r="H32" s="33"/>
      <c r="I32" s="33"/>
      <c r="J32" s="32">
        <f>200*6000000</f>
        <v>1200000000</v>
      </c>
      <c r="K32" s="32">
        <f>200*9000000</f>
        <v>1800000000</v>
      </c>
      <c r="L32" s="32">
        <v>85000000</v>
      </c>
    </row>
    <row r="33" spans="1:12" ht="53.25" customHeight="1">
      <c r="A33" s="78"/>
      <c r="B33" s="66"/>
      <c r="C33" s="1" t="s">
        <v>43</v>
      </c>
      <c r="D33" s="32">
        <f>SUM(E33:L33)</f>
        <v>157741350</v>
      </c>
      <c r="E33" s="11"/>
      <c r="F33" s="33"/>
      <c r="G33" s="32">
        <f>34000000*1.04*1.035</f>
        <v>36597600</v>
      </c>
      <c r="H33" s="32"/>
      <c r="I33" s="33"/>
      <c r="J33" s="33"/>
      <c r="K33" s="32">
        <f>461500*1.05*10*25</f>
        <v>121143750</v>
      </c>
      <c r="L33" s="33"/>
    </row>
    <row r="34" spans="1:12" ht="39.75" customHeight="1">
      <c r="A34" s="78"/>
      <c r="B34" s="66" t="s">
        <v>7</v>
      </c>
      <c r="C34" s="1" t="s">
        <v>45</v>
      </c>
      <c r="D34" s="32">
        <f t="shared" si="0"/>
        <v>5382000</v>
      </c>
      <c r="E34" s="32"/>
      <c r="F34" s="32"/>
      <c r="G34" s="32">
        <f>5000000*1.04*1.035</f>
        <v>5382000</v>
      </c>
      <c r="H34" s="33"/>
      <c r="I34" s="33"/>
      <c r="J34" s="33"/>
      <c r="K34" s="33"/>
      <c r="L34" s="33"/>
    </row>
    <row r="35" spans="1:12" ht="39.75" customHeight="1">
      <c r="A35" s="78"/>
      <c r="B35" s="66"/>
      <c r="C35" s="1" t="s">
        <v>46</v>
      </c>
      <c r="D35" s="32">
        <f t="shared" si="0"/>
        <v>32683500</v>
      </c>
      <c r="E35" s="32">
        <f>15750000*1.05</f>
        <v>16537500</v>
      </c>
      <c r="F35" s="32"/>
      <c r="G35" s="32">
        <f>15000000*1.04*1.035</f>
        <v>16145999.999999998</v>
      </c>
      <c r="H35" s="33"/>
      <c r="I35" s="33"/>
      <c r="J35" s="33"/>
      <c r="K35" s="33"/>
      <c r="L35" s="33"/>
    </row>
    <row r="36" spans="1:12" ht="41.25" customHeight="1">
      <c r="A36" s="78"/>
      <c r="B36" s="66"/>
      <c r="C36" s="1" t="s">
        <v>47</v>
      </c>
      <c r="D36" s="32">
        <f t="shared" si="0"/>
        <v>5382000</v>
      </c>
      <c r="E36" s="32"/>
      <c r="F36" s="32"/>
      <c r="G36" s="32">
        <f>5000000*1.04*1.035</f>
        <v>5382000</v>
      </c>
      <c r="H36" s="33"/>
      <c r="I36" s="33"/>
      <c r="J36" s="33"/>
      <c r="K36" s="33"/>
      <c r="L36" s="33"/>
    </row>
    <row r="37" spans="1:12" ht="39.75" customHeight="1">
      <c r="A37" s="78"/>
      <c r="B37" s="66"/>
      <c r="C37" s="1" t="s">
        <v>48</v>
      </c>
      <c r="D37" s="32">
        <f t="shared" si="0"/>
        <v>6588900</v>
      </c>
      <c r="E37" s="32">
        <f>5250000*1.05</f>
        <v>5512500</v>
      </c>
      <c r="F37" s="32"/>
      <c r="G37" s="32">
        <f>1000000*1.04*1.035</f>
        <v>1076400</v>
      </c>
      <c r="H37" s="33"/>
      <c r="I37" s="33"/>
      <c r="J37" s="33"/>
      <c r="K37" s="33"/>
      <c r="L37" s="33"/>
    </row>
    <row r="38" spans="1:12" ht="41.25" customHeight="1">
      <c r="A38" s="79"/>
      <c r="B38" s="66"/>
      <c r="C38" s="2" t="s">
        <v>44</v>
      </c>
      <c r="D38" s="32">
        <f t="shared" si="0"/>
        <v>5382000</v>
      </c>
      <c r="E38" s="32"/>
      <c r="F38" s="32"/>
      <c r="G38" s="32">
        <f>5000000*1.04*1.035</f>
        <v>5382000</v>
      </c>
      <c r="H38" s="33"/>
      <c r="I38" s="33"/>
      <c r="J38" s="33"/>
      <c r="K38" s="33"/>
      <c r="L38" s="33"/>
    </row>
    <row r="39" spans="1:14" ht="38.25" customHeight="1">
      <c r="A39" s="72" t="s">
        <v>87</v>
      </c>
      <c r="B39" s="66" t="s">
        <v>8</v>
      </c>
      <c r="C39" s="1" t="s">
        <v>49</v>
      </c>
      <c r="D39" s="32">
        <f t="shared" si="0"/>
        <v>172224000</v>
      </c>
      <c r="E39" s="32"/>
      <c r="F39" s="32"/>
      <c r="G39" s="32">
        <f>160000000*1.04*1.035</f>
        <v>172224000</v>
      </c>
      <c r="H39" s="33"/>
      <c r="I39" s="33"/>
      <c r="J39" s="33"/>
      <c r="K39" s="33"/>
      <c r="L39" s="33"/>
      <c r="M39" s="34"/>
      <c r="N39" s="35"/>
    </row>
    <row r="40" spans="1:12" ht="74.25" customHeight="1">
      <c r="A40" s="73"/>
      <c r="B40" s="66"/>
      <c r="C40" s="2" t="s">
        <v>83</v>
      </c>
      <c r="D40" s="32">
        <f t="shared" si="0"/>
        <v>167171496.2624</v>
      </c>
      <c r="E40" s="33"/>
      <c r="F40" s="33"/>
      <c r="G40" s="32">
        <f>53113616*1.04*1.035</f>
        <v>57171496.262399994</v>
      </c>
      <c r="H40" s="33"/>
      <c r="I40" s="32">
        <v>10000000</v>
      </c>
      <c r="J40" s="32">
        <v>100000000</v>
      </c>
      <c r="K40" s="33"/>
      <c r="L40" s="33"/>
    </row>
    <row r="41" spans="1:12" ht="70.5" customHeight="1">
      <c r="A41" s="73"/>
      <c r="B41" s="66"/>
      <c r="C41" s="1" t="s">
        <v>84</v>
      </c>
      <c r="D41" s="32">
        <f t="shared" si="0"/>
        <v>62553496.262399994</v>
      </c>
      <c r="E41" s="33"/>
      <c r="F41" s="33"/>
      <c r="G41" s="32">
        <f>58113616*1.04*1.035</f>
        <v>62553496.262399994</v>
      </c>
      <c r="H41" s="33"/>
      <c r="I41" s="32"/>
      <c r="J41" s="33"/>
      <c r="K41" s="32"/>
      <c r="L41" s="33"/>
    </row>
    <row r="42" spans="1:12" ht="57" customHeight="1">
      <c r="A42" s="73"/>
      <c r="B42" s="66"/>
      <c r="C42" s="1" t="s">
        <v>50</v>
      </c>
      <c r="D42" s="32">
        <f t="shared" si="0"/>
        <v>53819999.99999999</v>
      </c>
      <c r="E42" s="33"/>
      <c r="F42" s="33"/>
      <c r="G42" s="32">
        <f>50000000*1.04*1.035</f>
        <v>53819999.99999999</v>
      </c>
      <c r="H42" s="33"/>
      <c r="I42" s="32"/>
      <c r="J42" s="33"/>
      <c r="K42" s="33"/>
      <c r="L42" s="33"/>
    </row>
    <row r="43" spans="1:12" ht="40.5" customHeight="1">
      <c r="A43" s="73"/>
      <c r="B43" s="66"/>
      <c r="C43" s="1" t="s">
        <v>52</v>
      </c>
      <c r="D43" s="32">
        <f t="shared" si="0"/>
        <v>166014000</v>
      </c>
      <c r="E43" s="32"/>
      <c r="F43" s="32">
        <f>5000000*1.05</f>
        <v>5250000</v>
      </c>
      <c r="G43" s="32">
        <f>10000000*1.04*1.035</f>
        <v>10764000</v>
      </c>
      <c r="H43" s="33"/>
      <c r="I43" s="33"/>
      <c r="J43" s="32">
        <v>150000000</v>
      </c>
      <c r="K43" s="33"/>
      <c r="L43" s="33"/>
    </row>
    <row r="44" spans="1:12" ht="39" customHeight="1">
      <c r="A44" s="73"/>
      <c r="B44" s="66"/>
      <c r="C44" s="1" t="s">
        <v>53</v>
      </c>
      <c r="D44" s="32">
        <f t="shared" si="0"/>
        <v>21528000</v>
      </c>
      <c r="E44" s="33"/>
      <c r="F44" s="33"/>
      <c r="G44" s="32">
        <f>20000000*1.04*1.035</f>
        <v>21528000</v>
      </c>
      <c r="H44" s="33"/>
      <c r="I44" s="33"/>
      <c r="J44" s="33"/>
      <c r="K44" s="33"/>
      <c r="L44" s="33"/>
    </row>
    <row r="45" spans="1:12" ht="19.5" customHeight="1">
      <c r="A45" s="73"/>
      <c r="B45" s="66"/>
      <c r="C45" s="65" t="s">
        <v>120</v>
      </c>
      <c r="D45" s="32">
        <f>L45</f>
        <v>105000000</v>
      </c>
      <c r="E45" s="33"/>
      <c r="F45" s="33"/>
      <c r="G45" s="32"/>
      <c r="H45" s="33"/>
      <c r="I45" s="33"/>
      <c r="J45" s="33"/>
      <c r="K45" s="33"/>
      <c r="L45" s="32">
        <v>105000000</v>
      </c>
    </row>
    <row r="46" spans="1:12" ht="48.75" customHeight="1">
      <c r="A46" s="73"/>
      <c r="B46" s="66"/>
      <c r="C46" s="1" t="s">
        <v>54</v>
      </c>
      <c r="D46" s="32">
        <f t="shared" si="0"/>
        <v>96537500</v>
      </c>
      <c r="E46" s="32">
        <f>15750000*1.05</f>
        <v>16537500</v>
      </c>
      <c r="F46" s="32">
        <v>80000000</v>
      </c>
      <c r="G46" s="33"/>
      <c r="H46" s="33"/>
      <c r="I46" s="33"/>
      <c r="J46" s="33"/>
      <c r="K46" s="33"/>
      <c r="L46" s="33"/>
    </row>
    <row r="47" spans="1:12" ht="49.5" customHeight="1">
      <c r="A47" s="73"/>
      <c r="B47" s="66" t="s">
        <v>9</v>
      </c>
      <c r="C47" s="1" t="s">
        <v>55</v>
      </c>
      <c r="D47" s="32">
        <f t="shared" si="0"/>
        <v>26909999.999999996</v>
      </c>
      <c r="E47" s="33"/>
      <c r="F47" s="33"/>
      <c r="G47" s="32">
        <f>25000000*1.04*1.035</f>
        <v>26909999.999999996</v>
      </c>
      <c r="H47" s="33"/>
      <c r="I47" s="33"/>
      <c r="J47" s="33"/>
      <c r="K47" s="33"/>
      <c r="L47" s="33"/>
    </row>
    <row r="48" spans="1:12" ht="48" customHeight="1">
      <c r="A48" s="73"/>
      <c r="B48" s="66"/>
      <c r="C48" s="1" t="s">
        <v>56</v>
      </c>
      <c r="D48" s="32">
        <f t="shared" si="0"/>
        <v>21528000</v>
      </c>
      <c r="E48" s="32"/>
      <c r="F48" s="33"/>
      <c r="G48" s="32">
        <f>20000000*1.04*1.035</f>
        <v>21528000</v>
      </c>
      <c r="H48" s="33"/>
      <c r="I48" s="33"/>
      <c r="J48" s="33"/>
      <c r="K48" s="33"/>
      <c r="L48" s="33"/>
    </row>
    <row r="49" spans="1:12" ht="48" customHeight="1">
      <c r="A49" s="73"/>
      <c r="B49" s="66"/>
      <c r="C49" s="1" t="s">
        <v>57</v>
      </c>
      <c r="D49" s="32">
        <f t="shared" si="0"/>
        <v>10764000</v>
      </c>
      <c r="E49" s="33"/>
      <c r="F49" s="33"/>
      <c r="G49" s="32">
        <f>10000000*1.04*1.035</f>
        <v>10764000</v>
      </c>
      <c r="H49" s="33"/>
      <c r="I49" s="33"/>
      <c r="J49" s="33"/>
      <c r="K49" s="33"/>
      <c r="L49" s="33"/>
    </row>
    <row r="50" spans="1:12" ht="45.75" customHeight="1">
      <c r="A50" s="73"/>
      <c r="B50" s="66" t="s">
        <v>10</v>
      </c>
      <c r="C50" s="1" t="s">
        <v>58</v>
      </c>
      <c r="D50" s="32">
        <f t="shared" si="0"/>
        <v>184338477.1228</v>
      </c>
      <c r="E50" s="33"/>
      <c r="F50" s="33"/>
      <c r="G50" s="11">
        <f>50481677*1.04*1.035</f>
        <v>54338477.12279999</v>
      </c>
      <c r="H50" s="32"/>
      <c r="I50" s="33"/>
      <c r="J50" s="33"/>
      <c r="K50" s="32">
        <v>130000000</v>
      </c>
      <c r="L50" s="33"/>
    </row>
    <row r="51" spans="1:12" ht="19.5" customHeight="1">
      <c r="A51" s="73"/>
      <c r="B51" s="66"/>
      <c r="C51" s="65" t="s">
        <v>121</v>
      </c>
      <c r="D51" s="32">
        <f>L51</f>
        <v>200000000</v>
      </c>
      <c r="E51" s="33"/>
      <c r="F51" s="33"/>
      <c r="G51" s="11"/>
      <c r="H51" s="32"/>
      <c r="I51" s="33"/>
      <c r="J51" s="33"/>
      <c r="K51" s="32"/>
      <c r="L51" s="32">
        <v>200000000</v>
      </c>
    </row>
    <row r="52" spans="1:12" ht="35.25" customHeight="1">
      <c r="A52" s="73"/>
      <c r="B52" s="66"/>
      <c r="C52" s="4" t="s">
        <v>59</v>
      </c>
      <c r="D52" s="32">
        <f t="shared" si="0"/>
        <v>147910000</v>
      </c>
      <c r="E52" s="33"/>
      <c r="F52" s="11">
        <f>20000000*1.05</f>
        <v>21000000</v>
      </c>
      <c r="G52" s="32">
        <f>25000000*1.04*1.035</f>
        <v>26909999.999999996</v>
      </c>
      <c r="H52" s="33"/>
      <c r="I52" s="33"/>
      <c r="J52" s="33"/>
      <c r="K52" s="32">
        <v>100000000</v>
      </c>
      <c r="L52" s="33"/>
    </row>
    <row r="53" spans="1:12" ht="52.5" customHeight="1">
      <c r="A53" s="73"/>
      <c r="B53" s="66" t="s">
        <v>11</v>
      </c>
      <c r="C53" s="1" t="s">
        <v>61</v>
      </c>
      <c r="D53" s="32">
        <f t="shared" si="0"/>
        <v>16145999.999999998</v>
      </c>
      <c r="E53" s="33"/>
      <c r="F53" s="33"/>
      <c r="G53" s="32">
        <f>15000000*1.04*1.035</f>
        <v>16145999.999999998</v>
      </c>
      <c r="H53" s="33"/>
      <c r="I53" s="33"/>
      <c r="J53" s="33"/>
      <c r="K53" s="33"/>
      <c r="L53" s="33"/>
    </row>
    <row r="54" spans="1:12" ht="51" customHeight="1">
      <c r="A54" s="73"/>
      <c r="B54" s="66"/>
      <c r="C54" s="1" t="s">
        <v>62</v>
      </c>
      <c r="D54" s="32">
        <f t="shared" si="0"/>
        <v>22916800</v>
      </c>
      <c r="E54" s="33"/>
      <c r="F54" s="33"/>
      <c r="G54" s="32">
        <f>12000000*1.04*1.035</f>
        <v>12916799.999999998</v>
      </c>
      <c r="H54" s="33"/>
      <c r="I54" s="33"/>
      <c r="J54" s="33"/>
      <c r="K54" s="32">
        <v>10000000</v>
      </c>
      <c r="L54" s="33"/>
    </row>
    <row r="55" spans="1:12" ht="33" customHeight="1">
      <c r="A55" s="73"/>
      <c r="B55" s="66"/>
      <c r="C55" s="1" t="s">
        <v>63</v>
      </c>
      <c r="D55" s="32">
        <f t="shared" si="0"/>
        <v>2152800</v>
      </c>
      <c r="E55" s="33"/>
      <c r="F55" s="33"/>
      <c r="G55" s="32">
        <f>2000000*1.04*1.035</f>
        <v>2152800</v>
      </c>
      <c r="H55" s="33"/>
      <c r="I55" s="33"/>
      <c r="J55" s="33"/>
      <c r="K55" s="33"/>
      <c r="L55" s="33"/>
    </row>
    <row r="56" spans="1:12" ht="48.75" customHeight="1">
      <c r="A56" s="73"/>
      <c r="B56" s="66"/>
      <c r="C56" s="1" t="s">
        <v>64</v>
      </c>
      <c r="D56" s="32">
        <f t="shared" si="0"/>
        <v>10764000</v>
      </c>
      <c r="E56" s="33"/>
      <c r="F56" s="33"/>
      <c r="G56" s="32">
        <f>10000000*1.04*1.035</f>
        <v>10764000</v>
      </c>
      <c r="H56" s="33"/>
      <c r="I56" s="33"/>
      <c r="J56" s="33"/>
      <c r="K56" s="33"/>
      <c r="L56" s="33"/>
    </row>
    <row r="57" spans="1:12" ht="63" customHeight="1">
      <c r="A57" s="73"/>
      <c r="B57" s="66"/>
      <c r="C57" s="2" t="s">
        <v>60</v>
      </c>
      <c r="D57" s="32">
        <f t="shared" si="0"/>
        <v>48490257.458</v>
      </c>
      <c r="E57" s="33"/>
      <c r="F57" s="33"/>
      <c r="G57" s="11">
        <f>26468095*1.04*1.035</f>
        <v>28490257.457999997</v>
      </c>
      <c r="H57" s="33"/>
      <c r="I57" s="33"/>
      <c r="J57" s="33"/>
      <c r="K57" s="32">
        <v>20000000</v>
      </c>
      <c r="L57" s="33"/>
    </row>
    <row r="58" spans="1:12" ht="52.5" customHeight="1">
      <c r="A58" s="73"/>
      <c r="B58" s="66" t="s">
        <v>12</v>
      </c>
      <c r="C58" s="2" t="s">
        <v>66</v>
      </c>
      <c r="D58" s="32">
        <f t="shared" si="0"/>
        <v>4305600</v>
      </c>
      <c r="E58" s="33"/>
      <c r="F58" s="33"/>
      <c r="G58" s="32">
        <f>4000000*1.04*1.035</f>
        <v>4305600</v>
      </c>
      <c r="H58" s="33"/>
      <c r="I58" s="33"/>
      <c r="J58" s="33"/>
      <c r="K58" s="33"/>
      <c r="L58" s="33"/>
    </row>
    <row r="59" spans="1:12" ht="36" customHeight="1">
      <c r="A59" s="73"/>
      <c r="B59" s="66"/>
      <c r="C59" s="4" t="s">
        <v>67</v>
      </c>
      <c r="D59" s="32">
        <f t="shared" si="0"/>
        <v>3229199.9999999995</v>
      </c>
      <c r="E59" s="33"/>
      <c r="F59" s="33"/>
      <c r="G59" s="32">
        <f>3000000*1.04*1.035</f>
        <v>3229199.9999999995</v>
      </c>
      <c r="H59" s="33"/>
      <c r="I59" s="33"/>
      <c r="J59" s="33"/>
      <c r="K59" s="33"/>
      <c r="L59" s="33"/>
    </row>
    <row r="60" spans="1:12" ht="33.75" customHeight="1">
      <c r="A60" s="73"/>
      <c r="B60" s="66"/>
      <c r="C60" s="1" t="s">
        <v>68</v>
      </c>
      <c r="D60" s="32">
        <f t="shared" si="0"/>
        <v>5382000</v>
      </c>
      <c r="E60" s="33"/>
      <c r="F60" s="33"/>
      <c r="G60" s="32">
        <f>5000000*1.04*1.035</f>
        <v>5382000</v>
      </c>
      <c r="H60" s="33"/>
      <c r="I60" s="33"/>
      <c r="J60" s="33"/>
      <c r="K60" s="33"/>
      <c r="L60" s="33"/>
    </row>
    <row r="61" spans="1:12" ht="50.25" customHeight="1">
      <c r="A61" s="73"/>
      <c r="B61" s="66" t="s">
        <v>13</v>
      </c>
      <c r="C61" s="1" t="s">
        <v>69</v>
      </c>
      <c r="D61" s="32">
        <f t="shared" si="0"/>
        <v>5382000</v>
      </c>
      <c r="E61" s="33"/>
      <c r="F61" s="33"/>
      <c r="G61" s="32">
        <f>5000000*1.04*1.035</f>
        <v>5382000</v>
      </c>
      <c r="H61" s="33"/>
      <c r="I61" s="33"/>
      <c r="J61" s="33"/>
      <c r="K61" s="33"/>
      <c r="L61" s="33"/>
    </row>
    <row r="62" spans="1:12" ht="35.25" customHeight="1">
      <c r="A62" s="73"/>
      <c r="B62" s="66"/>
      <c r="C62" s="1" t="s">
        <v>70</v>
      </c>
      <c r="D62" s="32">
        <f t="shared" si="0"/>
        <v>5382000</v>
      </c>
      <c r="E62" s="33"/>
      <c r="F62" s="33"/>
      <c r="G62" s="32">
        <f>5000000*1.04*1.035</f>
        <v>5382000</v>
      </c>
      <c r="H62" s="33"/>
      <c r="I62" s="33"/>
      <c r="J62" s="33"/>
      <c r="K62" s="33"/>
      <c r="L62" s="33"/>
    </row>
    <row r="63" spans="1:12" ht="35.25" customHeight="1">
      <c r="A63" s="73"/>
      <c r="B63" s="66"/>
      <c r="C63" s="4" t="s">
        <v>71</v>
      </c>
      <c r="D63" s="32">
        <f t="shared" si="0"/>
        <v>5382000</v>
      </c>
      <c r="E63" s="33"/>
      <c r="F63" s="33"/>
      <c r="G63" s="32">
        <f>5000000*1.04*1.035</f>
        <v>5382000</v>
      </c>
      <c r="H63" s="33"/>
      <c r="I63" s="33"/>
      <c r="J63" s="33"/>
      <c r="K63" s="33"/>
      <c r="L63" s="33"/>
    </row>
    <row r="64" spans="1:12" ht="51.75" customHeight="1">
      <c r="A64" s="73"/>
      <c r="B64" s="66"/>
      <c r="C64" s="2" t="s">
        <v>72</v>
      </c>
      <c r="D64" s="32">
        <f t="shared" si="0"/>
        <v>2152800</v>
      </c>
      <c r="E64" s="33"/>
      <c r="F64" s="33"/>
      <c r="G64" s="32">
        <f>2000000*1.04*1.035</f>
        <v>2152800</v>
      </c>
      <c r="H64" s="33"/>
      <c r="I64" s="33"/>
      <c r="J64" s="33"/>
      <c r="K64" s="33"/>
      <c r="L64" s="33"/>
    </row>
    <row r="65" spans="1:12" ht="55.5" customHeight="1">
      <c r="A65" s="74"/>
      <c r="B65" s="66"/>
      <c r="C65" s="2" t="s">
        <v>73</v>
      </c>
      <c r="D65" s="32">
        <f t="shared" si="0"/>
        <v>2152800</v>
      </c>
      <c r="E65" s="33"/>
      <c r="F65" s="33"/>
      <c r="G65" s="32">
        <f>2000000*1.04*1.035</f>
        <v>2152800</v>
      </c>
      <c r="H65" s="33"/>
      <c r="I65" s="33"/>
      <c r="J65" s="33"/>
      <c r="K65" s="33"/>
      <c r="L65" s="33"/>
    </row>
    <row r="66" spans="1:12" ht="46.5" customHeight="1">
      <c r="A66" s="66" t="s">
        <v>88</v>
      </c>
      <c r="B66" s="66" t="s">
        <v>14</v>
      </c>
      <c r="C66" s="4" t="s">
        <v>75</v>
      </c>
      <c r="D66" s="32">
        <f t="shared" si="0"/>
        <v>10764000</v>
      </c>
      <c r="E66" s="33"/>
      <c r="F66" s="33"/>
      <c r="G66" s="32">
        <f>10000000*1.04*1.035</f>
        <v>10764000</v>
      </c>
      <c r="H66" s="33"/>
      <c r="I66" s="33"/>
      <c r="J66" s="33"/>
      <c r="K66" s="33"/>
      <c r="L66" s="33"/>
    </row>
    <row r="67" spans="1:12" ht="30" customHeight="1">
      <c r="A67" s="66"/>
      <c r="B67" s="66"/>
      <c r="C67" s="2" t="s">
        <v>74</v>
      </c>
      <c r="D67" s="32">
        <f t="shared" si="0"/>
        <v>39298800</v>
      </c>
      <c r="E67" s="32">
        <f>20000000*1.05</f>
        <v>21000000</v>
      </c>
      <c r="F67" s="33"/>
      <c r="G67" s="32">
        <f>17000000*1.04*1.035</f>
        <v>18298800</v>
      </c>
      <c r="H67" s="33"/>
      <c r="I67" s="33"/>
      <c r="J67" s="33"/>
      <c r="K67" s="33"/>
      <c r="L67" s="33"/>
    </row>
    <row r="68" spans="1:12" ht="58.5" customHeight="1">
      <c r="A68" s="66"/>
      <c r="B68" s="66" t="s">
        <v>15</v>
      </c>
      <c r="C68" s="1" t="s">
        <v>77</v>
      </c>
      <c r="D68" s="32">
        <f t="shared" si="0"/>
        <v>5382000</v>
      </c>
      <c r="E68" s="33"/>
      <c r="F68" s="33"/>
      <c r="G68" s="32">
        <f>5000000*1.04*1.035</f>
        <v>5382000</v>
      </c>
      <c r="H68" s="33"/>
      <c r="I68" s="33"/>
      <c r="J68" s="33"/>
      <c r="K68" s="32"/>
      <c r="L68" s="33"/>
    </row>
    <row r="69" spans="1:12" ht="32.25" customHeight="1">
      <c r="A69" s="66"/>
      <c r="B69" s="66"/>
      <c r="C69" s="4" t="s">
        <v>76</v>
      </c>
      <c r="D69" s="32">
        <f t="shared" si="0"/>
        <v>2152800</v>
      </c>
      <c r="E69" s="33"/>
      <c r="F69" s="33"/>
      <c r="G69" s="32">
        <f>2000000*1.04*1.035</f>
        <v>2152800</v>
      </c>
      <c r="H69" s="33"/>
      <c r="I69" s="33"/>
      <c r="J69" s="33"/>
      <c r="K69" s="33"/>
      <c r="L69" s="33"/>
    </row>
    <row r="70" spans="1:12" ht="46.5" customHeight="1">
      <c r="A70" s="66"/>
      <c r="B70" s="66" t="s">
        <v>16</v>
      </c>
      <c r="C70" s="1" t="s">
        <v>78</v>
      </c>
      <c r="D70" s="32">
        <f t="shared" si="0"/>
        <v>5814600</v>
      </c>
      <c r="E70" s="32">
        <f>4000000*1.05</f>
        <v>4200000</v>
      </c>
      <c r="F70" s="33"/>
      <c r="G70" s="32">
        <f>1500000*1.04*1.035</f>
        <v>1614599.9999999998</v>
      </c>
      <c r="H70" s="33"/>
      <c r="I70" s="33"/>
      <c r="J70" s="33"/>
      <c r="K70" s="32"/>
      <c r="L70" s="33"/>
    </row>
    <row r="71" spans="1:12" ht="62.25" customHeight="1">
      <c r="A71" s="66"/>
      <c r="B71" s="66"/>
      <c r="C71" s="4" t="s">
        <v>79</v>
      </c>
      <c r="D71" s="32">
        <f t="shared" si="0"/>
        <v>32291999.999999996</v>
      </c>
      <c r="E71" s="33"/>
      <c r="F71" s="33"/>
      <c r="G71" s="32">
        <f>30000000*1.04*1.035</f>
        <v>32291999.999999996</v>
      </c>
      <c r="H71" s="33"/>
      <c r="I71" s="33"/>
      <c r="J71" s="33"/>
      <c r="K71" s="32"/>
      <c r="L71" s="33"/>
    </row>
    <row r="72" spans="1:12" ht="30.75" customHeight="1">
      <c r="A72" s="66"/>
      <c r="B72" s="66" t="s">
        <v>17</v>
      </c>
      <c r="C72" s="2" t="s">
        <v>80</v>
      </c>
      <c r="D72" s="32">
        <f>SUM(E72:L72)</f>
        <v>5512500</v>
      </c>
      <c r="E72" s="33"/>
      <c r="F72" s="32">
        <f>5250000*1.05</f>
        <v>5512500</v>
      </c>
      <c r="G72" s="32"/>
      <c r="H72" s="33"/>
      <c r="I72" s="33"/>
      <c r="J72" s="33"/>
      <c r="K72" s="33"/>
      <c r="L72" s="33"/>
    </row>
    <row r="73" spans="1:12" ht="46.5" customHeight="1">
      <c r="A73" s="66"/>
      <c r="B73" s="66"/>
      <c r="C73" s="2" t="s">
        <v>81</v>
      </c>
      <c r="D73" s="32">
        <f>SUM(E73:L73)</f>
        <v>5382000</v>
      </c>
      <c r="E73" s="32"/>
      <c r="F73" s="33"/>
      <c r="G73" s="32">
        <f>5000000*1.04*1.035</f>
        <v>5382000</v>
      </c>
      <c r="H73" s="33"/>
      <c r="I73" s="33"/>
      <c r="J73" s="33"/>
      <c r="K73" s="33"/>
      <c r="L73" s="33"/>
    </row>
    <row r="74" spans="1:12" ht="12.75">
      <c r="A74" s="76" t="s">
        <v>109</v>
      </c>
      <c r="B74" s="76"/>
      <c r="C74" s="76"/>
      <c r="D74" s="37">
        <f>SUM(D10:D73)</f>
        <v>9294269087.844799</v>
      </c>
      <c r="E74" s="37">
        <f>SUM(E10:E73)</f>
        <v>69300000</v>
      </c>
      <c r="F74" s="37">
        <f>SUM(F10:F73)</f>
        <v>137462500</v>
      </c>
      <c r="G74" s="37">
        <f aca="true" t="shared" si="1" ref="G74:L74">SUM(G10:G73)</f>
        <v>2285924152.9035997</v>
      </c>
      <c r="H74" s="37">
        <f t="shared" si="1"/>
        <v>652126817.5344</v>
      </c>
      <c r="I74" s="37">
        <f t="shared" si="1"/>
        <v>600000000</v>
      </c>
      <c r="J74" s="37">
        <f t="shared" si="1"/>
        <v>2881019794.9692</v>
      </c>
      <c r="K74" s="37">
        <f t="shared" si="1"/>
        <v>2278435822.4376</v>
      </c>
      <c r="L74" s="37">
        <f t="shared" si="1"/>
        <v>390000000</v>
      </c>
    </row>
    <row r="75" spans="4:8" ht="12.75">
      <c r="D75" s="38"/>
      <c r="E75" s="35"/>
      <c r="F75" s="34"/>
      <c r="G75" s="34"/>
      <c r="H75" s="34"/>
    </row>
    <row r="77" spans="7:11" ht="12.75">
      <c r="G77" s="39"/>
      <c r="J77" s="34"/>
      <c r="K77" s="35"/>
    </row>
    <row r="78" spans="10:11" ht="12.75">
      <c r="J78" s="18"/>
      <c r="K78" s="18"/>
    </row>
    <row r="79" spans="10:11" ht="12.75">
      <c r="J79" s="18"/>
      <c r="K79" s="36"/>
    </row>
  </sheetData>
  <sheetProtection/>
  <mergeCells count="28">
    <mergeCell ref="A74:C74"/>
    <mergeCell ref="C7:C9"/>
    <mergeCell ref="D7:D9"/>
    <mergeCell ref="E7:L7"/>
    <mergeCell ref="E8:L8"/>
    <mergeCell ref="A66:A73"/>
    <mergeCell ref="A10:A38"/>
    <mergeCell ref="A7:A9"/>
    <mergeCell ref="B7:B9"/>
    <mergeCell ref="B10:B14"/>
    <mergeCell ref="B15:B25"/>
    <mergeCell ref="B26:B29"/>
    <mergeCell ref="A3:L3"/>
    <mergeCell ref="A4:L4"/>
    <mergeCell ref="A39:A65"/>
    <mergeCell ref="B39:B46"/>
    <mergeCell ref="B47:B49"/>
    <mergeCell ref="B50:B52"/>
    <mergeCell ref="B53:B57"/>
    <mergeCell ref="B58:B60"/>
    <mergeCell ref="B61:B65"/>
    <mergeCell ref="B66:B67"/>
    <mergeCell ref="B68:B69"/>
    <mergeCell ref="B70:B71"/>
    <mergeCell ref="B72:B73"/>
    <mergeCell ref="B30:B31"/>
    <mergeCell ref="B32:B33"/>
    <mergeCell ref="B34:B38"/>
  </mergeCells>
  <printOptions horizontalCentered="1" verticalCentered="1"/>
  <pageMargins left="0.6299212598425197" right="0.6299212598425197" top="0.984251968503937" bottom="0.984251968503937" header="0" footer="0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66">
      <selection activeCell="A75" sqref="A75"/>
    </sheetView>
  </sheetViews>
  <sheetFormatPr defaultColWidth="11.421875" defaultRowHeight="12.75"/>
  <cols>
    <col min="1" max="1" width="18.8515625" style="24" customWidth="1"/>
    <col min="2" max="2" width="15.8515625" style="24" customWidth="1"/>
    <col min="3" max="3" width="34.00390625" style="24" customWidth="1"/>
    <col min="4" max="4" width="15.00390625" style="24" customWidth="1"/>
    <col min="5" max="5" width="13.00390625" style="24" customWidth="1"/>
    <col min="6" max="6" width="12.7109375" style="24" customWidth="1"/>
    <col min="7" max="7" width="14.140625" style="24" customWidth="1"/>
    <col min="8" max="8" width="13.8515625" style="24" customWidth="1"/>
    <col min="9" max="9" width="14.00390625" style="24" customWidth="1"/>
    <col min="10" max="11" width="13.8515625" style="24" customWidth="1"/>
    <col min="12" max="12" width="12.140625" style="24" customWidth="1"/>
    <col min="13" max="13" width="13.8515625" style="24" bestFit="1" customWidth="1"/>
    <col min="14" max="14" width="16.57421875" style="24" bestFit="1" customWidth="1"/>
    <col min="15" max="16384" width="11.421875" style="24" customWidth="1"/>
  </cols>
  <sheetData>
    <row r="1" spans="1:13" s="40" customFormat="1" ht="12.75">
      <c r="A1" s="75" t="s">
        <v>103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63"/>
    </row>
    <row r="2" spans="1:13" s="40" customFormat="1" ht="12.75">
      <c r="A2" s="75" t="s">
        <v>112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63"/>
    </row>
    <row r="3" spans="1:13" s="40" customFormat="1" ht="12.7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3"/>
    </row>
    <row r="4" spans="1:13" s="40" customFormat="1" ht="12.75">
      <c r="A4" s="29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s="40" customFormat="1" ht="12.75">
      <c r="A6" s="66" t="s">
        <v>0</v>
      </c>
      <c r="B6" s="71" t="s">
        <v>1</v>
      </c>
      <c r="C6" s="71" t="s">
        <v>2</v>
      </c>
      <c r="D6" s="66" t="s">
        <v>89</v>
      </c>
      <c r="E6" s="70" t="s">
        <v>96</v>
      </c>
      <c r="F6" s="70"/>
      <c r="G6" s="70"/>
      <c r="H6" s="70"/>
      <c r="I6" s="70"/>
      <c r="J6" s="70"/>
      <c r="K6" s="70"/>
      <c r="L6" s="70"/>
      <c r="M6" s="29"/>
    </row>
    <row r="7" spans="1:13" s="40" customFormat="1" ht="12.75">
      <c r="A7" s="66"/>
      <c r="B7" s="71"/>
      <c r="C7" s="71"/>
      <c r="D7" s="66"/>
      <c r="E7" s="70" t="s">
        <v>111</v>
      </c>
      <c r="F7" s="70"/>
      <c r="G7" s="70"/>
      <c r="H7" s="70"/>
      <c r="I7" s="70"/>
      <c r="J7" s="70"/>
      <c r="K7" s="70"/>
      <c r="L7" s="70"/>
      <c r="M7" s="29"/>
    </row>
    <row r="8" spans="1:13" s="40" customFormat="1" ht="25.5">
      <c r="A8" s="66"/>
      <c r="B8" s="71"/>
      <c r="C8" s="71"/>
      <c r="D8" s="66"/>
      <c r="E8" s="30" t="s">
        <v>99</v>
      </c>
      <c r="F8" s="30" t="s">
        <v>91</v>
      </c>
      <c r="G8" s="30" t="s">
        <v>90</v>
      </c>
      <c r="H8" s="31" t="s">
        <v>98</v>
      </c>
      <c r="I8" s="30" t="s">
        <v>92</v>
      </c>
      <c r="J8" s="30" t="s">
        <v>93</v>
      </c>
      <c r="K8" s="30" t="s">
        <v>95</v>
      </c>
      <c r="L8" s="30" t="s">
        <v>94</v>
      </c>
      <c r="M8" s="29"/>
    </row>
    <row r="9" spans="1:14" s="42" customFormat="1" ht="45" customHeight="1">
      <c r="A9" s="77" t="s">
        <v>86</v>
      </c>
      <c r="B9" s="66" t="s">
        <v>3</v>
      </c>
      <c r="C9" s="1" t="s">
        <v>19</v>
      </c>
      <c r="D9" s="32">
        <f aca="true" t="shared" si="0" ref="D9:D39">SUM(E9:L9)</f>
        <v>10000000</v>
      </c>
      <c r="E9" s="33"/>
      <c r="F9" s="33"/>
      <c r="G9" s="33"/>
      <c r="H9" s="33"/>
      <c r="I9" s="32">
        <v>10000000</v>
      </c>
      <c r="J9" s="33"/>
      <c r="K9" s="33"/>
      <c r="L9" s="33"/>
      <c r="M9" s="34"/>
      <c r="N9" s="41"/>
    </row>
    <row r="10" spans="1:13" s="42" customFormat="1" ht="37.5" customHeight="1">
      <c r="A10" s="83"/>
      <c r="B10" s="66"/>
      <c r="C10" s="1" t="s">
        <v>20</v>
      </c>
      <c r="D10" s="32">
        <f t="shared" si="0"/>
        <v>64891121.89248</v>
      </c>
      <c r="E10" s="33"/>
      <c r="F10" s="33"/>
      <c r="G10" s="11">
        <f>58529440*1.04*1.035*1.03</f>
        <v>64891121.89248</v>
      </c>
      <c r="H10" s="33"/>
      <c r="I10" s="33"/>
      <c r="J10" s="33"/>
      <c r="K10" s="33"/>
      <c r="L10" s="33"/>
      <c r="M10" s="29"/>
    </row>
    <row r="11" spans="1:13" ht="38.25" customHeight="1">
      <c r="A11" s="83"/>
      <c r="B11" s="66"/>
      <c r="C11" s="1" t="s">
        <v>22</v>
      </c>
      <c r="D11" s="32">
        <f t="shared" si="0"/>
        <v>2309140995.6605396</v>
      </c>
      <c r="E11" s="33"/>
      <c r="F11" s="32">
        <f>11000000*1.1</f>
        <v>12100000.000000002</v>
      </c>
      <c r="G11" s="11">
        <f>(908357912*1.04*1.035*1.03)+40000000</f>
        <v>1047089150.171104</v>
      </c>
      <c r="H11" s="32">
        <f>605840596*1.04*1.035*1.03</f>
        <v>671690622.060432</v>
      </c>
      <c r="I11" s="32">
        <f>(200000000+20000000)*1.05</f>
        <v>231000000</v>
      </c>
      <c r="J11" s="11">
        <f>(223912853*1.04*1.035*1.03)+40000000</f>
        <v>288250388.818276</v>
      </c>
      <c r="K11" s="11">
        <f>(4147452+49078182)*1.04*1.035*1.03</f>
        <v>59010834.610727996</v>
      </c>
      <c r="L11" s="33"/>
      <c r="M11" s="29"/>
    </row>
    <row r="12" spans="1:13" s="42" customFormat="1" ht="48" customHeight="1">
      <c r="A12" s="83"/>
      <c r="B12" s="66"/>
      <c r="C12" s="1" t="s">
        <v>23</v>
      </c>
      <c r="D12" s="32">
        <f t="shared" si="0"/>
        <v>177725275.57184398</v>
      </c>
      <c r="E12" s="33"/>
      <c r="F12" s="33"/>
      <c r="G12" s="32">
        <f>160301757*1.04*1.035*1.03</f>
        <v>177725275.57184398</v>
      </c>
      <c r="H12" s="33"/>
      <c r="I12" s="33"/>
      <c r="J12" s="33"/>
      <c r="K12" s="33"/>
      <c r="L12" s="33"/>
      <c r="M12" s="29"/>
    </row>
    <row r="13" spans="1:14" s="42" customFormat="1" ht="48.75" customHeight="1">
      <c r="A13" s="83"/>
      <c r="B13" s="66" t="s">
        <v>24</v>
      </c>
      <c r="C13" s="1" t="s">
        <v>25</v>
      </c>
      <c r="D13" s="32">
        <f t="shared" si="0"/>
        <v>117739072</v>
      </c>
      <c r="E13" s="33"/>
      <c r="F13" s="33"/>
      <c r="G13" s="32">
        <f>16000000*1.04*1.035*1.03</f>
        <v>17739072</v>
      </c>
      <c r="H13" s="33"/>
      <c r="I13" s="32">
        <v>50000000</v>
      </c>
      <c r="J13" s="32">
        <v>50000000</v>
      </c>
      <c r="K13" s="33"/>
      <c r="L13" s="33"/>
      <c r="M13" s="36"/>
      <c r="N13" s="41"/>
    </row>
    <row r="14" spans="1:13" s="42" customFormat="1" ht="48" customHeight="1">
      <c r="A14" s="83"/>
      <c r="B14" s="66"/>
      <c r="C14" s="1" t="s">
        <v>26</v>
      </c>
      <c r="D14" s="32">
        <f t="shared" si="0"/>
        <v>60086920</v>
      </c>
      <c r="E14" s="33"/>
      <c r="F14" s="33"/>
      <c r="G14" s="11">
        <f>10000000*1.04*1.035*1.03</f>
        <v>11086920</v>
      </c>
      <c r="H14" s="33"/>
      <c r="I14" s="32">
        <v>49000000</v>
      </c>
      <c r="J14" s="32"/>
      <c r="K14" s="33"/>
      <c r="L14" s="33"/>
      <c r="M14" s="29"/>
    </row>
    <row r="15" spans="1:13" s="42" customFormat="1" ht="35.25" customHeight="1">
      <c r="A15" s="83"/>
      <c r="B15" s="66"/>
      <c r="C15" s="1" t="s">
        <v>27</v>
      </c>
      <c r="D15" s="32">
        <f t="shared" si="0"/>
        <v>56652152</v>
      </c>
      <c r="E15" s="33"/>
      <c r="F15" s="33"/>
      <c r="G15" s="11">
        <f>6000000*1.04*1.035*1.03</f>
        <v>6652151.999999999</v>
      </c>
      <c r="H15" s="33"/>
      <c r="I15" s="32">
        <v>50000000</v>
      </c>
      <c r="J15" s="32"/>
      <c r="K15" s="33"/>
      <c r="L15" s="33"/>
      <c r="M15" s="29"/>
    </row>
    <row r="16" spans="1:13" s="42" customFormat="1" ht="35.25" customHeight="1">
      <c r="A16" s="83"/>
      <c r="B16" s="66"/>
      <c r="C16" s="1" t="s">
        <v>28</v>
      </c>
      <c r="D16" s="32">
        <f t="shared" si="0"/>
        <v>15552835.593047999</v>
      </c>
      <c r="E16" s="33"/>
      <c r="F16" s="33"/>
      <c r="G16" s="11">
        <f>14028094*1.04*1.035*1.03</f>
        <v>15552835.593047999</v>
      </c>
      <c r="H16" s="33"/>
      <c r="I16" s="32"/>
      <c r="J16" s="33"/>
      <c r="K16" s="33"/>
      <c r="L16" s="33"/>
      <c r="M16" s="29"/>
    </row>
    <row r="17" spans="1:13" s="42" customFormat="1" ht="34.5" customHeight="1">
      <c r="A17" s="83"/>
      <c r="B17" s="66"/>
      <c r="C17" s="1" t="s">
        <v>31</v>
      </c>
      <c r="D17" s="32">
        <f t="shared" si="0"/>
        <v>42308976.128796004</v>
      </c>
      <c r="E17" s="33"/>
      <c r="F17" s="33"/>
      <c r="G17" s="11">
        <f>38161163*1.04*1.035*1.03</f>
        <v>42308976.128796004</v>
      </c>
      <c r="H17" s="33"/>
      <c r="I17" s="33"/>
      <c r="J17" s="33"/>
      <c r="K17" s="33"/>
      <c r="L17" s="33"/>
      <c r="M17" s="29"/>
    </row>
    <row r="18" spans="1:13" s="42" customFormat="1" ht="36" customHeight="1">
      <c r="A18" s="83"/>
      <c r="B18" s="66"/>
      <c r="C18" s="2" t="s">
        <v>85</v>
      </c>
      <c r="D18" s="32">
        <f t="shared" si="0"/>
        <v>302217384</v>
      </c>
      <c r="E18" s="33"/>
      <c r="F18" s="33"/>
      <c r="G18" s="32">
        <f>2000000*1.04*1.035*1.03</f>
        <v>2217384</v>
      </c>
      <c r="H18" s="33"/>
      <c r="I18" s="32">
        <v>150000000</v>
      </c>
      <c r="J18" s="32">
        <v>150000000</v>
      </c>
      <c r="K18" s="33"/>
      <c r="L18" s="33"/>
      <c r="M18" s="29"/>
    </row>
    <row r="19" spans="1:13" s="42" customFormat="1" ht="33" customHeight="1">
      <c r="A19" s="83"/>
      <c r="B19" s="66"/>
      <c r="C19" s="1" t="s">
        <v>100</v>
      </c>
      <c r="D19" s="32">
        <f t="shared" si="0"/>
        <v>66521519.99999999</v>
      </c>
      <c r="E19" s="33"/>
      <c r="F19" s="33"/>
      <c r="G19" s="32">
        <f>60000000*1.04*1.035*1.03</f>
        <v>66521519.99999999</v>
      </c>
      <c r="H19" s="33"/>
      <c r="I19" s="33"/>
      <c r="J19" s="33"/>
      <c r="K19" s="33"/>
      <c r="L19" s="33"/>
      <c r="M19" s="29"/>
    </row>
    <row r="20" spans="1:13" s="42" customFormat="1" ht="36.75" customHeight="1">
      <c r="A20" s="83"/>
      <c r="B20" s="66"/>
      <c r="C20" s="1" t="s">
        <v>30</v>
      </c>
      <c r="D20" s="32">
        <f t="shared" si="0"/>
        <v>5788125</v>
      </c>
      <c r="E20" s="32">
        <f>5512500*1.05</f>
        <v>5788125</v>
      </c>
      <c r="F20" s="33"/>
      <c r="G20" s="33"/>
      <c r="H20" s="33"/>
      <c r="I20" s="33"/>
      <c r="J20" s="33"/>
      <c r="K20" s="33"/>
      <c r="L20" s="33"/>
      <c r="M20" s="29"/>
    </row>
    <row r="21" spans="1:13" s="42" customFormat="1" ht="45.75" customHeight="1">
      <c r="A21" s="83"/>
      <c r="B21" s="66"/>
      <c r="C21" s="1" t="s">
        <v>32</v>
      </c>
      <c r="D21" s="32">
        <f t="shared" si="0"/>
        <v>6652151.999999999</v>
      </c>
      <c r="E21" s="33"/>
      <c r="F21" s="33"/>
      <c r="G21" s="32">
        <f>6000000*1.04*1.035*1.03</f>
        <v>6652151.999999999</v>
      </c>
      <c r="H21" s="33"/>
      <c r="I21" s="33"/>
      <c r="J21" s="33"/>
      <c r="K21" s="33"/>
      <c r="L21" s="33"/>
      <c r="M21" s="29"/>
    </row>
    <row r="22" spans="1:13" s="42" customFormat="1" ht="34.5" customHeight="1">
      <c r="A22" s="83"/>
      <c r="B22" s="66"/>
      <c r="C22" s="1" t="s">
        <v>33</v>
      </c>
      <c r="D22" s="32">
        <f t="shared" si="0"/>
        <v>0</v>
      </c>
      <c r="E22" s="32"/>
      <c r="F22" s="33"/>
      <c r="G22" s="33"/>
      <c r="H22" s="33"/>
      <c r="I22" s="33"/>
      <c r="J22" s="33"/>
      <c r="K22" s="33"/>
      <c r="L22" s="33"/>
      <c r="M22" s="29"/>
    </row>
    <row r="23" spans="1:13" s="42" customFormat="1" ht="38.25" customHeight="1">
      <c r="A23" s="83"/>
      <c r="B23" s="66"/>
      <c r="C23" s="1" t="s">
        <v>34</v>
      </c>
      <c r="D23" s="32">
        <f t="shared" si="0"/>
        <v>10000000</v>
      </c>
      <c r="E23" s="33"/>
      <c r="F23" s="33"/>
      <c r="G23" s="33"/>
      <c r="H23" s="33"/>
      <c r="I23" s="32">
        <v>10000000</v>
      </c>
      <c r="J23" s="33"/>
      <c r="K23" s="33"/>
      <c r="L23" s="33"/>
      <c r="M23" s="29"/>
    </row>
    <row r="24" spans="1:14" s="42" customFormat="1" ht="57" customHeight="1">
      <c r="A24" s="83"/>
      <c r="B24" s="66" t="s">
        <v>4</v>
      </c>
      <c r="C24" s="1" t="s">
        <v>36</v>
      </c>
      <c r="D24" s="32">
        <f t="shared" si="0"/>
        <v>141000530.71936</v>
      </c>
      <c r="E24" s="33"/>
      <c r="F24" s="33"/>
      <c r="G24" s="11">
        <f>9922080*1.04*1.035*1.03</f>
        <v>11000530.719360001</v>
      </c>
      <c r="H24" s="33"/>
      <c r="I24" s="33"/>
      <c r="J24" s="32">
        <v>130000000</v>
      </c>
      <c r="K24" s="32"/>
      <c r="L24" s="33"/>
      <c r="M24" s="34"/>
      <c r="N24" s="41"/>
    </row>
    <row r="25" spans="1:13" s="42" customFormat="1" ht="40.5" customHeight="1">
      <c r="A25" s="83"/>
      <c r="B25" s="66"/>
      <c r="C25" s="1" t="s">
        <v>37</v>
      </c>
      <c r="D25" s="32">
        <f t="shared" si="0"/>
        <v>6658668.891576</v>
      </c>
      <c r="E25" s="33"/>
      <c r="F25" s="33"/>
      <c r="G25" s="11">
        <f>6005878*1.04*1.035*1.03</f>
        <v>6658668.891576</v>
      </c>
      <c r="H25" s="33"/>
      <c r="I25" s="33"/>
      <c r="J25" s="33"/>
      <c r="K25" s="33"/>
      <c r="L25" s="33"/>
      <c r="M25" s="29"/>
    </row>
    <row r="26" spans="1:13" s="42" customFormat="1" ht="38.25" customHeight="1">
      <c r="A26" s="83"/>
      <c r="B26" s="66"/>
      <c r="C26" s="1" t="s">
        <v>38</v>
      </c>
      <c r="D26" s="32">
        <f t="shared" si="0"/>
        <v>2829365.3536199997</v>
      </c>
      <c r="E26" s="33"/>
      <c r="F26" s="33"/>
      <c r="G26" s="11">
        <f>2551985*1.04*1.035*1.03</f>
        <v>2829365.3536199997</v>
      </c>
      <c r="H26" s="33"/>
      <c r="I26" s="33"/>
      <c r="J26" s="33"/>
      <c r="K26" s="33"/>
      <c r="L26" s="33"/>
      <c r="M26" s="29"/>
    </row>
    <row r="27" spans="1:13" s="42" customFormat="1" ht="66" customHeight="1">
      <c r="A27" s="83"/>
      <c r="B27" s="66"/>
      <c r="C27" s="1" t="s">
        <v>39</v>
      </c>
      <c r="D27" s="32">
        <f t="shared" si="0"/>
        <v>19283227.174223997</v>
      </c>
      <c r="E27" s="33"/>
      <c r="F27" s="32"/>
      <c r="G27" s="32">
        <f>17392772*1.04*1.035*1.03</f>
        <v>19283227.174223997</v>
      </c>
      <c r="H27" s="33"/>
      <c r="I27" s="33"/>
      <c r="J27" s="33"/>
      <c r="K27" s="33"/>
      <c r="L27" s="33"/>
      <c r="M27" s="29"/>
    </row>
    <row r="28" spans="1:14" s="42" customFormat="1" ht="66" customHeight="1">
      <c r="A28" s="83"/>
      <c r="B28" s="66" t="s">
        <v>102</v>
      </c>
      <c r="C28" s="1" t="s">
        <v>41</v>
      </c>
      <c r="D28" s="32">
        <f t="shared" si="0"/>
        <v>5543460</v>
      </c>
      <c r="E28" s="33"/>
      <c r="F28" s="33"/>
      <c r="G28" s="11">
        <f>5000000*1.04*1.035*1.03</f>
        <v>5543460</v>
      </c>
      <c r="H28" s="33"/>
      <c r="I28" s="33"/>
      <c r="J28" s="33"/>
      <c r="K28" s="32"/>
      <c r="L28" s="33"/>
      <c r="M28" s="36"/>
      <c r="N28" s="41"/>
    </row>
    <row r="29" spans="1:13" s="42" customFormat="1" ht="54" customHeight="1">
      <c r="A29" s="83"/>
      <c r="B29" s="66"/>
      <c r="C29" s="1" t="s">
        <v>42</v>
      </c>
      <c r="D29" s="32">
        <f t="shared" si="0"/>
        <v>79720383.826912</v>
      </c>
      <c r="E29" s="33"/>
      <c r="F29" s="32">
        <f>14700000*1.05</f>
        <v>15435000</v>
      </c>
      <c r="G29" s="11">
        <f>21904536*1.04*1.035*1.03</f>
        <v>24285383.826912</v>
      </c>
      <c r="H29" s="33"/>
      <c r="I29" s="33"/>
      <c r="J29" s="33"/>
      <c r="K29" s="32">
        <v>40000000</v>
      </c>
      <c r="L29" s="33"/>
      <c r="M29" s="29"/>
    </row>
    <row r="30" spans="1:13" s="42" customFormat="1" ht="39.75" customHeight="1">
      <c r="A30" s="83"/>
      <c r="B30" s="66" t="s">
        <v>6</v>
      </c>
      <c r="C30" s="4" t="s">
        <v>82</v>
      </c>
      <c r="D30" s="32">
        <f t="shared" si="0"/>
        <v>0</v>
      </c>
      <c r="E30" s="33"/>
      <c r="F30" s="33"/>
      <c r="G30" s="12"/>
      <c r="H30" s="33"/>
      <c r="I30" s="33"/>
      <c r="J30" s="32"/>
      <c r="K30" s="32"/>
      <c r="L30" s="33"/>
      <c r="M30" s="29"/>
    </row>
    <row r="31" spans="1:13" ht="54" customHeight="1">
      <c r="A31" s="83"/>
      <c r="B31" s="66"/>
      <c r="C31" s="1" t="s">
        <v>43</v>
      </c>
      <c r="D31" s="32">
        <f t="shared" si="0"/>
        <v>71712225</v>
      </c>
      <c r="E31" s="11"/>
      <c r="F31" s="33"/>
      <c r="G31" s="32">
        <f>(34000000*1.04*1.035*1.03)+34016697</f>
        <v>71712225</v>
      </c>
      <c r="H31" s="32"/>
      <c r="I31" s="33"/>
      <c r="J31" s="33"/>
      <c r="K31" s="32"/>
      <c r="L31" s="33"/>
      <c r="M31" s="29"/>
    </row>
    <row r="32" spans="1:13" s="42" customFormat="1" ht="37.5" customHeight="1">
      <c r="A32" s="83"/>
      <c r="B32" s="66" t="s">
        <v>7</v>
      </c>
      <c r="C32" s="1" t="s">
        <v>45</v>
      </c>
      <c r="D32" s="32">
        <f t="shared" si="0"/>
        <v>5543460</v>
      </c>
      <c r="E32" s="32"/>
      <c r="F32" s="32"/>
      <c r="G32" s="32">
        <f>5000000*1.04*1.035*1.03</f>
        <v>5543460</v>
      </c>
      <c r="H32" s="33"/>
      <c r="I32" s="33"/>
      <c r="J32" s="33"/>
      <c r="K32" s="33"/>
      <c r="L32" s="33"/>
      <c r="M32" s="29"/>
    </row>
    <row r="33" spans="1:13" s="42" customFormat="1" ht="39.75" customHeight="1">
      <c r="A33" s="83"/>
      <c r="B33" s="66"/>
      <c r="C33" s="1" t="s">
        <v>46</v>
      </c>
      <c r="D33" s="32">
        <f t="shared" si="0"/>
        <v>33994755</v>
      </c>
      <c r="E33" s="32">
        <f>16537500*1.05</f>
        <v>17364375</v>
      </c>
      <c r="F33" s="32"/>
      <c r="G33" s="32">
        <f>15000000*1.04*1.035*1.03</f>
        <v>16630379.999999998</v>
      </c>
      <c r="H33" s="33"/>
      <c r="I33" s="33"/>
      <c r="J33" s="33"/>
      <c r="K33" s="33"/>
      <c r="L33" s="33"/>
      <c r="M33" s="29"/>
    </row>
    <row r="34" spans="1:13" s="42" customFormat="1" ht="38.25" customHeight="1">
      <c r="A34" s="83"/>
      <c r="B34" s="66"/>
      <c r="C34" s="1" t="s">
        <v>47</v>
      </c>
      <c r="D34" s="32">
        <f t="shared" si="0"/>
        <v>5543460</v>
      </c>
      <c r="E34" s="32"/>
      <c r="F34" s="32"/>
      <c r="G34" s="32">
        <f>5000000*1.04*1.035*1.03</f>
        <v>5543460</v>
      </c>
      <c r="H34" s="33"/>
      <c r="I34" s="33"/>
      <c r="J34" s="33"/>
      <c r="K34" s="33"/>
      <c r="L34" s="33"/>
      <c r="M34" s="29"/>
    </row>
    <row r="35" spans="1:13" s="42" customFormat="1" ht="39.75" customHeight="1">
      <c r="A35" s="83"/>
      <c r="B35" s="66"/>
      <c r="C35" s="1" t="s">
        <v>48</v>
      </c>
      <c r="D35" s="32">
        <f t="shared" si="0"/>
        <v>6896817</v>
      </c>
      <c r="E35" s="32">
        <f>5512500*1.05</f>
        <v>5788125</v>
      </c>
      <c r="F35" s="32"/>
      <c r="G35" s="32">
        <f>1000000*1.04*1.035*1.03</f>
        <v>1108692</v>
      </c>
      <c r="H35" s="33"/>
      <c r="I35" s="33"/>
      <c r="J35" s="33"/>
      <c r="K35" s="33"/>
      <c r="L35" s="33"/>
      <c r="M35" s="29"/>
    </row>
    <row r="36" spans="1:13" s="42" customFormat="1" ht="39.75" customHeight="1">
      <c r="A36" s="84"/>
      <c r="B36" s="66"/>
      <c r="C36" s="2" t="s">
        <v>44</v>
      </c>
      <c r="D36" s="32">
        <f t="shared" si="0"/>
        <v>5543460</v>
      </c>
      <c r="E36" s="32"/>
      <c r="F36" s="32"/>
      <c r="G36" s="32">
        <f>5000000*1.04*1.035*1.03</f>
        <v>5543460</v>
      </c>
      <c r="H36" s="33"/>
      <c r="I36" s="33"/>
      <c r="J36" s="33"/>
      <c r="K36" s="33"/>
      <c r="L36" s="33"/>
      <c r="M36" s="29"/>
    </row>
    <row r="37" spans="1:14" s="42" customFormat="1" ht="35.25" customHeight="1">
      <c r="A37" s="72" t="s">
        <v>87</v>
      </c>
      <c r="B37" s="66" t="s">
        <v>8</v>
      </c>
      <c r="C37" s="1" t="s">
        <v>49</v>
      </c>
      <c r="D37" s="32">
        <f t="shared" si="0"/>
        <v>177390720</v>
      </c>
      <c r="E37" s="32"/>
      <c r="F37" s="32"/>
      <c r="G37" s="32">
        <f>160000000*1.04*1.035*1.03</f>
        <v>177390720</v>
      </c>
      <c r="H37" s="33"/>
      <c r="I37" s="33"/>
      <c r="J37" s="33"/>
      <c r="K37" s="33"/>
      <c r="L37" s="33"/>
      <c r="M37" s="34"/>
      <c r="N37" s="41"/>
    </row>
    <row r="38" spans="1:13" s="42" customFormat="1" ht="64.5" customHeight="1">
      <c r="A38" s="73"/>
      <c r="B38" s="66"/>
      <c r="C38" s="2" t="s">
        <v>83</v>
      </c>
      <c r="D38" s="32">
        <f t="shared" si="0"/>
        <v>168886641.150272</v>
      </c>
      <c r="E38" s="33"/>
      <c r="F38" s="33"/>
      <c r="G38" s="32">
        <f>53113616*1.04*1.035*1.03</f>
        <v>58886641.150272</v>
      </c>
      <c r="H38" s="33"/>
      <c r="I38" s="32">
        <v>10000000</v>
      </c>
      <c r="J38" s="32">
        <v>100000000</v>
      </c>
      <c r="K38" s="33"/>
      <c r="L38" s="32"/>
      <c r="M38" s="29"/>
    </row>
    <row r="39" spans="1:13" s="42" customFormat="1" ht="66.75" customHeight="1">
      <c r="A39" s="73"/>
      <c r="B39" s="66"/>
      <c r="C39" s="1" t="s">
        <v>84</v>
      </c>
      <c r="D39" s="32">
        <f t="shared" si="0"/>
        <v>164430101.150272</v>
      </c>
      <c r="E39" s="33"/>
      <c r="F39" s="33"/>
      <c r="G39" s="32">
        <f>58113616*1.04*1.035*1.03</f>
        <v>64430101.150272</v>
      </c>
      <c r="H39" s="33"/>
      <c r="I39" s="32"/>
      <c r="J39" s="32">
        <v>100000000</v>
      </c>
      <c r="K39" s="32"/>
      <c r="L39" s="32"/>
      <c r="M39" s="29"/>
    </row>
    <row r="40" spans="1:13" s="42" customFormat="1" ht="46.5" customHeight="1">
      <c r="A40" s="73"/>
      <c r="B40" s="66"/>
      <c r="C40" s="1" t="s">
        <v>50</v>
      </c>
      <c r="D40" s="32">
        <f aca="true" t="shared" si="1" ref="D40:D69">SUM(E40:L40)</f>
        <v>95434600</v>
      </c>
      <c r="E40" s="33"/>
      <c r="F40" s="33"/>
      <c r="G40" s="32">
        <f>50000000*1.04*1.035*1.03</f>
        <v>55434599.99999999</v>
      </c>
      <c r="H40" s="33"/>
      <c r="I40" s="32">
        <v>40000000</v>
      </c>
      <c r="J40" s="33"/>
      <c r="K40" s="33"/>
      <c r="L40" s="32"/>
      <c r="M40" s="29"/>
    </row>
    <row r="41" spans="1:13" s="42" customFormat="1" ht="34.5" customHeight="1">
      <c r="A41" s="73"/>
      <c r="B41" s="66"/>
      <c r="C41" s="1" t="s">
        <v>52</v>
      </c>
      <c r="D41" s="32">
        <f t="shared" si="1"/>
        <v>166599420</v>
      </c>
      <c r="E41" s="32"/>
      <c r="F41" s="32">
        <f>5250000*1.05</f>
        <v>5512500</v>
      </c>
      <c r="G41" s="32">
        <f>10000000*1.04*1.035*1.03</f>
        <v>11086920</v>
      </c>
      <c r="H41" s="33"/>
      <c r="I41" s="33"/>
      <c r="J41" s="32">
        <v>150000000</v>
      </c>
      <c r="K41" s="33"/>
      <c r="L41" s="33"/>
      <c r="M41" s="29"/>
    </row>
    <row r="42" spans="1:13" s="42" customFormat="1" ht="39" customHeight="1">
      <c r="A42" s="73"/>
      <c r="B42" s="66"/>
      <c r="C42" s="1" t="s">
        <v>53</v>
      </c>
      <c r="D42" s="32">
        <f t="shared" si="1"/>
        <v>22173840</v>
      </c>
      <c r="E42" s="33"/>
      <c r="F42" s="33"/>
      <c r="G42" s="32">
        <f>20000000*1.04*1.035*1.03</f>
        <v>22173840</v>
      </c>
      <c r="H42" s="33"/>
      <c r="I42" s="33"/>
      <c r="J42" s="33"/>
      <c r="K42" s="33"/>
      <c r="L42" s="33"/>
      <c r="M42" s="29"/>
    </row>
    <row r="43" spans="1:13" s="42" customFormat="1" ht="24" customHeight="1">
      <c r="A43" s="73"/>
      <c r="B43" s="66"/>
      <c r="C43" s="65" t="s">
        <v>120</v>
      </c>
      <c r="D43" s="32">
        <f>L43</f>
        <v>110000000</v>
      </c>
      <c r="E43" s="33"/>
      <c r="F43" s="33"/>
      <c r="G43" s="32"/>
      <c r="H43" s="33"/>
      <c r="I43" s="33"/>
      <c r="J43" s="33"/>
      <c r="K43" s="33"/>
      <c r="L43" s="32">
        <v>110000000</v>
      </c>
      <c r="M43" s="29"/>
    </row>
    <row r="44" spans="1:13" s="42" customFormat="1" ht="52.5" customHeight="1">
      <c r="A44" s="73"/>
      <c r="B44" s="66"/>
      <c r="C44" s="1" t="s">
        <v>54</v>
      </c>
      <c r="D44" s="32">
        <f t="shared" si="1"/>
        <v>97364375</v>
      </c>
      <c r="E44" s="32">
        <f>16537500*1.05</f>
        <v>17364375</v>
      </c>
      <c r="F44" s="32">
        <v>80000000</v>
      </c>
      <c r="G44" s="33"/>
      <c r="H44" s="33"/>
      <c r="I44" s="33"/>
      <c r="J44" s="33"/>
      <c r="K44" s="33"/>
      <c r="L44" s="33"/>
      <c r="M44" s="29"/>
    </row>
    <row r="45" spans="1:13" s="42" customFormat="1" ht="53.25" customHeight="1">
      <c r="A45" s="73"/>
      <c r="B45" s="66" t="s">
        <v>9</v>
      </c>
      <c r="C45" s="1" t="s">
        <v>55</v>
      </c>
      <c r="D45" s="32">
        <f t="shared" si="1"/>
        <v>27717299.999999996</v>
      </c>
      <c r="E45" s="33"/>
      <c r="F45" s="33"/>
      <c r="G45" s="32">
        <f>25000000*1.04*1.035*1.03</f>
        <v>27717299.999999996</v>
      </c>
      <c r="H45" s="33"/>
      <c r="I45" s="33"/>
      <c r="J45" s="33"/>
      <c r="K45" s="33"/>
      <c r="L45" s="33"/>
      <c r="M45" s="29"/>
    </row>
    <row r="46" spans="1:13" s="42" customFormat="1" ht="51" customHeight="1">
      <c r="A46" s="73"/>
      <c r="B46" s="66"/>
      <c r="C46" s="1" t="s">
        <v>56</v>
      </c>
      <c r="D46" s="32">
        <f t="shared" si="1"/>
        <v>22173840</v>
      </c>
      <c r="E46" s="32"/>
      <c r="F46" s="33"/>
      <c r="G46" s="32">
        <f>20000000*1.04*1.035*1.03</f>
        <v>22173840</v>
      </c>
      <c r="H46" s="33"/>
      <c r="I46" s="33"/>
      <c r="J46" s="33"/>
      <c r="K46" s="33"/>
      <c r="L46" s="33"/>
      <c r="M46" s="29"/>
    </row>
    <row r="47" spans="1:13" s="42" customFormat="1" ht="53.25" customHeight="1">
      <c r="A47" s="73"/>
      <c r="B47" s="66"/>
      <c r="C47" s="1" t="s">
        <v>57</v>
      </c>
      <c r="D47" s="32">
        <f t="shared" si="1"/>
        <v>11086920</v>
      </c>
      <c r="E47" s="33"/>
      <c r="F47" s="33"/>
      <c r="G47" s="32">
        <f>10000000*1.04*1.035*1.03</f>
        <v>11086920</v>
      </c>
      <c r="H47" s="33"/>
      <c r="I47" s="33"/>
      <c r="J47" s="33"/>
      <c r="K47" s="33"/>
      <c r="L47" s="33"/>
      <c r="M47" s="29"/>
    </row>
    <row r="48" spans="1:13" s="42" customFormat="1" ht="40.5" customHeight="1">
      <c r="A48" s="73"/>
      <c r="B48" s="66" t="s">
        <v>10</v>
      </c>
      <c r="C48" s="1" t="s">
        <v>117</v>
      </c>
      <c r="D48" s="32">
        <f t="shared" si="1"/>
        <v>185968631.43648398</v>
      </c>
      <c r="E48" s="33"/>
      <c r="F48" s="33"/>
      <c r="G48" s="11">
        <f>50481677*1.04*1.035*1.03</f>
        <v>55968631.436483994</v>
      </c>
      <c r="H48" s="32"/>
      <c r="I48" s="33"/>
      <c r="J48" s="33"/>
      <c r="K48" s="32">
        <v>130000000</v>
      </c>
      <c r="L48" s="33"/>
      <c r="M48" s="29"/>
    </row>
    <row r="49" spans="1:13" s="42" customFormat="1" ht="41.25" customHeight="1">
      <c r="A49" s="73"/>
      <c r="B49" s="66"/>
      <c r="C49" s="2" t="s">
        <v>59</v>
      </c>
      <c r="D49" s="32">
        <f t="shared" si="1"/>
        <v>149767300</v>
      </c>
      <c r="E49" s="33"/>
      <c r="F49" s="11">
        <f>21000000*1.05</f>
        <v>22050000</v>
      </c>
      <c r="G49" s="32">
        <f>25000000*1.04*1.035*1.03</f>
        <v>27717299.999999996</v>
      </c>
      <c r="H49" s="33"/>
      <c r="I49" s="33"/>
      <c r="J49" s="33"/>
      <c r="K49" s="32">
        <v>100000000</v>
      </c>
      <c r="L49" s="33"/>
      <c r="M49" s="29"/>
    </row>
    <row r="50" spans="1:13" s="42" customFormat="1" ht="39" customHeight="1">
      <c r="A50" s="73"/>
      <c r="B50" s="66" t="s">
        <v>11</v>
      </c>
      <c r="C50" s="1" t="s">
        <v>118</v>
      </c>
      <c r="D50" s="32">
        <f t="shared" si="1"/>
        <v>16630379.999999998</v>
      </c>
      <c r="E50" s="33"/>
      <c r="F50" s="33"/>
      <c r="G50" s="32">
        <f>15000000*1.04*1.035*1.03</f>
        <v>16630379.999999998</v>
      </c>
      <c r="H50" s="33"/>
      <c r="I50" s="33"/>
      <c r="J50" s="33"/>
      <c r="K50" s="33"/>
      <c r="L50" s="33"/>
      <c r="M50" s="29"/>
    </row>
    <row r="51" spans="1:13" s="42" customFormat="1" ht="40.5" customHeight="1">
      <c r="A51" s="73"/>
      <c r="B51" s="66"/>
      <c r="C51" s="1" t="s">
        <v>119</v>
      </c>
      <c r="D51" s="32">
        <f t="shared" si="1"/>
        <v>23304304</v>
      </c>
      <c r="E51" s="33"/>
      <c r="F51" s="33"/>
      <c r="G51" s="32">
        <f>12000000*1.04*1.035*1.03</f>
        <v>13304303.999999998</v>
      </c>
      <c r="H51" s="33"/>
      <c r="I51" s="33"/>
      <c r="J51" s="33"/>
      <c r="K51" s="32">
        <v>10000000</v>
      </c>
      <c r="L51" s="33"/>
      <c r="M51" s="29"/>
    </row>
    <row r="52" spans="1:13" s="42" customFormat="1" ht="22.5" customHeight="1">
      <c r="A52" s="73"/>
      <c r="B52" s="66"/>
      <c r="C52" s="1" t="s">
        <v>115</v>
      </c>
      <c r="D52" s="32">
        <f t="shared" si="1"/>
        <v>2217384</v>
      </c>
      <c r="E52" s="33"/>
      <c r="F52" s="33"/>
      <c r="G52" s="32">
        <f>2000000*1.04*1.035*1.03</f>
        <v>2217384</v>
      </c>
      <c r="H52" s="33"/>
      <c r="I52" s="33"/>
      <c r="J52" s="33"/>
      <c r="K52" s="33"/>
      <c r="L52" s="33"/>
      <c r="M52" s="29"/>
    </row>
    <row r="53" spans="1:13" s="42" customFormat="1" ht="54.75" customHeight="1">
      <c r="A53" s="73"/>
      <c r="B53" s="66"/>
      <c r="C53" s="1" t="s">
        <v>64</v>
      </c>
      <c r="D53" s="32">
        <f t="shared" si="1"/>
        <v>11086920</v>
      </c>
      <c r="E53" s="33"/>
      <c r="F53" s="33"/>
      <c r="G53" s="32">
        <f>10000000*1.04*1.035*1.03</f>
        <v>11086920</v>
      </c>
      <c r="H53" s="33"/>
      <c r="I53" s="33"/>
      <c r="J53" s="33"/>
      <c r="K53" s="33"/>
      <c r="L53" s="33"/>
      <c r="M53" s="29"/>
    </row>
    <row r="54" spans="1:13" s="42" customFormat="1" ht="60.75" customHeight="1">
      <c r="A54" s="73"/>
      <c r="B54" s="66"/>
      <c r="C54" s="2" t="s">
        <v>60</v>
      </c>
      <c r="D54" s="32">
        <f t="shared" si="1"/>
        <v>49344965.18174</v>
      </c>
      <c r="E54" s="33"/>
      <c r="F54" s="33"/>
      <c r="G54" s="11">
        <f>26468095*1.04*1.035*1.03</f>
        <v>29344965.181739997</v>
      </c>
      <c r="H54" s="33"/>
      <c r="I54" s="33"/>
      <c r="J54" s="33"/>
      <c r="K54" s="32">
        <v>20000000</v>
      </c>
      <c r="L54" s="33"/>
      <c r="M54" s="29"/>
    </row>
    <row r="55" spans="1:13" s="42" customFormat="1" ht="52.5" customHeight="1">
      <c r="A55" s="73"/>
      <c r="B55" s="66" t="s">
        <v>12</v>
      </c>
      <c r="C55" s="2" t="s">
        <v>66</v>
      </c>
      <c r="D55" s="32">
        <f t="shared" si="1"/>
        <v>4434768</v>
      </c>
      <c r="E55" s="33"/>
      <c r="F55" s="33"/>
      <c r="G55" s="32">
        <f>4000000*1.04*1.035*1.03</f>
        <v>4434768</v>
      </c>
      <c r="H55" s="33"/>
      <c r="I55" s="33"/>
      <c r="J55" s="33"/>
      <c r="K55" s="33"/>
      <c r="L55" s="33"/>
      <c r="M55" s="29"/>
    </row>
    <row r="56" spans="1:13" s="42" customFormat="1" ht="35.25" customHeight="1">
      <c r="A56" s="73"/>
      <c r="B56" s="66"/>
      <c r="C56" s="4" t="s">
        <v>67</v>
      </c>
      <c r="D56" s="32">
        <f t="shared" si="1"/>
        <v>3326075.9999999995</v>
      </c>
      <c r="E56" s="33"/>
      <c r="F56" s="33"/>
      <c r="G56" s="32">
        <f>3000000*1.04*1.035*1.03</f>
        <v>3326075.9999999995</v>
      </c>
      <c r="H56" s="33"/>
      <c r="I56" s="33"/>
      <c r="J56" s="33"/>
      <c r="K56" s="33"/>
      <c r="L56" s="33"/>
      <c r="M56" s="29"/>
    </row>
    <row r="57" spans="1:13" s="42" customFormat="1" ht="28.5" customHeight="1">
      <c r="A57" s="73"/>
      <c r="B57" s="66"/>
      <c r="C57" s="1" t="s">
        <v>116</v>
      </c>
      <c r="D57" s="32">
        <f t="shared" si="1"/>
        <v>5543460</v>
      </c>
      <c r="E57" s="33"/>
      <c r="F57" s="33"/>
      <c r="G57" s="32">
        <f>5000000*1.04*1.035*1.03</f>
        <v>5543460</v>
      </c>
      <c r="H57" s="33"/>
      <c r="I57" s="33"/>
      <c r="J57" s="33"/>
      <c r="K57" s="33"/>
      <c r="L57" s="33"/>
      <c r="M57" s="29"/>
    </row>
    <row r="58" spans="1:13" s="42" customFormat="1" ht="52.5" customHeight="1">
      <c r="A58" s="73"/>
      <c r="B58" s="66" t="s">
        <v>13</v>
      </c>
      <c r="C58" s="1" t="s">
        <v>69</v>
      </c>
      <c r="D58" s="32">
        <f t="shared" si="1"/>
        <v>5543460</v>
      </c>
      <c r="E58" s="33"/>
      <c r="F58" s="33"/>
      <c r="G58" s="32">
        <f>5000000*1.04*1.035*1.03</f>
        <v>5543460</v>
      </c>
      <c r="H58" s="33"/>
      <c r="I58" s="33"/>
      <c r="J58" s="33"/>
      <c r="K58" s="33"/>
      <c r="L58" s="33"/>
      <c r="M58" s="29"/>
    </row>
    <row r="59" spans="1:13" s="42" customFormat="1" ht="39.75" customHeight="1">
      <c r="A59" s="73"/>
      <c r="B59" s="66"/>
      <c r="C59" s="1" t="s">
        <v>70</v>
      </c>
      <c r="D59" s="32">
        <f t="shared" si="1"/>
        <v>5543460</v>
      </c>
      <c r="E59" s="33"/>
      <c r="F59" s="33"/>
      <c r="G59" s="32">
        <f>5000000*1.04*1.035*1.03</f>
        <v>5543460</v>
      </c>
      <c r="H59" s="33"/>
      <c r="I59" s="33"/>
      <c r="J59" s="33"/>
      <c r="K59" s="33"/>
      <c r="L59" s="33"/>
      <c r="M59" s="29"/>
    </row>
    <row r="60" spans="1:13" s="42" customFormat="1" ht="54" customHeight="1">
      <c r="A60" s="73"/>
      <c r="B60" s="66"/>
      <c r="C60" s="4" t="s">
        <v>71</v>
      </c>
      <c r="D60" s="32">
        <f t="shared" si="1"/>
        <v>5543460</v>
      </c>
      <c r="E60" s="33"/>
      <c r="F60" s="33"/>
      <c r="G60" s="32">
        <f>5000000*1.04*1.035*1.03</f>
        <v>5543460</v>
      </c>
      <c r="H60" s="33"/>
      <c r="I60" s="33"/>
      <c r="J60" s="33"/>
      <c r="K60" s="33"/>
      <c r="L60" s="33"/>
      <c r="M60" s="29"/>
    </row>
    <row r="61" spans="1:13" s="42" customFormat="1" ht="50.25" customHeight="1">
      <c r="A61" s="73"/>
      <c r="B61" s="66"/>
      <c r="C61" s="2" t="s">
        <v>72</v>
      </c>
      <c r="D61" s="32">
        <f t="shared" si="1"/>
        <v>2217384</v>
      </c>
      <c r="E61" s="33"/>
      <c r="F61" s="33"/>
      <c r="G61" s="32">
        <f>2000000*1.04*1.035*1.03</f>
        <v>2217384</v>
      </c>
      <c r="H61" s="33"/>
      <c r="I61" s="33"/>
      <c r="J61" s="33"/>
      <c r="K61" s="33"/>
      <c r="L61" s="33"/>
      <c r="M61" s="29"/>
    </row>
    <row r="62" spans="1:13" s="42" customFormat="1" ht="54.75" customHeight="1">
      <c r="A62" s="74"/>
      <c r="B62" s="66"/>
      <c r="C62" s="2" t="s">
        <v>73</v>
      </c>
      <c r="D62" s="32">
        <f t="shared" si="1"/>
        <v>2217384</v>
      </c>
      <c r="E62" s="33"/>
      <c r="F62" s="33"/>
      <c r="G62" s="32">
        <f>2000000*1.04*1.035*1.03</f>
        <v>2217384</v>
      </c>
      <c r="H62" s="33"/>
      <c r="I62" s="33"/>
      <c r="J62" s="33"/>
      <c r="K62" s="33"/>
      <c r="L62" s="33"/>
      <c r="M62" s="29"/>
    </row>
    <row r="63" spans="1:13" s="42" customFormat="1" ht="46.5" customHeight="1">
      <c r="A63" s="66" t="s">
        <v>88</v>
      </c>
      <c r="B63" s="66" t="s">
        <v>14</v>
      </c>
      <c r="C63" s="4" t="s">
        <v>75</v>
      </c>
      <c r="D63" s="32">
        <f t="shared" si="1"/>
        <v>11086920</v>
      </c>
      <c r="E63" s="33"/>
      <c r="F63" s="33"/>
      <c r="G63" s="32">
        <f>10000000*1.04*1.035*1.03</f>
        <v>11086920</v>
      </c>
      <c r="H63" s="33"/>
      <c r="I63" s="33"/>
      <c r="J63" s="33"/>
      <c r="K63" s="33"/>
      <c r="L63" s="33"/>
      <c r="M63" s="29"/>
    </row>
    <row r="64" spans="1:13" s="42" customFormat="1" ht="30" customHeight="1">
      <c r="A64" s="66"/>
      <c r="B64" s="66"/>
      <c r="C64" s="2" t="s">
        <v>74</v>
      </c>
      <c r="D64" s="32">
        <f t="shared" si="1"/>
        <v>40897764</v>
      </c>
      <c r="E64" s="32">
        <f>21000000*1.05</f>
        <v>22050000</v>
      </c>
      <c r="F64" s="33"/>
      <c r="G64" s="32">
        <f>17000000*1.04*1.035*1.03</f>
        <v>18847764</v>
      </c>
      <c r="H64" s="33"/>
      <c r="I64" s="33"/>
      <c r="J64" s="33"/>
      <c r="K64" s="33"/>
      <c r="L64" s="33"/>
      <c r="M64" s="29"/>
    </row>
    <row r="65" spans="1:13" s="42" customFormat="1" ht="58.5" customHeight="1">
      <c r="A65" s="66"/>
      <c r="B65" s="66" t="s">
        <v>15</v>
      </c>
      <c r="C65" s="1" t="s">
        <v>77</v>
      </c>
      <c r="D65" s="32">
        <f t="shared" si="1"/>
        <v>5543460</v>
      </c>
      <c r="E65" s="33"/>
      <c r="F65" s="33"/>
      <c r="G65" s="32">
        <f>5000000*1.04*1.035*1.03</f>
        <v>5543460</v>
      </c>
      <c r="H65" s="33"/>
      <c r="I65" s="33"/>
      <c r="J65" s="33"/>
      <c r="K65" s="32"/>
      <c r="L65" s="33"/>
      <c r="M65" s="29"/>
    </row>
    <row r="66" spans="1:13" s="42" customFormat="1" ht="32.25" customHeight="1">
      <c r="A66" s="66"/>
      <c r="B66" s="66"/>
      <c r="C66" s="4" t="s">
        <v>76</v>
      </c>
      <c r="D66" s="32">
        <f t="shared" si="1"/>
        <v>2217384</v>
      </c>
      <c r="E66" s="33"/>
      <c r="F66" s="33"/>
      <c r="G66" s="32">
        <f>2000000*1.04*1.035*1.03</f>
        <v>2217384</v>
      </c>
      <c r="H66" s="33"/>
      <c r="I66" s="33"/>
      <c r="J66" s="33"/>
      <c r="K66" s="33"/>
      <c r="L66" s="33"/>
      <c r="M66" s="29"/>
    </row>
    <row r="67" spans="1:13" s="42" customFormat="1" ht="46.5" customHeight="1">
      <c r="A67" s="66"/>
      <c r="B67" s="66" t="s">
        <v>16</v>
      </c>
      <c r="C67" s="1" t="s">
        <v>78</v>
      </c>
      <c r="D67" s="32">
        <f t="shared" si="1"/>
        <v>6073038</v>
      </c>
      <c r="E67" s="32">
        <f>4200000*1.05</f>
        <v>4410000</v>
      </c>
      <c r="F67" s="33"/>
      <c r="G67" s="32">
        <f>1500000*1.04*1.035*1.03</f>
        <v>1663037.9999999998</v>
      </c>
      <c r="H67" s="33"/>
      <c r="I67" s="33"/>
      <c r="J67" s="33"/>
      <c r="K67" s="32"/>
      <c r="L67" s="33"/>
      <c r="M67" s="29"/>
    </row>
    <row r="68" spans="1:13" s="42" customFormat="1" ht="62.25" customHeight="1">
      <c r="A68" s="66"/>
      <c r="B68" s="66"/>
      <c r="C68" s="4" t="s">
        <v>79</v>
      </c>
      <c r="D68" s="32">
        <f t="shared" si="1"/>
        <v>33260759.999999996</v>
      </c>
      <c r="E68" s="33"/>
      <c r="F68" s="33"/>
      <c r="G68" s="32">
        <f>30000000*1.04*1.035*1.03</f>
        <v>33260759.999999996</v>
      </c>
      <c r="H68" s="33"/>
      <c r="I68" s="33"/>
      <c r="J68" s="33"/>
      <c r="K68" s="32"/>
      <c r="L68" s="33"/>
      <c r="M68" s="29"/>
    </row>
    <row r="69" spans="1:13" s="42" customFormat="1" ht="30.75" customHeight="1">
      <c r="A69" s="66"/>
      <c r="B69" s="66" t="s">
        <v>17</v>
      </c>
      <c r="C69" s="2" t="s">
        <v>80</v>
      </c>
      <c r="D69" s="32">
        <f t="shared" si="1"/>
        <v>5788125</v>
      </c>
      <c r="E69" s="33"/>
      <c r="F69" s="32">
        <f>5512500*1.05</f>
        <v>5788125</v>
      </c>
      <c r="G69" s="32"/>
      <c r="H69" s="33"/>
      <c r="I69" s="33"/>
      <c r="J69" s="33"/>
      <c r="K69" s="33"/>
      <c r="L69" s="33"/>
      <c r="M69" s="29"/>
    </row>
    <row r="70" spans="1:13" s="42" customFormat="1" ht="46.5" customHeight="1">
      <c r="A70" s="66"/>
      <c r="B70" s="66"/>
      <c r="C70" s="2" t="s">
        <v>81</v>
      </c>
      <c r="D70" s="32">
        <f>SUM(E70:L70)</f>
        <v>5543460</v>
      </c>
      <c r="E70" s="32"/>
      <c r="F70" s="33"/>
      <c r="G70" s="32">
        <f>5000000*1.04*1.035*1.03</f>
        <v>5543460</v>
      </c>
      <c r="H70" s="33"/>
      <c r="I70" s="33"/>
      <c r="J70" s="33"/>
      <c r="K70" s="33"/>
      <c r="L70" s="33"/>
      <c r="M70" s="29"/>
    </row>
    <row r="71" spans="1:13" ht="12.75">
      <c r="A71" s="85" t="s">
        <v>113</v>
      </c>
      <c r="B71" s="85"/>
      <c r="C71" s="85"/>
      <c r="D71" s="26">
        <f>SUM(D9:D70)</f>
        <v>5275904347.731168</v>
      </c>
      <c r="E71" s="26">
        <f aca="true" t="shared" si="2" ref="E71:L71">SUM(E9:E70)</f>
        <v>72765000</v>
      </c>
      <c r="F71" s="26">
        <f>SUM(F9:F70)</f>
        <v>140885625</v>
      </c>
      <c r="G71" s="26">
        <f t="shared" si="2"/>
        <v>2353301877.2417316</v>
      </c>
      <c r="H71" s="26">
        <f t="shared" si="2"/>
        <v>671690622.060432</v>
      </c>
      <c r="I71" s="26">
        <f t="shared" si="2"/>
        <v>600000000</v>
      </c>
      <c r="J71" s="26">
        <f t="shared" si="2"/>
        <v>968250388.8182759</v>
      </c>
      <c r="K71" s="26">
        <f t="shared" si="2"/>
        <v>359010834.610728</v>
      </c>
      <c r="L71" s="26">
        <f t="shared" si="2"/>
        <v>110000000</v>
      </c>
      <c r="M71" s="25"/>
    </row>
    <row r="72" spans="1:13" ht="12.75">
      <c r="A72" s="53"/>
      <c r="B72" s="54"/>
      <c r="C72" s="54"/>
      <c r="D72" s="55"/>
      <c r="E72" s="55"/>
      <c r="F72" s="55"/>
      <c r="G72" s="55"/>
      <c r="H72" s="55"/>
      <c r="I72" s="55"/>
      <c r="J72" s="55"/>
      <c r="K72" s="55"/>
      <c r="L72" s="56"/>
      <c r="M72" s="25"/>
    </row>
    <row r="73" spans="1:13" ht="12.75">
      <c r="A73" s="86" t="s">
        <v>114</v>
      </c>
      <c r="B73" s="86"/>
      <c r="C73" s="86"/>
      <c r="D73" s="49">
        <f>+D71+'P PLURIANUAL 2010'!D74+'P PLURIANUAL 2009'!D76+'P PLURIANUAL 2008'!D76</f>
        <v>25960008990.85597</v>
      </c>
      <c r="E73" s="50">
        <f>+E71+'P PLURIANUAL 2010'!E74+'P PLURIANUAL 2009'!E76+'P PLURIANUAL 2008'!E76</f>
        <v>264503750</v>
      </c>
      <c r="F73" s="51">
        <f>+F71+'P PLURIANUAL 2010'!F74+'P PLURIANUAL 2009'!F76+'P PLURIANUAL 2008'!F76</f>
        <v>512603125</v>
      </c>
      <c r="G73" s="51">
        <f>+G71+'P PLURIANUAL 2010'!G74+'P PLURIANUAL 2009'!G76+'P PLURIANUAL 2008'!G76</f>
        <v>8935715506.105331</v>
      </c>
      <c r="H73" s="51">
        <f>+H71+'P PLURIANUAL 2010'!H74+'P PLURIANUAL 2009'!H76+'P PLURIANUAL 2008'!H76</f>
        <v>2559732255.434832</v>
      </c>
      <c r="I73" s="50">
        <f>+I71*4</f>
        <v>2400000000</v>
      </c>
      <c r="J73" s="50">
        <f>+J71+'P PLURIANUAL 2010'!J74+'P PLURIANUAL 2009'!J76+'P PLURIANUAL 2008'!J76</f>
        <v>5696052403.907476</v>
      </c>
      <c r="K73" s="51">
        <f>+K71+'P PLURIANUAL 2010'!K74+'P PLURIANUAL 2009'!K76+'P PLURIANUAL 2008'!K76</f>
        <v>4891401950.408329</v>
      </c>
      <c r="L73" s="51">
        <f>+L71+'P PLURIANUAL 2010'!L74+'P PLURIANUAL 2009'!L76+'P PLURIANUAL 2008'!L76</f>
        <v>700000000</v>
      </c>
      <c r="M73" s="25"/>
    </row>
    <row r="74" spans="1:13" ht="12.75">
      <c r="A74" s="57"/>
      <c r="B74" s="57"/>
      <c r="C74" s="57"/>
      <c r="D74" s="58"/>
      <c r="E74" s="59"/>
      <c r="F74" s="52"/>
      <c r="G74" s="52"/>
      <c r="H74" s="52"/>
      <c r="I74" s="59"/>
      <c r="J74" s="59"/>
      <c r="K74" s="52"/>
      <c r="L74" s="52"/>
      <c r="M74" s="25"/>
    </row>
    <row r="75" ht="12.75">
      <c r="L75" s="60"/>
    </row>
    <row r="76" spans="7:12" ht="12.75">
      <c r="G76" s="44"/>
      <c r="J76" s="25"/>
      <c r="K76" s="43"/>
      <c r="L76" s="43"/>
    </row>
    <row r="77" spans="10:11" ht="12.75">
      <c r="J77" s="48"/>
      <c r="K77" s="48"/>
    </row>
    <row r="78" spans="3:11" ht="15.75">
      <c r="C78" s="45"/>
      <c r="J78" s="25"/>
      <c r="K78" s="25"/>
    </row>
    <row r="79" ht="15.75">
      <c r="C79" s="45"/>
    </row>
    <row r="80" ht="15.75">
      <c r="C80" s="45"/>
    </row>
    <row r="81" ht="15.75">
      <c r="C81" s="46"/>
    </row>
    <row r="82" ht="15.75">
      <c r="C82" s="46"/>
    </row>
  </sheetData>
  <sheetProtection/>
  <mergeCells count="29">
    <mergeCell ref="A73:C73"/>
    <mergeCell ref="B63:B64"/>
    <mergeCell ref="B65:B66"/>
    <mergeCell ref="B28:B29"/>
    <mergeCell ref="B30:B31"/>
    <mergeCell ref="B32:B36"/>
    <mergeCell ref="B67:B68"/>
    <mergeCell ref="B55:B57"/>
    <mergeCell ref="B58:B62"/>
    <mergeCell ref="A63:A70"/>
    <mergeCell ref="A2:L2"/>
    <mergeCell ref="A1:L1"/>
    <mergeCell ref="A71:C71"/>
    <mergeCell ref="B13:B23"/>
    <mergeCell ref="B24:B27"/>
    <mergeCell ref="B9:B12"/>
    <mergeCell ref="A9:A36"/>
    <mergeCell ref="B69:B70"/>
    <mergeCell ref="A37:A62"/>
    <mergeCell ref="B37:B44"/>
    <mergeCell ref="B45:B47"/>
    <mergeCell ref="B48:B49"/>
    <mergeCell ref="B50:B54"/>
    <mergeCell ref="C6:C8"/>
    <mergeCell ref="D6:D8"/>
    <mergeCell ref="E6:L6"/>
    <mergeCell ref="E7:L7"/>
    <mergeCell ref="A6:A8"/>
    <mergeCell ref="B6:B8"/>
  </mergeCells>
  <printOptions horizontalCentered="1" verticalCentered="1"/>
  <pageMargins left="0.5905511811023623" right="0.5905511811023623" top="0.984251968503937" bottom="0.984251968503937" header="0" footer="0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microsoft</dc:creator>
  <cp:keywords/>
  <dc:description/>
  <cp:lastModifiedBy>David Suarez Sanchez</cp:lastModifiedBy>
  <cp:lastPrinted>2008-05-23T18:58:28Z</cp:lastPrinted>
  <dcterms:created xsi:type="dcterms:W3CDTF">2008-03-13T14:59:07Z</dcterms:created>
  <dcterms:modified xsi:type="dcterms:W3CDTF">2014-05-15T14:36:42Z</dcterms:modified>
  <cp:category/>
  <cp:version/>
  <cp:contentType/>
  <cp:contentStatus/>
</cp:coreProperties>
</file>