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4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'Hoja1'!$A$1:$R$165</definedName>
  </definedNames>
  <calcPr fullCalcOnLoad="1"/>
</workbook>
</file>

<file path=xl/sharedStrings.xml><?xml version="1.0" encoding="utf-8"?>
<sst xmlns="http://schemas.openxmlformats.org/spreadsheetml/2006/main" count="826" uniqueCount="617">
  <si>
    <t>Meta de Producto Cuatrienio (2008-2011)</t>
  </si>
  <si>
    <t>Indicador de Producto</t>
  </si>
  <si>
    <t>Indicador Esperado de la Meta de Producto</t>
  </si>
  <si>
    <t>Meta Vigencia 2010</t>
  </si>
  <si>
    <t>Indicadores</t>
  </si>
  <si>
    <t>Observaciones</t>
  </si>
  <si>
    <t>Nombre Indicador</t>
  </si>
  <si>
    <t>Valor Actual indicador 31 dic/07</t>
  </si>
  <si>
    <t>A1</t>
  </si>
  <si>
    <t>A2</t>
  </si>
  <si>
    <t>A3</t>
  </si>
  <si>
    <t>A4</t>
  </si>
  <si>
    <t>subprograma</t>
  </si>
  <si>
    <t>Inicial</t>
  </si>
  <si>
    <t>Esperado</t>
  </si>
  <si>
    <t>Garantizada continuidad de 1500 estudiantes (niños/as) e incorporados 1000 nuevos cupos al programa de complemento alimenticio y nutricional del municipio, para mejorar la permanencia y el rendimiento escolar.</t>
  </si>
  <si>
    <t>No estudiantes beneficiados con alimentación escolar</t>
  </si>
  <si>
    <t>alimentacion escolar</t>
  </si>
  <si>
    <t>100%,</t>
  </si>
  <si>
    <t>Garantizada continuidad de 2800 estudiantes (niños/as) e incorporados 1995 nuevos cupos al programa de complemento alimenticio y nutricional del municipio, para mejorar la permanencia y el rendimiento escolar.</t>
  </si>
  <si>
    <t>En el 2011 el municipio de San Juan Nepomuceno, cuenta con un Plan Educativo Decenal, implementado.</t>
  </si>
  <si>
    <t>Porcentaje de Plan Educativo Decenal formulado e implementado.</t>
  </si>
  <si>
    <t>Garantizada continuidad de la asistencia de 200 estudiantes (niños/as), e incorporados 100 nuevos cupos al servicio de transporte escolar de la población estudiantil del área rural.</t>
  </si>
  <si>
    <t>No. De estudiantes (niños/as) que se movilizan y asisten para cumplir con sus derechos / deberes escolares.</t>
  </si>
  <si>
    <t>La Alcaldia municipal ha facilitado y fortalecido los proyectos empresariales y ha gestionado con las I.E. el apoyo de organizaciones externas , (Colombia Emprende,  ONGs, ETC.)</t>
  </si>
  <si>
    <t>No. De I.E del municipio que muestran iniciativas de nuevos negocios o proyectos productivos con perfil empresarial</t>
  </si>
  <si>
    <t>La Alcaldia municipal ha facilitado y fortalecido la articulación de las seis (6) I.E y  1 C.E,  a los programas de pregrado de Educación Técnica, Tecnológica y Superior beneficiando a cerca de 300 egresados de Educación Media.</t>
  </si>
  <si>
    <t>No. De I.E del municipio que se articulan a los programas de Educación Técnica, Tecnológica y Superior</t>
  </si>
  <si>
    <t>100 nuevos docentes , han aumentado sus capacidades para mejorar el servicio de la educación a nivel municipal.</t>
  </si>
  <si>
    <t>No. De docentes de I. E del municipio capacitados</t>
  </si>
  <si>
    <t>1000 niños/as de seis (6) I.E. y 1 Centro E.  disponen de materiales lúdico - didácticos innovadores para mejorar la convivencia y el aprendizaje escolar.</t>
  </si>
  <si>
    <t>No. De niños/as de I.E. del municipio que mejoran la convivencia y el aprendizaje escolar a través de los nuevos materiales  lúdico - didácticos innovadores utilizados</t>
  </si>
  <si>
    <t>Plan de Atención Profesional en Psicopedagogía (PAPP), diseñado e implementado con al menos 500 estudiantes en siete (7) instituciones educativas del municipio.</t>
  </si>
  <si>
    <t xml:space="preserve">No. De estudiantes  (niños/as, adolescentes y jóvenes)  que mejoran sus proyectos de vida con el P.A.P.P. </t>
  </si>
  <si>
    <t>200 Estudiantes de la Media Técnica (IETA - Rodolfo Barrios Cabrera), participan y realizan practicas a partir de la implementación de estrategias pedagogicas productivas  (Huertas, Viveros, Cultivoc hortifruticolas)</t>
  </si>
  <si>
    <t>No. de estudiantes (edades, sexo y condición social) de la Media Técnica, vinculados y capacitados al desarrollo de estrategias pedagogicas con enfoque productivo (Huertas escolares implementadas).</t>
  </si>
  <si>
    <t>1.500  Estudiantes de Educacion Basica y Media han participado anualmente en espacios deportivos y recreativos promovidos en los niveles: nacional, deptal y local.</t>
  </si>
  <si>
    <t>No. De estudiantes (edades, sexo y condición social) de las Instituciones Educativas del Municipio que participan en espacios deportivos y recreativos</t>
  </si>
  <si>
    <t>Al menos, 100 estudiantes se vinculan a PPA y minimo 10 docentes generan y desarrollan acciones en PPI durante el cuatrienio.</t>
  </si>
  <si>
    <t>No. De PPA y PPI generados y desarrollados en I.E del municipio.</t>
  </si>
  <si>
    <t xml:space="preserve">Todas las instituciones educativas se beneficia articulacion PEI - PEIRC (Proy educativo institucional rural y campesino)
Articulacion de las TIC (Tecnologias de informacion y Comunicación)
</t>
  </si>
  <si>
    <t>Nos de instituciones educativas beneficiadas con PEIRC y TIC</t>
  </si>
  <si>
    <t>Al menos, 400 estudiantes (niños/as) han vivenciado experiencias ludicas que le permiten fortalecer habilidades  y potencialidades en aspectos piscosociales, psicomotrices y cognitivos.</t>
  </si>
  <si>
    <t>No. de estudiantes (edades, sexo y condición) que se vinculan y participan en las actividades de la ludoteca.</t>
  </si>
  <si>
    <t>Al menos, 1.000 Padres / Madres y Tutores de Familia mejoran sus vinculos afectivos con sus hijos, optimizan sus recursos familiares, y potencializan sus habilidades para articularse a las actividades escolares de las I. E y proyectarlas al contexto.</t>
  </si>
  <si>
    <t xml:space="preserve">No. De Padres / Madres y Tutores de familia que se capacitan en los talleres programados. </t>
  </si>
  <si>
    <t>Se ha mejorado la infraestructura fisica en diez (10) sedes escolares de la I.E.D.A.A, relacionadas con la construcción de tanques de almacenamiento de agua y adecuacion de cocinas, comedores, baterias sanitarias e instalaciones en general, que permitan ambientes adecuados para las practicas educativas</t>
  </si>
  <si>
    <t xml:space="preserve">No. De sedes de la I.E.D.A.A que mejoraron su infraestructura física 
</t>
  </si>
  <si>
    <t>Se ha mejorado la infraestructura física en cuatro (4) sedes escolares de la I.E.NSMM, relacionadas con la construcción de tanques de almacenamiento de agua y adecuacion de cocinas, comedores, baterias sanitarias e instalaciones en general, que permitan ambientes adecuados para las practicas educativas</t>
  </si>
  <si>
    <t xml:space="preserve">No. De sedes de la I.E. NSMMa que mejoraron su infraestructura física / No. Total de sedes </t>
  </si>
  <si>
    <t>La I.E. NSMMa adquirió un lote de terreno para construir la nueva sede</t>
  </si>
  <si>
    <t>Lote de terreno adquirido</t>
  </si>
  <si>
    <t>Se ha mejorado la infraestructura física  de la I.E la Floresta y  en las  tres (3) sedes escolares , relacionadas con la construcción de tanques de almacenamiento de agua y adecuacion de cocinas, comedores, baterias sanitarias e instalaciones en general, que permiten ambientes adecuados para las practicas educativas</t>
  </si>
  <si>
    <t xml:space="preserve">No. De sedes de la I.E. La Floresta que mejoraron su infraestructura física </t>
  </si>
  <si>
    <t>Se ha elaborado el anteproyecto para la construccion de la nueva sede de la I.E.N.S.M.M.</t>
  </si>
  <si>
    <t>Proyecto propuesto para la nueva sede de la I.E.N.S.M.M</t>
  </si>
  <si>
    <t xml:space="preserve">No. De sedes de la I.E. San Cayetano que mejoraron su infraestructura física / No. Total de sedes </t>
  </si>
  <si>
    <t>Porcentaje de mejoramiento de la infraestructura fisica de I.E San Pedro Consolado</t>
  </si>
  <si>
    <t>Se ha mejorado la infraestructura física en la sede del Centro Educativo de San Agustín,en un 50% relacionadas con la construcción de tanques de almacenamiento de agua y adecuacion de cocinas, comedores, baterias sanitarias e instalaciones en general, que permitan ambientes adecuados para las practicas educativas</t>
  </si>
  <si>
    <t>Porcentaje de mejoramiento de la infraestructura fisica de centro educativo San Agustín</t>
  </si>
  <si>
    <t>No. De Instituciones educativas que se benefician con la implementación de proyectos de infraestructura fisica y adecuación de ambientes educativos, cofinanciados por el municipio.</t>
  </si>
  <si>
    <t xml:space="preserve">Dotar las I:E  con Tabletoros, Sillas, Abamicos y Kit Escolares ,  mobiliario en general y otras dotaciones varias.
</t>
  </si>
  <si>
    <t>Numero de Instituciones Educativas beneficiadas con los implementos cofinanciados con recursos del SGP.</t>
  </si>
  <si>
    <t>Final</t>
  </si>
  <si>
    <t>Meta Vigencia 2011</t>
  </si>
  <si>
    <t>Se ha mejorado la infraestructura física  de la IESan Cayetano y en ocho las (8) sedes escolares , relacionadas con la construcción de tanques de almacenamiento de agua y adecuacion de cocinas, comedores, baterias sanitarias e instalaciones en general, que permitan ambientes adecuados para las practicas educativas</t>
  </si>
  <si>
    <r>
      <t xml:space="preserve">Se ha mejorado la infraestructura física  de la  </t>
    </r>
    <r>
      <rPr>
        <u val="single"/>
        <sz val="9"/>
        <rFont val="Arial"/>
        <family val="2"/>
      </rPr>
      <t>I.E San Pedro Consolad</t>
    </r>
    <r>
      <rPr>
        <sz val="9"/>
        <rFont val="Arial"/>
        <family val="2"/>
      </rPr>
      <t xml:space="preserve">o, en un 80% </t>
    </r>
  </si>
  <si>
    <r>
      <t xml:space="preserve">Gestionar y/o cofinanciar por los menos tres proyectos para mejoramiento de   las infraestructura física de por lo menos tres </t>
    </r>
    <r>
      <rPr>
        <u val="single"/>
        <sz val="9"/>
        <rFont val="Arial"/>
        <family val="2"/>
      </rPr>
      <t>Instituciones Educativas del Municipio</t>
    </r>
    <r>
      <rPr>
        <sz val="9"/>
        <rFont val="Arial"/>
        <family val="2"/>
      </rPr>
      <t xml:space="preserve">, relacionadas con la construcción de tanques de almacenamiento de agua y adecuacion de cocinas, comedores, baterias sanitarias e instalaciones en general, que permitan ambientes adecuados para las practicas educativas </t>
    </r>
  </si>
  <si>
    <t>/</t>
  </si>
  <si>
    <t>Mantener  la afiliación de la población asegurada a traves de la continuidad</t>
  </si>
  <si>
    <t>No. de personas Mantenidas en la afiliación al régimen subsidiado</t>
  </si>
  <si>
    <t>logro alcanzado</t>
  </si>
  <si>
    <t>Realizar los mecanismos de Promoción de vinculación al 100% de la población suceptible de afiliación,que equivale a 5766 para la afiliación al SGSSS</t>
  </si>
  <si>
    <t>No. de personas informadas / numero de personas susceptibles de afiliación</t>
  </si>
  <si>
    <t xml:space="preserve">Actualizar y depurar las bases de datos de SISBEN, contributivo y EPS-S, para identificación y priorizacion de población </t>
  </si>
  <si>
    <t>Numero de bases de datos actualizadas y depuradas</t>
  </si>
  <si>
    <t>Promoción afiliación al SGSSS</t>
  </si>
  <si>
    <t>Gestionar la Adquisicion de   equipos y software para la administración de la afiliación</t>
  </si>
  <si>
    <t>No de equipos adquiridos y funcionando para el manejo de la afiliación SGSSS</t>
  </si>
  <si>
    <t>Identificación y priorización población afiliada y por afiliar</t>
  </si>
  <si>
    <t>Capacitación del personal encargado del manejo de la afiliación del SGSSS</t>
  </si>
  <si>
    <t>No. De funcionarios capacitados en el manejo de la afiliación al SGSSS</t>
  </si>
  <si>
    <t>Adecuación tecnologica y recurso humano para adminstración de la afiliación.</t>
  </si>
  <si>
    <t>falta un equipo de cómputo para secretario de salud</t>
  </si>
  <si>
    <t>Celebración del 100% de contratos con la eps-s,  para la administración  de los recursos del Régimen Subsidiado en salud.</t>
  </si>
  <si>
    <t>No. De Contratos celebrados para la Adminstración de los recursos del Regimen Subsidiado en salud.</t>
  </si>
  <si>
    <t>Celebrar de contrato de interventoria a los contratos de administración de los recursos del Régimen Subsidiado</t>
  </si>
  <si>
    <t>Numero de contratos de interventoria a los contratos de los recursos del Régimen Subsidiado</t>
  </si>
  <si>
    <t>contratar la interventoría con una firma acreditada</t>
  </si>
  <si>
    <t>Girar el 100% de los recursos contratados para la administración del Régimen Subsidiado</t>
  </si>
  <si>
    <t>Porcentaje de recursos girados a las EPS-S</t>
  </si>
  <si>
    <t>Se reraliza vigilancia y control atraves de interventoria y seguimiento a las EPS-S en la adminstracion de los recursos del regimen subsidiado</t>
  </si>
  <si>
    <t>No. De EPS-S a las que se le hace interventoría</t>
  </si>
  <si>
    <t>Adminstración base de datos</t>
  </si>
  <si>
    <t>ASEGURAMIENTO</t>
  </si>
  <si>
    <t xml:space="preserve">Realizar los mecanismos de Promoción de vinculación al 100% de la población suceptible de afiliación, para la afiliación al SGSSS </t>
  </si>
  <si>
    <t xml:space="preserve">No. de personas informadas </t>
  </si>
  <si>
    <t>Ampliar la cobertura del régimen Subsidiado a la población pobre no afiliada</t>
  </si>
  <si>
    <t xml:space="preserve">No. De personas  vinculadas como afiliadas al régimen subsidiado </t>
  </si>
  <si>
    <t xml:space="preserve">No de equipos adquiridos y funcionando para el manejo de la afiliación. </t>
  </si>
  <si>
    <t>se han recibido asistencias técnicas en el Dpto.</t>
  </si>
  <si>
    <t>la interventoria debe ser contratada con una empresa acreditada</t>
  </si>
  <si>
    <t>SALUD PUBLICA</t>
  </si>
  <si>
    <t>6 funcionarios del equipo de salud capacitado sobre guias de atencion integral y de politicas en salud</t>
  </si>
  <si>
    <t>número de funcionarios capacitados</t>
  </si>
  <si>
    <t>3</t>
  </si>
  <si>
    <t>4</t>
  </si>
  <si>
    <t>5</t>
  </si>
  <si>
    <t>6</t>
  </si>
  <si>
    <t>Acciones de Promoción de la salud y calidad de vida.</t>
  </si>
  <si>
    <t>META ALCANZADA EN EL 2010</t>
  </si>
  <si>
    <t>1.206 niños menores de un año en lactancia materna</t>
  </si>
  <si>
    <t>No de niños alimentados con lactancia materna</t>
  </si>
  <si>
    <t>867</t>
  </si>
  <si>
    <t>980</t>
  </si>
  <si>
    <t>1093</t>
  </si>
  <si>
    <t>1206</t>
  </si>
  <si>
    <t>113 ALIMENTADOS CON LACTANCIA MATERNA</t>
  </si>
  <si>
    <t>1 IPS que implementan y aplican la estrategia IAMI.</t>
  </si>
  <si>
    <t>Cobertura en la estregia IAMI.</t>
  </si>
  <si>
    <t>1 IPS que implementan y aplican la estrategia AIEPI.</t>
  </si>
  <si>
    <t>Cobertura en la estregia AIEPI.</t>
  </si>
  <si>
    <t>Vinculación de 12,711 jovenes y adolescentes a la Red de Apoyo social para la promocion de derechos y deberes en Salud Sexual y Reproductiva en jovenes y adolescentes</t>
  </si>
  <si>
    <t>Nº  Jovenes y adolescentes incluidos en la Red efectivamente</t>
  </si>
  <si>
    <t>Vincular a 3780 JOVENES</t>
  </si>
  <si>
    <t>Implementar 4 programas de formacion para la sexualidad y construccion ciudadania y habilidades para la vida</t>
  </si>
  <si>
    <t>No de Programas e la estrategia Habilidades para la vida</t>
  </si>
  <si>
    <t>Estrategia ya implementada seguir fortaleciendola</t>
  </si>
  <si>
    <t>Implementar de 2 redes comunitarias y de apoyo para la promocion de la salud mental y prevencion de transtornos mentales y del consumo de sustancias  psicoactivas</t>
  </si>
  <si>
    <t>Número de Redes comunitarias implementadas y funcionando</t>
  </si>
  <si>
    <t>2 rdes comunitarias fortalecidas</t>
  </si>
  <si>
    <t>Fomentado el 60% de lugares de trabajo y espacios públicos libres de humo de tabaco a traves de la estrategias IE</t>
  </si>
  <si>
    <t xml:space="preserve">% efectivos de espcios de trabajo y lugares publicos libre de humo </t>
  </si>
  <si>
    <t>Incrementar el 15% de los lugares publicos libre de humo</t>
  </si>
  <si>
    <t>Municipio con coberturas en vacunación superiores al 95%  en &lt; de un año, para VOP, PENTA, BCG</t>
  </si>
  <si>
    <t>Coberturas de vacunacion</t>
  </si>
  <si>
    <t>Mayor 95%</t>
  </si>
  <si>
    <t>&gt;95%</t>
  </si>
  <si>
    <t>Acciones colectivas de Prevención.</t>
  </si>
  <si>
    <t>Mantener coberturas de PAI superiores al 95% en menores de 1 año</t>
  </si>
  <si>
    <t>Municipio con coberturas en vacunación superiores al 95%  en &lt; de 5 año, para  VOP, PENTA,  BCG, DPT y TV</t>
  </si>
  <si>
    <t>% de Cobertura en Vacunación.</t>
  </si>
  <si>
    <t>Mantener coberturas de PAI superiores al 95% en menores de 5 año</t>
  </si>
  <si>
    <t>El 100% de unidads de atencion de UROCs y UAIRAC dotadas</t>
  </si>
  <si>
    <t>% de dotacion de unidades de atencion de UROCs y UAIRACs</t>
  </si>
  <si>
    <t>Indicador alcanzado al 100% seguir fortalecimiento las unidades de UROC y UAIRAC</t>
  </si>
  <si>
    <t>IPS que tengan implementado el modelo de la atención biosicosocial del control prenatal, parto y posparto.</t>
  </si>
  <si>
    <t>Cobertura del 100% del modelo implementado y evaluado</t>
  </si>
  <si>
    <t>1 IPS que hsys implementado y funcione el modelo de la atención biosicosocial del control prenatal, parto y posparto.</t>
  </si>
  <si>
    <t>IPS que implementan y aplican la Estrategia de programas de instituciones amiga de los adolescentes y jovenes.</t>
  </si>
  <si>
    <t>Cobertura de la estrategia implementada y evaluada.</t>
  </si>
  <si>
    <t xml:space="preserve">Seguimiento al funcionamiento de la Estrategia de Servicios de Salud Amigables para jovenes y adolescente </t>
  </si>
  <si>
    <t>Dos (2) IPSs con implementan de modelo y Guia de Atencion en VIH-SIDA</t>
  </si>
  <si>
    <t>No.  IPSs con modelos y guia implementada y funcionando</t>
  </si>
  <si>
    <t>1 IPS implementando la guia de atencion de VIH</t>
  </si>
  <si>
    <t>80% de niñ@s desparasitados menores de 5 años pertenecientes a grupos vulnerables no afiliados al SGSSS</t>
  </si>
  <si>
    <t>Cobertura de niñ@s desparasitados menores de 5 años pertenecientes a grupos vulnerables no afiliados al SGSSS</t>
  </si>
  <si>
    <t>Indicador alcanzado al 100% seguir fortalecimiento los programas existentes</t>
  </si>
  <si>
    <t>60% niñ@s canalizados y reuperados nutricionalmente &lt; de 2 años</t>
  </si>
  <si>
    <t>Cobertura niñ@s canalizados y reuperados nutricionalmente &lt; de 2 años</t>
  </si>
  <si>
    <t xml:space="preserve"> 80% de jovenes adolescentes y pobacion en generalcnalizados  para deteccion precoz de cancer de cuello uterino a traves de la promocion de la cotologia cervico-uterino</t>
  </si>
  <si>
    <t xml:space="preserve"> cobertura de jovenes adolescentes y pobacion en generalcnalizados  para deteccion precoz de cancer de cuello uterino a traves de la promocion de la cotologia cervico-uterino</t>
  </si>
  <si>
    <t>Vincular al 20% en la estrategia reduccion de cancer de cuello uterino</t>
  </si>
  <si>
    <t>SECTOR SALUD</t>
  </si>
  <si>
    <t>Garantizar y mantener la atencion de primer nivel a 5766 personas de la  poblacion pobre y vulnerable no cubierto con subsidio a la demanda</t>
  </si>
  <si>
    <t xml:space="preserve">N° de personas de la poblacion pobre y vulnerable no cubierta con subsidio a la demanda  con atencion de primer nivel </t>
  </si>
  <si>
    <t>Realizadas las actividades de vigilancia y control en las IPS Habilitadas</t>
  </si>
  <si>
    <t>Realizadas las actividades de vigilancia y control en las seis (6) IPS Habilitadas</t>
  </si>
  <si>
    <t>Numero de IPS vigiladas y contoladas</t>
  </si>
  <si>
    <t>Mantener la vigilancia a las seis (6) IPS habilitadas en la calidad de la atención</t>
  </si>
  <si>
    <t>Numero de IPS vigiladas en calidad de la atención</t>
  </si>
  <si>
    <t>Mantener la vigilancia a las IPS habilitadas en la calidad de la atención</t>
  </si>
  <si>
    <t>Implementar en un 100% los mecanismos de Informacion para la calidad de la atencion en las IPS</t>
  </si>
  <si>
    <t>Numero de IPS vigiladas en calidad de la atención, con mecanismos de información implementados</t>
  </si>
  <si>
    <t>Implementar  los mecanismos de Informacion para la calidad de la atencion en las IPS</t>
  </si>
  <si>
    <t>Seguimiento a los Planes de Mejoramiento de la calidad de los servicios habilitados en las seis (6) IPS existente (Res. 1043/06)</t>
  </si>
  <si>
    <t>Número de IPSs con seguimiento de los Planes de Mejoramiento de la calidad de los servicios</t>
  </si>
  <si>
    <t>Seguimiento a los Planes de Mejoramiento de la calidad de los servicios habilitados  IPS existente (Res. 1043/06)</t>
  </si>
  <si>
    <t>Seguimiento al cumplimiento de las normas tecnica y guias de atención de las acciones individuales y colectivas del POS Subsidiado y Contributivo (Res. 412) en las seis (6) IPSs</t>
  </si>
  <si>
    <t>Número de IPSs con seguimiento de las normas tecnicas y guias de atención de las acciones individuales y colectivas</t>
  </si>
  <si>
    <t>Seguimiento al cumplimiento de las normas tecnica y guias de atención de las acciones individuales y colectivas del POS Subsidiado y Contributivo (Res. 412) en IPSs</t>
  </si>
  <si>
    <t>Garantizar el acceso a los servicios de salud antes de la entrga de los carnes por la EPS-S acuerdo(306) 228,282,236,263,del CNSSS y resolucion 5261en la IPS</t>
  </si>
  <si>
    <t xml:space="preserve">Numero de IPS a las cuales se les hace seguimientos de auditoria </t>
  </si>
  <si>
    <t>Mejoramiento de la Eficiencia en la prestación de servicios de salud y sostenibilidad financiera de las IPS pública</t>
  </si>
  <si>
    <t>Realizar seguimiento al plan de gestion del gerente de la ESE Hospiatl Local resolucion (0473)ala IPS</t>
  </si>
  <si>
    <t>Numero de ESE Hospital Local a las cuales se debe hacer seguimiento en la evaluacion del plan de gestion del gerente</t>
  </si>
  <si>
    <t>AGUA POTABLE Y SANEAMIENTO BÁSICO</t>
  </si>
  <si>
    <t xml:space="preserve">1) Garantizada la transferencia de recursos establecidos en el contrato de concesión de Operación Especailizada para sostener el suministro de agua potable al 56% de las viviendas de la cabecera municipal (2.875) y ampliación de cobertura hasta el 80% del total que equivale a 4107 
. 
.
</t>
  </si>
  <si>
    <t xml:space="preserve">1) No. Total de viviendas que reciben el servicio de agua potable / No. Total de viviendas en el área urbana del municipio (5.134
</t>
  </si>
  <si>
    <t>Sostenimiento del Contrato de Operación Especializada para el manejo de los sistemas de Acueducto y Alcantarillado en la cabecera municipal 50% del SGP</t>
  </si>
  <si>
    <t>El municipio habra subsidiado al 80% de los usuarios del servicio de agua potable en los estratos 1 y 2 que equivale 2757</t>
  </si>
  <si>
    <t>No. Total de usuarios que reciben el subsidio / No. Total usuarios en estratos 1 y 2</t>
  </si>
  <si>
    <t>Fondo Solidario para Redistribucion del Ingreso.</t>
  </si>
  <si>
    <t>SE CUMPLE</t>
  </si>
  <si>
    <t xml:space="preserve">1. )  Al finalizar el 2011 se habran cambiado  minimo 5.000 Mlde los 27000 ml de la Linea de Conduccion del Acueducto Municipal. </t>
  </si>
  <si>
    <t xml:space="preserve">1)  No.  de  Ml de tubería en reposiciòn de la Linea de Conducción       
</t>
  </si>
  <si>
    <t xml:space="preserve">Optimización del Sistema de Acueducto Municipal Linea de Conduccion </t>
  </si>
  <si>
    <t>SI SE CUMPLE</t>
  </si>
  <si>
    <t>2. )   Durante en cuatrienio se habran instalado minimo 6000 ml de redes de distribucion urbana para mejoramiento y ampliación del existente,</t>
  </si>
  <si>
    <t xml:space="preserve"> No. de ML en reposición y ampliación de Redes de Distribución en el àrea urbana del municipio                    </t>
  </si>
  <si>
    <t xml:space="preserve">Mejoramiento y ampliacion de redes urbanas en el acueducto municipal </t>
  </si>
  <si>
    <t>Se han provisto los recursos asignados por la nación y el departamento en el Plan de Aguas para la implementacion del PDA</t>
  </si>
  <si>
    <t>% de recursos transferidos por compromisos PDA</t>
  </si>
  <si>
    <t>Cofinanciacion del municipio para la implementacion del Plan Departamental de Aguas (PDA)</t>
  </si>
  <si>
    <t>SI SE CUMPLE 100%</t>
  </si>
  <si>
    <t>A 2011 se ha ampliado la capacidad de la planta de tratamiento de Perico pasando de 60 a 120 LPS.</t>
  </si>
  <si>
    <t>No. De LPS en que se incrementa la capacidad de la Planta de Tratamiento</t>
  </si>
  <si>
    <t xml:space="preserve">Ampliacion y optimizacion de la Planta de Tratamiento de Perico </t>
  </si>
  <si>
    <t>NO CUMPLE</t>
  </si>
  <si>
    <t>A 2011, se ha implementado la FASE I - del PGIRS que comprende los siguientes componentes basicos: 1) Estudios Técnicos, 2) Compra de Lote; 3) Montaje de sistema de recoleccion y disposicion final de residuos solidos; 4) cierre parcial del basurero a cielo abierto.</t>
  </si>
  <si>
    <t>No. De componentes basicos incluidos en la FASE I - del PGIRS implementados / Comonentes basicos del PGIRS propuestos</t>
  </si>
  <si>
    <t>estudio tecnico y compra de lote</t>
  </si>
  <si>
    <t>cierre parcial del basurero a cielo en un  abierto en un 30%y montaje del sistema de recolección y disposición final de basura 50%</t>
  </si>
  <si>
    <t>cierre parcial del basurero a cielo en un  abierto en un 30%y montaje del sistema de recolección y disposición final de basura 75%</t>
  </si>
  <si>
    <t>cierre parcial del basurero a cielo en un  abierto en un 60%y montaje del sistema de recolección y disposición final de basura 100%</t>
  </si>
  <si>
    <t xml:space="preserve">Implementacion del Plan Integral de Residuos Solidos - PGIRS </t>
  </si>
  <si>
    <t>PARCIALMENTE</t>
  </si>
  <si>
    <t>A 2011, se habran apoyado minimo 3  proyectos alternativos para la construccion de pozas septicas de acuerdo con la norma RAS y avaladas por CARDIQUE que beneficiaría a 200 familias vulnerables del municipios</t>
  </si>
  <si>
    <t>No. De soluciones construidas en el municipio con apoyo externo.</t>
  </si>
  <si>
    <t>Apoyo a sistema alternativo de alcantarillado con pozas septicas de acuerdo con el RAS</t>
  </si>
  <si>
    <t>A 2011 se han elaborado los estudios tecnicos y diseños del Alcantarillado Sanitario en la Cabecera Municipal.</t>
  </si>
  <si>
    <t>Grado de elaboración de los estudios técnicos y diseños del Sistema de Alcantarillado Sanitario de la Cabecera Municipal</t>
  </si>
  <si>
    <t xml:space="preserve">Cofinanciación para los Estudios Tecnicos y Diseños del Sistema de Alcantarillado Sanitario en la Cabecera Municipal. </t>
  </si>
  <si>
    <t>Al finalizar el 2011 se encuentra en funcionamiento el Acueducto del Corregimiento de San Pedro Consolado, que benefician a 185 viviendas y 700 personas.</t>
  </si>
  <si>
    <t xml:space="preserve">1) No de viviendas que cuentan con servicio de agua potable en el corregimiento
</t>
  </si>
  <si>
    <t>Apoyo a la Construcción del Acueducto del Corregimiento de San Pedro Consolado</t>
  </si>
  <si>
    <t>Al finalizar el 2011 se encuentra en funcionamiento el Acueducto del Corregimiento de San Cayetano, que benefician a 1100 viviendas y 4000 personas.</t>
  </si>
  <si>
    <t xml:space="preserve"> No de viviendas que cuentan con servicio de agua potable en el corregimiento
</t>
  </si>
  <si>
    <t>Optimizacion del acueducto  del Corregimiento de San Cayetano</t>
  </si>
  <si>
    <t xml:space="preserve">Al finalizar el 2011 se han optimizado los Acueductos de los Corregimientos de san Agustín y San José del peñón beneficiando a 250 viviendas 
</t>
  </si>
  <si>
    <t xml:space="preserve">1) No de viviendas que cuentan con servicio de agua potable en corregimiento de san agustín y san josé del peñón
</t>
  </si>
  <si>
    <t>Optimización del Acueducto de los Corregimientos de San Jose del Peñon y San Agustín</t>
  </si>
  <si>
    <t>Al finalizar el 2011 se encuentra en funcionamiento el Acueducto del Corregimiento de Corralito, que beneficia a 30 viviendas y 60 personas.</t>
  </si>
  <si>
    <t>1) No de viviendas que cuentan con servicio de agua potable en el corregimiento</t>
  </si>
  <si>
    <t>Adecuación y Mantenimiento del Acueducto del Corregimiento de Corralito</t>
  </si>
  <si>
    <t>Al finalizar el 2011 se eha optimizado el Acueducto del Corregimiento de La Haya, que benefician a 55 viviendas y 200 personas.</t>
  </si>
  <si>
    <t xml:space="preserve">1) No de viviendas que cuentan con servicio de agua potable en el corregimiento
</t>
  </si>
  <si>
    <t>Mantenimiento del Acueducto del Corregimiento de la Haya</t>
  </si>
  <si>
    <t>A 2011 se ha normalizado el servicio de energía 5 sitios incluyendo barrios y corregimientos</t>
  </si>
  <si>
    <t xml:space="preserve">1) No. De barrios y/o corregimientos beneficiados con normalización de servicio de energía
</t>
  </si>
  <si>
    <t>Apoyo a proyectos de normalizacion del servicio de energía en barrios subnormales y corregimientos</t>
  </si>
  <si>
    <t>A 2011 se han implementado proyectos de ampliación de cobertura del servicio de energía para nuevas viviendas construidas durante el período (Costa de Oro, Corralito 1 y 2,.que equivale a 160 viviendas</t>
  </si>
  <si>
    <t>No. De nuevas viviendas que cuentan con el sevicio de energía / No. Total de viviendas nuevas construidas durante el periodo.</t>
  </si>
  <si>
    <t>Ampliacion de cobertura del servicio de energía en nuevas viviendas construidas</t>
  </si>
  <si>
    <r>
      <t xml:space="preserve">Garantizadas las condiciones y disponibilidad de recursos establecidos en el contrato de concesión de </t>
    </r>
    <r>
      <rPr>
        <b/>
        <sz val="10"/>
        <rFont val="Arial"/>
        <family val="2"/>
      </rPr>
      <t>Operación Especailizada</t>
    </r>
    <r>
      <rPr>
        <sz val="10"/>
        <rFont val="Arial"/>
        <family val="2"/>
      </rPr>
      <t xml:space="preserve"> para sostener el </t>
    </r>
    <r>
      <rPr>
        <b/>
        <sz val="10"/>
        <rFont val="Arial"/>
        <family val="2"/>
      </rPr>
      <t>servicio de alumbrado público</t>
    </r>
    <r>
      <rPr>
        <sz val="10"/>
        <rFont val="Arial"/>
        <family val="2"/>
      </rPr>
      <t xml:space="preserve"> (Reposicion, mantenimiento, operacion, expansion, repotenciación y administracion del servicio) en el municipio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
</t>
    </r>
  </si>
  <si>
    <r>
      <t xml:space="preserve">No. Total de viviendas que se benefician con el </t>
    </r>
    <r>
      <rPr>
        <b/>
        <sz val="10"/>
        <rFont val="Arial"/>
        <family val="2"/>
      </rPr>
      <t>servicio de alumbrado público</t>
    </r>
    <r>
      <rPr>
        <sz val="10"/>
        <rFont val="Arial"/>
        <family val="2"/>
      </rPr>
      <t xml:space="preserve"> / No. Total de viviendas  en el municipio.
</t>
    </r>
  </si>
  <si>
    <t>Sostenimiento del contrato de Concesión del Servicio de Aumbrado Publico Municipal.</t>
  </si>
  <si>
    <t>SECTOR VIVIENDA</t>
  </si>
  <si>
    <t>A 2011 se habra apoyado la construccion de  al menos 80 VIS nuevas en San Pedro C.</t>
  </si>
  <si>
    <t>1) No. De VIS construidas
 en este corregimiento en el cuatrienio</t>
  </si>
  <si>
    <t>Cofinanciacion de proyectos de vivienda para el Corregimiento de San Pedro Consolado</t>
  </si>
  <si>
    <t>A 2011 se habra apoyado la construccion de  150 nuevas VIS en San Cayetano</t>
  </si>
  <si>
    <t>Cofinanciacion de proyectos de vivienda para el Corregimiento de San Cayetano</t>
  </si>
  <si>
    <t>A 2011 se habra apoyado la construccion de  100 nuevas VIS en San Agustin</t>
  </si>
  <si>
    <t>Cofinanciacion de proyectos de vivienda para el Corregimiento de San Agustin</t>
  </si>
  <si>
    <t>A 2011 se habra apoyado la construiccion de  minimo 50 nuevas VIS en el corregimiento de la HAYA</t>
  </si>
  <si>
    <t>Cofinanciacion de proyectos de vivienda para el Corregimiento de La haya</t>
  </si>
  <si>
    <t>A 2011 se habra apoyado la  construccion de  11 nuevas VIS en el corregimiento de San Jose del Peñon</t>
  </si>
  <si>
    <t>Cofinanciacion de proyectos de vivienda para el Corregimiento de San Jose del Peñon</t>
  </si>
  <si>
    <t>A 2011 se habran apoyado la construccion de  al menos 250 VIS nuevas en el area urbana</t>
  </si>
  <si>
    <t>1) No. De VIS construidas
 en  el  cuatrienio</t>
  </si>
  <si>
    <t>Cofinanciacion de proyectos vivienda  urbana</t>
  </si>
  <si>
    <t>RECREACION Y APROV. DEL T. LIBRE</t>
  </si>
  <si>
    <t xml:space="preserve">En el año 2011 el 70% de los 14 escenarios recreo-deportivo ( escenarios, parques y canchas deportivas) se encuentren en aceptables condiciones   </t>
  </si>
  <si>
    <t>No de escenarios recreodeportivosen en aceptables condiciones</t>
  </si>
  <si>
    <t xml:space="preserve"> Mateminiento, adecuacion y conservacion de escenario, parques y canchas deportivas</t>
  </si>
  <si>
    <t>Al finalizar el año 2011 se encuentre el 40% de las 26 instituiciones educativas publicas del municipio  dotadas de algunos implementos deportivos que equivale a 10 instituciones</t>
  </si>
  <si>
    <t>No de instituciones educativas dotados con algunos implementos deportivos</t>
  </si>
  <si>
    <t>Dotacion de implementos deportivos a las instituciones educativas</t>
  </si>
  <si>
    <t>al finalizar el año 2011 lograr que el 90% de los  de los docentes de educacion fisica, instructores, monitores, jueces, y demas agenres del campo deportivo se cualifiquen que son en total 55</t>
  </si>
  <si>
    <t xml:space="preserve">EL N º TOTAL  de personas  cualificados </t>
  </si>
  <si>
    <t xml:space="preserve">Apoyo a Capacitacion de docentes de educacion fisica, monitores, jueces,agentes deportivos e instructores.  </t>
  </si>
  <si>
    <t xml:space="preserve">Al 2011 se encuentren el 90% de los  clubes   municipales que equivale a 80 debidamente constituidos y legalizados </t>
  </si>
  <si>
    <t>El numero total de clubes constituidos y lagalizados</t>
  </si>
  <si>
    <t xml:space="preserve">Organizar administrativamente los estamentos que dirigen y apoyan el deporte </t>
  </si>
  <si>
    <t xml:space="preserve">Al 2011 50 personas entre edulto mayor y discapacitados haran aprovechamiento del tiempo libre </t>
  </si>
  <si>
    <t>No total de adulto mayor y discapacitados aprovechando el tiempo libre</t>
  </si>
  <si>
    <t>Implementacion de programas receativos para el adulto mayor y discapacitados</t>
  </si>
  <si>
    <t xml:space="preserve">Al 2011 800 menores estaran capacitandose en la practica deportiva </t>
  </si>
  <si>
    <t xml:space="preserve">El numero total de niños, niñas y adolescentes vinculados  a  escuela deportiva </t>
  </si>
  <si>
    <t>Creacion de la escuela de formacion deportiva del IDER para la preparacion   a niños, niñas y adolescentes.</t>
  </si>
  <si>
    <t>AL menos 4 proyectos seran cofinanciados en el cuatrienio.</t>
  </si>
  <si>
    <t>Cuatro  proyectos gestionados y cofinanciado</t>
  </si>
  <si>
    <t>Cofinanciacion de proyectos de infraestructura deportiva</t>
  </si>
  <si>
    <t>AL menos 16 eventos  seran cofinanciados en el cuatrienio.</t>
  </si>
  <si>
    <t xml:space="preserve"> eventos recreodeportivos apoyados por el IDER</t>
  </si>
  <si>
    <t>Apoyo a actividades y eventos recreodeportivos.</t>
  </si>
  <si>
    <t>SECTOR CULTURA</t>
  </si>
  <si>
    <t xml:space="preserve">Mayor potencializaciòn del sector cultural.                              
Mayor participaciòn en la toma de decisiones correspondientes al desarrollo CULTURAL del municipio .
</t>
  </si>
  <si>
    <t xml:space="preserve">Nùmero de personas y entidades que contribuyen a la estructuraciòn de una polìtica cultural màs sòlida 
</t>
  </si>
  <si>
    <t xml:space="preserve">1) Todas las entidades culturales, educativas, sociales y gubernamentales, trabajan en conjunto para realizar programas dirigido a la niñez y la juventud del municipio. 
</t>
  </si>
  <si>
    <t xml:space="preserve">1, se aumentarà en un 100% el No de niños , niñas , adolescentes y jovenes capacitados en las distintas disciplinas culturales que se dan en el municipio                  2.       Se  obtendra el DIAGNOSTICO CULTURAL del municipio.
</t>
  </si>
  <si>
    <t xml:space="preserve">Al finalizar el 2011  se llegarà a todos los barrios y corregimientos del municipio de San Juan Nepomuceno con estrategias de promociòn de lectura </t>
  </si>
  <si>
    <t xml:space="preserve">1) No de personas con acceso a la lectura </t>
  </si>
  <si>
    <t xml:space="preserve">Al finalizar el 2011 se encuentra una cobertura en todos los barrios y corregimientos del municipio de los servicios de los vigias culturales </t>
  </si>
  <si>
    <t xml:space="preserve">1) No de estudiantes que conforman los vigias culturales del municipio de San Juan Nepomuceno </t>
  </si>
  <si>
    <t xml:space="preserve">Al finalizar el 2011 todos los habitantes del municipio de San Juan Nepomuceno y sus corregimientos serà conciente de los beneficios de la promociòn de una cultura de la no violencia 
</t>
  </si>
  <si>
    <t xml:space="preserve">1) No de habitantes en los que se promueve la cultura de la no violencia </t>
  </si>
  <si>
    <t xml:space="preserve">Al finalizar el 2011 se tendrà una archivo històrico cultural realizado por niños y jovenes sobre la oralidad del municipio de San Juan Nepomuceno </t>
  </si>
  <si>
    <t xml:space="preserve">1) No de ancianos que engradesen la oralidad sanjuanera 
2) No de niños y jovenes que investigan y valoran la oralidad sanjuanera </t>
  </si>
  <si>
    <t>Al finalizar el 2011 se habran institucinalizado festivales que promuevan la tradicion cultural del municipio de San Juan Nepomuceno</t>
  </si>
  <si>
    <t>1) No de festivales y eventos que promuevan la cultura del municipio de San Juan Nepomuceno</t>
  </si>
  <si>
    <t>AGROPECUARIO</t>
  </si>
  <si>
    <t>Al finalizar 2011 se han incorporado, al menos 500 pequeños y medianos productores rurales a los Procesos de Asistencia Técnica Agropecuaria (PATA) del Municipio.</t>
  </si>
  <si>
    <t>No. De pequeños y medianos productores rurales articulados a los PATA</t>
  </si>
  <si>
    <t>Asistencia Tecnica Agropecuaria para la reactivacion del campo</t>
  </si>
  <si>
    <t xml:space="preserve">Se han implementado proyectos productivos que involucran a por lo menos, 600 productores rurales en las lineas de Ñame, Yuca, Maíz, Cacao, Platano, Ajonjolí, Palma de Iraca, Frutales, entre otros. </t>
  </si>
  <si>
    <t>No. De productores rurales vinculados a los proyectos productivos</t>
  </si>
  <si>
    <t>Implementacion de Proyectos Productivos (Transitorios,  semipermanentes y permanentes), que incluyen el  componente forestal.</t>
  </si>
  <si>
    <t>A 2011 se han beneficiado al menos 100 familias con la implementacion de proyectos hortofruticolas a traves (huertas integrales, patios productivos, entre otros)</t>
  </si>
  <si>
    <t>No. De familias que se benefician con la implementacion de proyectos hortofruticolas</t>
  </si>
  <si>
    <t xml:space="preserve">Implementacion de Proyectos Hortofruticolas. </t>
  </si>
  <si>
    <t>Se han implementado proyectos productivos de generación de ingresos con especies menores  que involucran a por lo menos,  100 productores.</t>
  </si>
  <si>
    <t>Nº de productores que se han beneficiado y mejorado sus ingresos con proyectos productivos de especies menores.</t>
  </si>
  <si>
    <t>Explotacion productiva de especies  menores (Apicultura, Piscicultura,  Ovicaprinos,  Gallinas y Pollos), con aprovechamiento de abono organico.</t>
  </si>
  <si>
    <t>Al menos 50 productores han incrementado sus conocimientos y capacidades para generar iniciativas productivas y empresariales realacionadas con el hato bovino.</t>
  </si>
  <si>
    <t>No. De productores que incrementan sus conocimientos y capacidades empresariales.</t>
  </si>
  <si>
    <t>Fortalecimiento de los Procesos de Capacitacion para mejoramiento integral y empresarial dirigido a pequeños y medianos ganaderos</t>
  </si>
  <si>
    <t>Se han implementado procesos de mejoramiento de infraestructura productiva que favorecen, por lo menos, 50 pequeñas y medianas Explotaciones agropecuarias</t>
  </si>
  <si>
    <t>No. De explotaciones agropecuarias que han desarrollado infraestructura productiva.</t>
  </si>
  <si>
    <t>Mejoramiento de la infraestructura productiva</t>
  </si>
  <si>
    <t>En los 4 años se habra gestionado e implementado al menos150 creditos para implementación de protecros productivosproyecto destinado a microcredito para el sector campesino.</t>
  </si>
  <si>
    <t>No. De personas beneficiados con microcreditos</t>
  </si>
  <si>
    <t>Apoyo a proyectos de microcredito para microempresarios, negocios,famiempresas yu planes de negocios a pequeños productores</t>
  </si>
  <si>
    <t>SECTOR TRANSPORTE  Y VÍAS</t>
  </si>
  <si>
    <t>Terminar la pavimentacion de la cra. 14  long. 2500 m2</t>
  </si>
  <si>
    <t>M2 de calle pavimentada</t>
  </si>
  <si>
    <t>1800 m2  pavimentados</t>
  </si>
  <si>
    <t>Culminacion de Pavimentacion en concreto rigido de la carrera 14 (Guarumal)  y calle de Armero a Floresta</t>
  </si>
  <si>
    <t>Adecuar con cunetas, bordillos y material de compactacion al menos 10.000 M2 de vias a accesos definidos a escuelas,  centros en los barrios mas necesitados</t>
  </si>
  <si>
    <t>M2 de vias urbanas Adecuadas con cuneta y bordillo y material de compactacion en accesos definidos</t>
  </si>
  <si>
    <t>0 m2</t>
  </si>
  <si>
    <t>Adecuacion y mantenimiento de vias de acceso definidos en cuneta, bordillo y material de compactacion</t>
  </si>
  <si>
    <t>SE presento un proyecto en accions socail por un valor de $ 2,630,000</t>
  </si>
  <si>
    <t>Adecuar  3000 m2 de vias urbanas</t>
  </si>
  <si>
    <t>M2 de vias mantenidas y mejoradas</t>
  </si>
  <si>
    <t>0</t>
  </si>
  <si>
    <t xml:space="preserve">Construcción, Mantenimiento y Adecuación de  vias municipales urbanas </t>
  </si>
  <si>
    <t>120M2</t>
  </si>
  <si>
    <t>Remodelacion y adecuacion del puente Diogenes A. Arrieta</t>
  </si>
  <si>
    <t xml:space="preserve">El Puente Diogens A Arrieta remodelado y en mejores condiciones </t>
  </si>
  <si>
    <t>1 puente deteriorados utilizado el 10%</t>
  </si>
  <si>
    <t>10</t>
  </si>
  <si>
    <t>100</t>
  </si>
  <si>
    <t>Aporte a la  remodelacion  y adecuacion del puente Diogenes A Arrieta</t>
  </si>
  <si>
    <t>Este se encuentra terminado al 100% y pendiente la fecha de recibido de obra</t>
  </si>
  <si>
    <t>Mejoramiento de las vias terciarias de acceso a los corregimientos y veredas</t>
  </si>
  <si>
    <t xml:space="preserve">Km de vias arregladas </t>
  </si>
  <si>
    <t>25 km de via en buen estado</t>
  </si>
  <si>
    <t>Mantenimiento y Adecuación de la  vias TERCIARIAS y caminos rurales de municipio de San Juan Nep.</t>
  </si>
  <si>
    <t>los 61 km descritos en año 2010 se encuentran garantizados a trves de contrtos de obra.</t>
  </si>
  <si>
    <t>Mejoramiento de llos cruces de arroyos, puentes, cunetas de vias rurales</t>
  </si>
  <si>
    <t xml:space="preserve">Adecuar minimo 4 cruces de alcantarillas y 10 cañadas </t>
  </si>
  <si>
    <t>Construcción, Mantenimiento,  y Adecuación de cruces de arroyos, puentes, cunetas de vias terciarias  y caminos</t>
  </si>
  <si>
    <t>estos crucesdescritos en año 2010 se encuentran garantizados a trves de contrtos de obra.</t>
  </si>
  <si>
    <t>SECTOR MEDIO AMBIENTE</t>
  </si>
  <si>
    <t>Al 2011 las 7 Instituciones educativas estaran fomentando la Educacion Amb.</t>
  </si>
  <si>
    <t>Minimo 1000 ninños, niñas, jovenes y adolescentes reciben educacion amb.</t>
  </si>
  <si>
    <t>Apoyo al Desarrollo de procesos de sesibilizacion y educacion ambiental en la comunidad Sanjuanera</t>
  </si>
  <si>
    <t>Gestinar 4 proy. De ecoturismo en los 4 años</t>
  </si>
  <si>
    <t>No. De proyectos gestionados</t>
  </si>
  <si>
    <t>Aporte para proyectos al  Fomento del Eco - Turismo</t>
  </si>
  <si>
    <t>Gestionar la canalizacion de 6 km de arroyo</t>
  </si>
  <si>
    <t>Km. De arroyo canalizado</t>
  </si>
  <si>
    <t xml:space="preserve">Apoyo a proyecto de canalizacion  de los Arroyos (Rastro, Salvador y Catalina) </t>
  </si>
  <si>
    <t>Reforestar los 9 km  arroyos desforestados desde el nacimieto hasta el area urbana</t>
  </si>
  <si>
    <t>No.  Arboles sembrados y sostenidos en los arroyos del municipio.</t>
  </si>
  <si>
    <t>Cofinanciacion de proyecto para la Reforestacion de la cuenca  de los Arroyos Catalina, Rastro y Salvador desde su nacimiento   hasta la Cabecera Municipal.</t>
  </si>
  <si>
    <t>Consolidar el SISTEMA Local de Areas Protegidas SILAP</t>
  </si>
  <si>
    <t>Porcentaje del  Documento a socializado en las instituciones educativas y a disposicion del publico</t>
  </si>
  <si>
    <t>Cofinanciacion de proyecto de consolidacion del SILAP (Conformacion del Sistema Local de Areas Protegidas) y de Reservas de la Sociedad Civil del municipio.</t>
  </si>
  <si>
    <t>100%Implememtacion de la acatedra de educación ambiental en todas las instituciones educativas del municipio de San Juan Nepomuceno, Bolívar (Normal y Diogenes A, Arrie)</t>
  </si>
  <si>
    <t>80 % Formulacion y gestión de 2 proyectos ecoturisticos ante el fondo de promoción turística del Ministerio de Comercio, Industrial y Turismo.</t>
  </si>
  <si>
    <t>100% Gestionar ante las autoridades ambientales la canalización de caños y arroyos del municipio (rastro y salvador)</t>
  </si>
  <si>
    <t>70% Seguir participando y apoyando el sistema de áreas protegidas locales, formulando proyectos para el mejoramiento de las mismas</t>
  </si>
  <si>
    <t>100% Asistencia Tecnica agropecuaria para la reacctivación del campo a losproductores agropecuarios particulares y asociados ASOAGRO, ASSEMPAZ, NUEVO MEJICO, ASEMPAM, ASICAC, ASOGAMMA, MEDIA LUNA, DOBLE SEIS.</t>
  </si>
  <si>
    <t>93% Siembra de 1500 arbustos de aguacate, y 3000 colinos de platano en las veredas la haya, hayita, los guamos, caracoli, santa catalina y botijuela. Banco de semilla de maiz amarillo para 150 productores y 46 has de cacao para siembra en la zona 1 del municipio.</t>
  </si>
  <si>
    <t>100% Proyecto Patios Productivos con la estrategia JUNTOS, CASA DE LOS ABUELOS y Proyecto Patios Productivos Comunidad de San Agustín Y en particular con entrega de semillas hortícolas.</t>
  </si>
  <si>
    <t xml:space="preserve">Se inicira la formulación de Proyecto gallinas ponedoras san jose del peñón y proyecto de caprinos para san pedro consolado. </t>
  </si>
  <si>
    <t>Mejoramiento Genetico a traves de la técnica de inseminación artificial para pequeños productores del municipio</t>
  </si>
  <si>
    <t>100% Proyecto Construcción de estanques como alternativa de seguridad alimentaria en las veredas casingui, arroyo hondo,, aguas blanacas, pela el ojo, las brisas, caton, el hatillo, picacho y santa catalina y otros proyectos que se vana implementar</t>
  </si>
  <si>
    <t>100% Jornada de credito con el Banco Agrario y otras entidades en el muncipio.</t>
  </si>
  <si>
    <t>SECTOR EQUIPAMIENTO</t>
  </si>
  <si>
    <t>En el cuatrienio se habra realizado el proyecto de restauracion y remodelado  del PM. A traves de FONSECOM</t>
  </si>
  <si>
    <t>Proyecto ejecutado</t>
  </si>
  <si>
    <t>Mantenimiento y cofinanciacion de proyecto para la restauracion y remodelacion  del Palacio Municipal</t>
  </si>
  <si>
    <t>En el cuatrienio se habran realizado adecuaciones a los 6 cementerios.</t>
  </si>
  <si>
    <t>No. De cementerios mantenidos</t>
  </si>
  <si>
    <t>Mantenimiento y conservación de los cementerios urbano y rurales</t>
  </si>
  <si>
    <t>Se apoyo el proyecto de mejoramiento de las Iglesias</t>
  </si>
  <si>
    <t>M2 de construccion mantenida</t>
  </si>
  <si>
    <t>Mantenimiento y conservación de Iglesias del municipio</t>
  </si>
  <si>
    <t>Por reglamentación nacional deben construirse obras de tipo regional para estas necesidades</t>
  </si>
  <si>
    <t>Se habra apoyado la compra del lote para el matadero municipal 10000m2</t>
  </si>
  <si>
    <t>M2 de lote destinado a la construccion del matadero.</t>
  </si>
  <si>
    <t xml:space="preserve">Cofinanciacion a proyecto de compra de lote para matadero Municipal </t>
  </si>
  <si>
    <t>Se habra mejorado la condicion fisica del mercado municipal</t>
  </si>
  <si>
    <t xml:space="preserve">M2 area adecuada </t>
  </si>
  <si>
    <t>Adecuacion del mercado municipal</t>
  </si>
  <si>
    <t>FORTALECIMIENTO INSTITUCIONAL</t>
  </si>
  <si>
    <t>Se habra elaborado, ejecutado, controlado y evaluado el PDM 2008  2011 del Municipio</t>
  </si>
  <si>
    <t>Porcentaje de Plan de Desarrolla Municipal ejecutado</t>
  </si>
  <si>
    <t>Elaboracion del Plan de Desarrollo Municipal 2008 - 2011</t>
  </si>
  <si>
    <t>Se habra actualizado y ajustado PBOT 2003  2012 del Municipio</t>
  </si>
  <si>
    <t>Porcentaje de PBOT ajustado e inplementado.</t>
  </si>
  <si>
    <t>Actualizacion y ajustes del PBOT municipal  2008 - 2015</t>
  </si>
  <si>
    <t>Al finalizar el cuatrienio se ha Depurado y actualizado la base de datos del SISBEN III en el Municipio</t>
  </si>
  <si>
    <t>No de ajustes, correcciones y actualizaciones realizadas en la base de datos.</t>
  </si>
  <si>
    <t>Actualizacion del Sisben III</t>
  </si>
  <si>
    <t>Al finalizar el cuatrienio se ha Iniciado e implementado el proceso de calidaden un 100% en la institucion.</t>
  </si>
  <si>
    <t>porcentaje de procesos y procedimientos implementados en la entidad</t>
  </si>
  <si>
    <t>Implementacion del MECI y Norma GP 1000, Archivo Municipal</t>
  </si>
  <si>
    <t>Al finalizar el cuatrienio se habran implementado al menos 2 proyectos para el fortal. Institucional</t>
  </si>
  <si>
    <t xml:space="preserve">No.de proyectos </t>
  </si>
  <si>
    <t>Apoyo a proyectos de fortalecimiento institucional</t>
  </si>
  <si>
    <t>Durante los 4 años se habra capacitado a el 80% de los funcionarios en temas de interes.</t>
  </si>
  <si>
    <t>No.de funcionarios capacitados</t>
  </si>
  <si>
    <t>Capacitacion y actualizacion de funcionarios.</t>
  </si>
  <si>
    <t>MUNICIPIO DE SAN JUAN NEPOMUCENO - BOLÍVAR</t>
  </si>
  <si>
    <r>
      <t>Objetivos generales del plan operativo anual de inversiones</t>
    </r>
    <r>
      <rPr>
        <sz val="11"/>
        <color theme="1"/>
        <rFont val="Calibri"/>
        <family val="2"/>
      </rPr>
      <t xml:space="preserve"> (Acordes al plan de desarrrollo para la vigencia)</t>
    </r>
  </si>
  <si>
    <t>Plan de Inversion por programas sectoriales</t>
  </si>
  <si>
    <t>Apropiacion</t>
  </si>
  <si>
    <t>Fuentes de financiacion del Municipio precisando la destinacion especifica tales como</t>
  </si>
  <si>
    <t>Responsable</t>
  </si>
  <si>
    <t>Identificacion de programas y subprograma por ejecutar</t>
  </si>
  <si>
    <t>Meta Vigencia</t>
  </si>
  <si>
    <t>Recursos propios</t>
  </si>
  <si>
    <t>Sistema General de Participaciones</t>
  </si>
  <si>
    <t>Fosyga</t>
  </si>
  <si>
    <t>Regalias</t>
  </si>
  <si>
    <t>COF</t>
  </si>
  <si>
    <t>Otros</t>
  </si>
  <si>
    <t>Sector</t>
  </si>
  <si>
    <t>Código</t>
  </si>
  <si>
    <t>Programa</t>
  </si>
  <si>
    <t>Sub-programa</t>
  </si>
  <si>
    <t>Proyecto</t>
  </si>
  <si>
    <t>Con Destinación Especificca</t>
  </si>
  <si>
    <t>Sin Destinación Especifica</t>
  </si>
  <si>
    <t>Particip. educación</t>
  </si>
  <si>
    <t>Particip. Agua potable</t>
  </si>
  <si>
    <t>Particip. salud</t>
  </si>
  <si>
    <t>Ribereños</t>
  </si>
  <si>
    <t xml:space="preserve">Prog. alimentación </t>
  </si>
  <si>
    <t>Alimentación Escolar</t>
  </si>
  <si>
    <t>S01</t>
  </si>
  <si>
    <t>Alimentación para los niños y niñas</t>
  </si>
  <si>
    <t>Ampliación de cobertura,optimización del proceso complemento alimenticio y nutricional escolar</t>
  </si>
  <si>
    <t>Subdirecccion de Educación</t>
  </si>
  <si>
    <t>Educación</t>
  </si>
  <si>
    <t>S02</t>
  </si>
  <si>
    <t>Planeación educativa concertada</t>
  </si>
  <si>
    <t>Ampliacion y sostenibilidad de la coberturaeducativa con inclusión social</t>
  </si>
  <si>
    <t>movilización de niños y adolscentes para garantizar la asistencia escolar en el area rural del municipio</t>
  </si>
  <si>
    <t xml:space="preserve">Mejoramiento de la  Calidad educativa municipal </t>
  </si>
  <si>
    <t>Salud</t>
  </si>
  <si>
    <t>S03</t>
  </si>
  <si>
    <t>Sostenimiento de la afiliacion de la comunidad al Regimen Subsidiado</t>
  </si>
  <si>
    <t>Subdirecccion de Salud</t>
  </si>
  <si>
    <t>Promocion y vinculacion de la poblacion suceptible de afiliacion al SGSSS</t>
  </si>
  <si>
    <t>Destinacion de recursos</t>
  </si>
  <si>
    <t>Desparacitarion a niños menores de 5 años.</t>
  </si>
  <si>
    <t>Nutricion para menores de dos años</t>
  </si>
  <si>
    <t>Promocion de derechos de  Adolescentes y jovenes en Salud Sexual y Reproductiva</t>
  </si>
  <si>
    <t>Programas de Salud Sexual y Reproductiva.</t>
  </si>
  <si>
    <t>Prevencion de Cancer de Cuello Uterino.</t>
  </si>
  <si>
    <t xml:space="preserve">Redes de apoyo para Programas de Salud Mental </t>
  </si>
  <si>
    <t>Fomento de ambientes sanos</t>
  </si>
  <si>
    <t>Disminucion de tasa de fecundidad en mujeres entre 15 y 49 años.</t>
  </si>
  <si>
    <t>Implementacion de herramientas para la disminucion de enfermedades.</t>
  </si>
  <si>
    <t>Aportes Patronales sin Situación de Fondos</t>
  </si>
  <si>
    <t>Agua Potable y Saneamiento Básico</t>
  </si>
  <si>
    <t>S04</t>
  </si>
  <si>
    <t>AGUA POTABLE Y SANEAMIENTO BASICODE CALIDADEN EL AREA URBANAº</t>
  </si>
  <si>
    <t>Subdirección de Planeación y Obras Públicas</t>
  </si>
  <si>
    <t>Construcción, Mantenimiento y Adecuación de Acueductos Rurales</t>
  </si>
  <si>
    <t>fondo Solidario para Redistribucion del Ingreso Aseo.</t>
  </si>
  <si>
    <t>Recreación y Deportes</t>
  </si>
  <si>
    <t>S05</t>
  </si>
  <si>
    <t>Transferencias de Ley y Acuerdo M/pal IDER</t>
  </si>
  <si>
    <t>IDER</t>
  </si>
  <si>
    <t>Apoyo a actividades y eventos recreodeportivos</t>
  </si>
  <si>
    <t>Transferencias de Ley y Acuerdo M/pal Casa de la Cultura</t>
  </si>
  <si>
    <t xml:space="preserve">Creacion  del  concejo Municipal de Cultura, un camino a la proyecciòn y valoraciòn cultural del municipio de San Juan Nepomuceno </t>
  </si>
  <si>
    <t xml:space="preserve">La Cicloliterarura Un rrecorido por la bùsqueda de la promociòn de la lectura </t>
  </si>
  <si>
    <t xml:space="preserve">Los Vigias de la cultura sanjuanera </t>
  </si>
  <si>
    <t xml:space="preserve">Promociòn de la cultura de la no violencia (Teatro foro, Cine al parque) </t>
  </si>
  <si>
    <t xml:space="preserve">El cuento de los abuelos: El rescate de la oralidad por medio de la interaciòn de los niños y jovenes  con los ancianos </t>
  </si>
  <si>
    <t xml:space="preserve">Eventos y festivales que promuevan las manifestaciones culturales tipicas del municipio de San Juan Nepomuceno </t>
  </si>
  <si>
    <t>Cofinanciacion de proyectos complementarios</t>
  </si>
  <si>
    <t>Servicios Públicos</t>
  </si>
  <si>
    <t>S07</t>
  </si>
  <si>
    <t>Servicios Públicos para una mejor calidad de vida</t>
  </si>
  <si>
    <t>Subdireccion de Planeacion</t>
  </si>
  <si>
    <t>Costo de la energia de alumbrado publico</t>
  </si>
  <si>
    <t>Agropecuario</t>
  </si>
  <si>
    <t>S09</t>
  </si>
  <si>
    <t>Asistencia Tecnica</t>
  </si>
  <si>
    <t>Subdireccion de Desarrollo</t>
  </si>
  <si>
    <t>Apoyo a proyectos de microcredito para microempresarios, negocios, famiempresas y/o planes de negocios a pequeños productores para la generacion de empleo</t>
  </si>
  <si>
    <t>Vías municipales</t>
  </si>
  <si>
    <t>Medio ambiente</t>
  </si>
  <si>
    <t>S11</t>
  </si>
  <si>
    <t>Manejo y conservación de los recursos naturales</t>
  </si>
  <si>
    <t>Subdireccion de desarrollo</t>
  </si>
  <si>
    <t>Sistema Local de áreas protegidas</t>
  </si>
  <si>
    <t>Prevención y Atención de desastres</t>
  </si>
  <si>
    <t>S13</t>
  </si>
  <si>
    <t>Prevención y Atención de emergencias</t>
  </si>
  <si>
    <t>Fortalecimiento del comité local de prevención y atención de desastre CLOPAD</t>
  </si>
  <si>
    <t>Mantenimiento de compuertas,canalización de cañadas,construcción de gaviones ECT</t>
  </si>
  <si>
    <t>fortalecimiento de la respuesta inmediata</t>
  </si>
  <si>
    <t>apoyo a la red de urgencia</t>
  </si>
  <si>
    <t>confinanciación de proyectos para la prevención y atención de desastre</t>
  </si>
  <si>
    <t>apoyo a proyectos de reforestación,conservación prevención y/o educación</t>
  </si>
  <si>
    <t>Apoyo cuerpo de bomberos</t>
  </si>
  <si>
    <t>Promoción del Desarrollo</t>
  </si>
  <si>
    <t>S14</t>
  </si>
  <si>
    <t>Promoción del desarrollo local</t>
  </si>
  <si>
    <t>Apoyo a proyectos productivos que fortalezcan la institucionalidad y organizaciones de base</t>
  </si>
  <si>
    <t>Direccion de Inversion Social</t>
  </si>
  <si>
    <t>Atención a Grupos vulnerables</t>
  </si>
  <si>
    <t>S15</t>
  </si>
  <si>
    <t>Apoyo Integral a Grupos de población vulnerable</t>
  </si>
  <si>
    <t>atención a población discapacitadas</t>
  </si>
  <si>
    <t>Direccion de Inversión Social</t>
  </si>
  <si>
    <t>atencion infancia y adolescencia</t>
  </si>
  <si>
    <t>atención al adulto mayor</t>
  </si>
  <si>
    <t>implementación de la estrategias JUNTOS</t>
  </si>
  <si>
    <t>proyectos de participación social</t>
  </si>
  <si>
    <t>atención a la poblaciónreintegrada a la vida civil</t>
  </si>
  <si>
    <t>Equipamiento Municipal</t>
  </si>
  <si>
    <t>S16</t>
  </si>
  <si>
    <t>Equipamiento</t>
  </si>
  <si>
    <t>cofinanciacion proyecto y Mantenimiento y conservación de matadero municipal</t>
  </si>
  <si>
    <t>Mantenimiento y conservación de parques</t>
  </si>
  <si>
    <t>Desarrollo Comunitario</t>
  </si>
  <si>
    <t>S17</t>
  </si>
  <si>
    <t>Promoción de mecanismos de participación comunitaria</t>
  </si>
  <si>
    <t>Apoyo a eventos de participacion comunitarios</t>
  </si>
  <si>
    <t>Fortalecimiento Institucional</t>
  </si>
  <si>
    <t>S18</t>
  </si>
  <si>
    <t>Direccion Administrativa</t>
  </si>
  <si>
    <t>Apoyo a proyectos de foryalecimiento institucional</t>
  </si>
  <si>
    <t>fondo nacional de pensiones fonpet</t>
  </si>
  <si>
    <t>Justicia</t>
  </si>
  <si>
    <t>S19</t>
  </si>
  <si>
    <t>Financiacion Inspecciones de Policia</t>
  </si>
  <si>
    <t>Apoyo a funcionamento de inspecciones de policia</t>
  </si>
  <si>
    <t>Convenios Interadministrativos para el apoyo a la protección ciudadana, PONAL y  BAFIM</t>
  </si>
  <si>
    <t>Cofinanciacion de Casa de Justicia</t>
  </si>
  <si>
    <t>Dirección Administrativa</t>
  </si>
  <si>
    <t>fondo de seguridad</t>
  </si>
  <si>
    <t>Apoyo a Funcionamiento de la Comisaria de Familia</t>
  </si>
  <si>
    <t>GASTOS INV</t>
  </si>
  <si>
    <t>INGRESOS</t>
  </si>
  <si>
    <t>DIFERENCIA</t>
  </si>
  <si>
    <t xml:space="preserve"> </t>
  </si>
  <si>
    <t>DISTRIBUCION</t>
  </si>
  <si>
    <t>ICLD</t>
  </si>
  <si>
    <t>SGP</t>
  </si>
  <si>
    <t>FOSYGA</t>
  </si>
  <si>
    <t>REGALIAS</t>
  </si>
  <si>
    <t>CON DEST</t>
  </si>
  <si>
    <t>COOF</t>
  </si>
  <si>
    <t>OTROS</t>
  </si>
  <si>
    <t>TOTAL</t>
  </si>
  <si>
    <t>ANEXOS</t>
  </si>
  <si>
    <t>DIFER</t>
  </si>
  <si>
    <t>Mante. y recuperacion de mobiliarios</t>
  </si>
  <si>
    <t>Apoyo programa alimentación escolar</t>
  </si>
  <si>
    <t>0,2% Superintndencia de Salud</t>
  </si>
  <si>
    <t>0.4% Interventoria Contratos del regimen Subsidiado</t>
  </si>
  <si>
    <t>Prestacion de servicios-vinculados</t>
  </si>
  <si>
    <t>Identificación y Priorización Población</t>
  </si>
  <si>
    <t>Deportes</t>
  </si>
  <si>
    <t>Cultura</t>
  </si>
  <si>
    <t>Otros Sectores</t>
  </si>
  <si>
    <t>Refomular el PIU de San Juan Nep.</t>
  </si>
  <si>
    <t>Prevencion y Proteccion</t>
  </si>
  <si>
    <t>Atencion Integral</t>
  </si>
  <si>
    <t>Verdad, Justicia y Reparacion</t>
  </si>
  <si>
    <t>Retorno o Reubicacion</t>
  </si>
  <si>
    <t>Capacidad Institucional</t>
  </si>
  <si>
    <t>Atencio integral a poblacion desplazada</t>
  </si>
  <si>
    <t>RECURSOS DEL CREDITO</t>
  </si>
  <si>
    <t>RENTAS CEDIDAS</t>
  </si>
  <si>
    <t>ETESA</t>
  </si>
  <si>
    <t>atención a Madres Cbeza de Familia</t>
  </si>
  <si>
    <t>atenciónIntegral poblacion afrodecendientes</t>
  </si>
  <si>
    <t>Mantenimiento y coservacion  del Palacio Municipal</t>
  </si>
  <si>
    <t>Mantenimiento y conservación del matadero San Cayetano</t>
  </si>
  <si>
    <t>Mantenimiento y conservación del Cementerio Municipal</t>
  </si>
  <si>
    <t>cofinanciacion Adecuacion Estadio de Futboll</t>
  </si>
  <si>
    <t>Ajustes al sisben III</t>
  </si>
  <si>
    <t>Actualizaciòn y Ajustes a estratificaciòn</t>
  </si>
  <si>
    <t>Seguimiento Consejo Territorial</t>
  </si>
  <si>
    <t>Servicio de la Deuda-Amortizacion de Capital</t>
  </si>
  <si>
    <t>Servicio de la Deuda-Intereses</t>
  </si>
  <si>
    <t>Servicio de la Deuda</t>
  </si>
  <si>
    <t>S20</t>
  </si>
  <si>
    <t>Financiacion Deuda</t>
  </si>
  <si>
    <t>SUPERAVIT</t>
  </si>
  <si>
    <t>construccion, adecuación y mantenimiento de locaciones e instalaciones de diferentes sedes de I:E.</t>
  </si>
  <si>
    <t>dotación de implementos esenciales para el buen funcionamiento de la instituciones Educativas</t>
  </si>
  <si>
    <t>transferencias a las IE SISBEN</t>
  </si>
  <si>
    <t>Servicios publicos de  I.E.</t>
  </si>
  <si>
    <t>Continuidad y ampliación de nuevos cupos para incentivos</t>
  </si>
  <si>
    <t>Cofinanciacion de proyectos de vivienda urbana</t>
  </si>
  <si>
    <t>Cofinanciacion de proyectos vivienda  rural</t>
  </si>
  <si>
    <t>construcción,adecuacion y mantenimiento de vias urbanas en cunetas bordillo y material de compactacion</t>
  </si>
  <si>
    <t>mantenimiento y adecuacion de  las vias terciarias y caminos rurales del municipio de San juan</t>
  </si>
  <si>
    <t>Apoyo a la red de proteccion infantil</t>
  </si>
  <si>
    <t>Mantenimiento y conservación del matadero  municipal</t>
  </si>
  <si>
    <t>Formulación del Plan de Desarrrollo Municipal 2012-2016</t>
  </si>
  <si>
    <t>GASTOS DE INVERSION</t>
  </si>
  <si>
    <t>PLAN  DE ACCION  2012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</si>
</sst>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&quot;-&quot;??_ ;_ @_ "/>
    <numFmt numFmtId="173" formatCode="_ * #,##0_ ;_ * \-#,##0_ ;_ * &quot;-&quot;??_ ;_ @_ "/>
    <numFmt numFmtId="174" formatCode="#,##0_ ;\-#,##0\ "/>
    <numFmt numFmtId="175" formatCode="_-* #,##0.0\ _€_-;\-* #,##0.0\ _€_-;_-* &quot;-&quot;??\ _€_-;_-@_-"/>
    <numFmt numFmtId="176" formatCode="_-* #,##0\ _€_-;\-* #,##0\ _€_-;_-* &quot;-&quot;??\ _€_-;_-@_-"/>
    <numFmt numFmtId="177" formatCode="[$-240A]dddd\,\ dd&quot; de &quot;mmmm&quot; de &quot;yyyy"/>
    <numFmt numFmtId="178" formatCode="[$-240A]hh:mm:ss\ AM/PM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2"/>
      <name val="Arial"/>
      <family val="2"/>
    </font>
    <font>
      <sz val="9"/>
      <color indexed="42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b/>
      <sz val="10"/>
      <color indexed="56"/>
      <name val="Arial"/>
      <family val="2"/>
    </font>
    <font>
      <b/>
      <sz val="10"/>
      <color indexed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2060"/>
      <name val="Arial"/>
      <family val="2"/>
    </font>
    <font>
      <b/>
      <sz val="10"/>
      <color rgb="FFFF0066"/>
      <name val="Arial"/>
      <family val="2"/>
    </font>
    <font>
      <sz val="10"/>
      <color theme="1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00B0F0"/>
      <name val="Arial"/>
      <family val="2"/>
    </font>
    <font>
      <b/>
      <sz val="10"/>
      <color theme="8" tint="-0.24997000396251678"/>
      <name val="Arial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968">
    <xf numFmtId="0" fontId="0" fillId="0" borderId="0" xfId="0" applyFont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4" fillId="34" borderId="12" xfId="53" applyFont="1" applyFill="1" applyBorder="1" applyAlignment="1">
      <alignment horizontal="center" vertical="center"/>
      <protection/>
    </xf>
    <xf numFmtId="0" fontId="4" fillId="34" borderId="0" xfId="53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4" fillId="34" borderId="0" xfId="53" applyFont="1" applyFill="1" applyBorder="1" applyAlignment="1">
      <alignment vertical="center" wrapText="1"/>
      <protection/>
    </xf>
    <xf numFmtId="0" fontId="4" fillId="34" borderId="14" xfId="53" applyFont="1" applyFill="1" applyBorder="1" applyAlignment="1">
      <alignment vertical="center" wrapText="1"/>
      <protection/>
    </xf>
    <xf numFmtId="0" fontId="4" fillId="34" borderId="15" xfId="53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3" fontId="4" fillId="0" borderId="11" xfId="53" applyNumberFormat="1" applyFont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vertical="center" wrapText="1"/>
      <protection/>
    </xf>
    <xf numFmtId="3" fontId="4" fillId="0" borderId="11" xfId="53" applyNumberFormat="1" applyFont="1" applyBorder="1" applyAlignment="1">
      <alignment vertical="center" wrapText="1"/>
      <protection/>
    </xf>
    <xf numFmtId="3" fontId="4" fillId="33" borderId="11" xfId="53" applyNumberFormat="1" applyFont="1" applyFill="1" applyBorder="1" applyAlignment="1">
      <alignment vertical="center" wrapText="1"/>
      <protection/>
    </xf>
    <xf numFmtId="3" fontId="4" fillId="0" borderId="11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vertical="center" wrapText="1"/>
      <protection/>
    </xf>
    <xf numFmtId="3" fontId="4" fillId="0" borderId="10" xfId="53" applyNumberFormat="1" applyFont="1" applyBorder="1" applyAlignment="1">
      <alignment vertical="center" wrapText="1"/>
      <protection/>
    </xf>
    <xf numFmtId="3" fontId="6" fillId="33" borderId="10" xfId="53" applyNumberFormat="1" applyFont="1" applyFill="1" applyBorder="1" applyAlignment="1">
      <alignment vertical="center" wrapText="1"/>
      <protection/>
    </xf>
    <xf numFmtId="3" fontId="4" fillId="33" borderId="10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Border="1" applyAlignment="1">
      <alignment vertical="center"/>
      <protection/>
    </xf>
    <xf numFmtId="3" fontId="4" fillId="0" borderId="17" xfId="53" applyNumberFormat="1" applyFont="1" applyBorder="1" applyAlignment="1">
      <alignment vertical="center"/>
      <protection/>
    </xf>
    <xf numFmtId="3" fontId="4" fillId="35" borderId="10" xfId="53" applyNumberFormat="1" applyFont="1" applyFill="1" applyBorder="1" applyAlignment="1">
      <alignment vertical="center" wrapText="1"/>
      <protection/>
    </xf>
    <xf numFmtId="0" fontId="3" fillId="34" borderId="18" xfId="53" applyFont="1" applyFill="1" applyBorder="1" applyAlignment="1">
      <alignment vertical="center" wrapText="1"/>
      <protection/>
    </xf>
    <xf numFmtId="0" fontId="3" fillId="34" borderId="19" xfId="53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9" fontId="4" fillId="0" borderId="11" xfId="58" applyFont="1" applyBorder="1" applyAlignment="1">
      <alignment horizontal="center" vertical="center" wrapText="1"/>
    </xf>
    <xf numFmtId="0" fontId="4" fillId="33" borderId="11" xfId="53" applyFont="1" applyFill="1" applyBorder="1">
      <alignment/>
      <protection/>
    </xf>
    <xf numFmtId="9" fontId="4" fillId="0" borderId="11" xfId="53" applyNumberFormat="1" applyFont="1" applyBorder="1" applyAlignment="1">
      <alignment horizontal="center" vertical="center"/>
      <protection/>
    </xf>
    <xf numFmtId="0" fontId="4" fillId="0" borderId="11" xfId="53" applyFont="1" applyBorder="1">
      <alignment/>
      <protection/>
    </xf>
    <xf numFmtId="9" fontId="4" fillId="0" borderId="11" xfId="53" applyNumberFormat="1" applyFont="1" applyBorder="1" applyAlignment="1">
      <alignment vertical="center"/>
      <protection/>
    </xf>
    <xf numFmtId="0" fontId="4" fillId="36" borderId="20" xfId="53" applyFont="1" applyFill="1" applyBorder="1" applyAlignment="1">
      <alignment horizontal="center" vertical="center" wrapText="1"/>
      <protection/>
    </xf>
    <xf numFmtId="3" fontId="4" fillId="36" borderId="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4" fillId="33" borderId="21" xfId="53" applyFont="1" applyFill="1" applyBorder="1">
      <alignment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3" fontId="4" fillId="0" borderId="22" xfId="53" applyNumberFormat="1" applyFont="1" applyBorder="1" applyAlignment="1">
      <alignment horizontal="center" vertical="center" wrapText="1"/>
      <protection/>
    </xf>
    <xf numFmtId="0" fontId="4" fillId="33" borderId="23" xfId="53" applyFont="1" applyFill="1" applyBorder="1" applyAlignment="1">
      <alignment horizontal="center" vertical="center" wrapText="1"/>
      <protection/>
    </xf>
    <xf numFmtId="3" fontId="4" fillId="0" borderId="23" xfId="53" applyNumberFormat="1" applyFont="1" applyBorder="1" applyAlignment="1">
      <alignment horizontal="center" vertical="center" wrapText="1"/>
      <protection/>
    </xf>
    <xf numFmtId="3" fontId="4" fillId="0" borderId="24" xfId="53" applyNumberFormat="1" applyFont="1" applyBorder="1" applyAlignment="1">
      <alignment horizontal="center" vertical="center" wrapText="1"/>
      <protection/>
    </xf>
    <xf numFmtId="3" fontId="4" fillId="0" borderId="21" xfId="53" applyNumberFormat="1" applyFont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3" fontId="4" fillId="0" borderId="19" xfId="53" applyNumberFormat="1" applyFont="1" applyBorder="1" applyAlignment="1">
      <alignment horizontal="center" vertical="center" wrapText="1"/>
      <protection/>
    </xf>
    <xf numFmtId="3" fontId="4" fillId="0" borderId="12" xfId="53" applyNumberFormat="1" applyFont="1" applyBorder="1" applyAlignment="1">
      <alignment horizontal="center" vertical="center" wrapText="1"/>
      <protection/>
    </xf>
    <xf numFmtId="3" fontId="4" fillId="0" borderId="16" xfId="53" applyNumberFormat="1" applyFont="1" applyBorder="1" applyAlignment="1">
      <alignment horizontal="center" vertical="center"/>
      <protection/>
    </xf>
    <xf numFmtId="3" fontId="4" fillId="0" borderId="17" xfId="53" applyNumberFormat="1" applyFont="1" applyBorder="1" applyAlignment="1">
      <alignment horizontal="center" vertical="center"/>
      <protection/>
    </xf>
    <xf numFmtId="3" fontId="4" fillId="0" borderId="25" xfId="53" applyNumberFormat="1" applyFont="1" applyBorder="1" applyAlignment="1">
      <alignment horizontal="center" vertical="center"/>
      <protection/>
    </xf>
    <xf numFmtId="3" fontId="4" fillId="0" borderId="26" xfId="53" applyNumberFormat="1" applyFont="1" applyBorder="1" applyAlignment="1">
      <alignment horizontal="center" vertical="center"/>
      <protection/>
    </xf>
    <xf numFmtId="3" fontId="4" fillId="0" borderId="27" xfId="53" applyNumberFormat="1" applyFont="1" applyBorder="1" applyAlignment="1">
      <alignment horizontal="center" vertical="center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3" fontId="4" fillId="0" borderId="28" xfId="53" applyNumberFormat="1" applyFont="1" applyBorder="1" applyAlignment="1">
      <alignment horizontal="center" vertical="center" wrapText="1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0" fontId="4" fillId="0" borderId="10" xfId="53" applyFont="1" applyBorder="1">
      <alignment/>
      <protection/>
    </xf>
    <xf numFmtId="0" fontId="4" fillId="0" borderId="21" xfId="53" applyFont="1" applyBorder="1">
      <alignment/>
      <protection/>
    </xf>
    <xf numFmtId="0" fontId="69" fillId="0" borderId="11" xfId="0" applyFont="1" applyBorder="1" applyAlignment="1">
      <alignment horizontal="center" vertical="center"/>
    </xf>
    <xf numFmtId="0" fontId="4" fillId="34" borderId="11" xfId="53" applyFont="1" applyFill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/>
      <protection/>
    </xf>
    <xf numFmtId="0" fontId="3" fillId="34" borderId="30" xfId="53" applyFont="1" applyFill="1" applyBorder="1" applyAlignment="1">
      <alignment horizontal="center" vertical="center" wrapText="1"/>
      <protection/>
    </xf>
    <xf numFmtId="0" fontId="4" fillId="0" borderId="31" xfId="53" applyFont="1" applyBorder="1" applyAlignment="1">
      <alignment vertical="center"/>
      <protection/>
    </xf>
    <xf numFmtId="0" fontId="4" fillId="0" borderId="32" xfId="53" applyFont="1" applyFill="1" applyBorder="1" applyAlignment="1">
      <alignment horizontal="justify" vertical="center" wrapText="1"/>
      <protection/>
    </xf>
    <xf numFmtId="0" fontId="69" fillId="0" borderId="33" xfId="0" applyFont="1" applyBorder="1" applyAlignment="1">
      <alignment/>
    </xf>
    <xf numFmtId="0" fontId="4" fillId="0" borderId="34" xfId="53" applyFont="1" applyBorder="1" applyAlignment="1">
      <alignment vertical="center" wrapText="1"/>
      <protection/>
    </xf>
    <xf numFmtId="0" fontId="3" fillId="34" borderId="35" xfId="53" applyFont="1" applyFill="1" applyBorder="1" applyAlignment="1">
      <alignment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3" fontId="4" fillId="0" borderId="33" xfId="53" applyNumberFormat="1" applyFont="1" applyBorder="1" applyAlignment="1">
      <alignment horizontal="center" vertical="center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33" borderId="23" xfId="53" applyFont="1" applyFill="1" applyBorder="1">
      <alignment/>
      <protection/>
    </xf>
    <xf numFmtId="3" fontId="4" fillId="0" borderId="23" xfId="53" applyNumberFormat="1" applyFont="1" applyBorder="1" applyAlignment="1">
      <alignment horizontal="center" vertical="center"/>
      <protection/>
    </xf>
    <xf numFmtId="0" fontId="4" fillId="0" borderId="23" xfId="53" applyFont="1" applyBorder="1">
      <alignment/>
      <protection/>
    </xf>
    <xf numFmtId="0" fontId="69" fillId="0" borderId="37" xfId="0" applyFont="1" applyBorder="1" applyAlignment="1">
      <alignment/>
    </xf>
    <xf numFmtId="0" fontId="4" fillId="0" borderId="38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3" fontId="4" fillId="0" borderId="29" xfId="53" applyNumberFormat="1" applyFont="1" applyBorder="1" applyAlignment="1">
      <alignment horizontal="center" vertical="center" wrapText="1"/>
      <protection/>
    </xf>
    <xf numFmtId="0" fontId="4" fillId="33" borderId="29" xfId="53" applyFont="1" applyFill="1" applyBorder="1">
      <alignment/>
      <protection/>
    </xf>
    <xf numFmtId="3" fontId="4" fillId="0" borderId="29" xfId="53" applyNumberFormat="1" applyFont="1" applyBorder="1" applyAlignment="1">
      <alignment horizontal="center" vertical="center"/>
      <protection/>
    </xf>
    <xf numFmtId="0" fontId="4" fillId="0" borderId="29" xfId="53" applyFont="1" applyBorder="1">
      <alignment/>
      <protection/>
    </xf>
    <xf numFmtId="0" fontId="69" fillId="0" borderId="39" xfId="0" applyFont="1" applyBorder="1" applyAlignment="1">
      <alignment/>
    </xf>
    <xf numFmtId="0" fontId="4" fillId="36" borderId="40" xfId="53" applyFont="1" applyFill="1" applyBorder="1" applyAlignment="1">
      <alignment horizontal="center" vertical="center" wrapText="1"/>
      <protection/>
    </xf>
    <xf numFmtId="3" fontId="4" fillId="0" borderId="26" xfId="53" applyNumberFormat="1" applyFont="1" applyBorder="1" applyAlignment="1">
      <alignment horizontal="center" vertical="center" wrapText="1"/>
      <protection/>
    </xf>
    <xf numFmtId="3" fontId="4" fillId="0" borderId="39" xfId="53" applyNumberFormat="1" applyFont="1" applyBorder="1" applyAlignment="1">
      <alignment horizontal="center" vertical="center"/>
      <protection/>
    </xf>
    <xf numFmtId="3" fontId="4" fillId="0" borderId="41" xfId="53" applyNumberFormat="1" applyFont="1" applyBorder="1" applyAlignment="1">
      <alignment horizontal="center" vertical="center"/>
      <protection/>
    </xf>
    <xf numFmtId="3" fontId="4" fillId="0" borderId="37" xfId="53" applyNumberFormat="1" applyFont="1" applyBorder="1" applyAlignment="1">
      <alignment horizontal="center" vertical="center"/>
      <protection/>
    </xf>
    <xf numFmtId="0" fontId="69" fillId="0" borderId="31" xfId="0" applyFont="1" applyBorder="1" applyAlignment="1">
      <alignment/>
    </xf>
    <xf numFmtId="0" fontId="8" fillId="0" borderId="11" xfId="54" applyFont="1" applyBorder="1" applyAlignment="1">
      <alignment horizontal="center" vertical="center" wrapText="1"/>
      <protection/>
    </xf>
    <xf numFmtId="3" fontId="8" fillId="0" borderId="11" xfId="54" applyNumberFormat="1" applyFont="1" applyBorder="1" applyAlignment="1">
      <alignment horizontal="center" vertical="center" wrapText="1"/>
      <protection/>
    </xf>
    <xf numFmtId="3" fontId="8" fillId="33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/>
      <protection/>
    </xf>
    <xf numFmtId="3" fontId="8" fillId="0" borderId="21" xfId="54" applyNumberFormat="1" applyFont="1" applyBorder="1" applyAlignment="1">
      <alignment horizontal="center" vertical="center"/>
      <protection/>
    </xf>
    <xf numFmtId="3" fontId="8" fillId="0" borderId="42" xfId="54" applyNumberFormat="1" applyFont="1" applyBorder="1" applyAlignment="1">
      <alignment horizontal="center" vertical="center"/>
      <protection/>
    </xf>
    <xf numFmtId="0" fontId="8" fillId="0" borderId="11" xfId="54" applyFont="1" applyBorder="1">
      <alignment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3" fontId="11" fillId="0" borderId="11" xfId="54" applyNumberFormat="1" applyFont="1" applyFill="1" applyBorder="1" applyAlignment="1">
      <alignment horizontal="center" vertical="center" wrapText="1"/>
      <protection/>
    </xf>
    <xf numFmtId="3" fontId="11" fillId="33" borderId="11" xfId="54" applyNumberFormat="1" applyFont="1" applyFill="1" applyBorder="1" applyAlignment="1">
      <alignment horizontal="center" vertical="center" wrapText="1"/>
      <protection/>
    </xf>
    <xf numFmtId="3" fontId="8" fillId="0" borderId="15" xfId="54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8" fillId="0" borderId="43" xfId="54" applyNumberFormat="1" applyFont="1" applyBorder="1" applyAlignment="1">
      <alignment horizontal="center" vertical="center" wrapText="1"/>
      <protection/>
    </xf>
    <xf numFmtId="0" fontId="8" fillId="33" borderId="11" xfId="54" applyFont="1" applyFill="1" applyBorder="1">
      <alignment/>
      <protection/>
    </xf>
    <xf numFmtId="3" fontId="8" fillId="0" borderId="11" xfId="54" applyNumberFormat="1" applyFont="1" applyBorder="1" applyAlignment="1">
      <alignment horizontal="center" vertical="center"/>
      <protection/>
    </xf>
    <xf numFmtId="3" fontId="8" fillId="0" borderId="12" xfId="54" applyNumberFormat="1" applyFont="1" applyBorder="1" applyAlignment="1">
      <alignment horizontal="center" vertic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173" fontId="10" fillId="0" borderId="11" xfId="48" applyNumberFormat="1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3" fontId="8" fillId="0" borderId="12" xfId="54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/>
      <protection/>
    </xf>
    <xf numFmtId="3" fontId="8" fillId="0" borderId="43" xfId="54" applyNumberFormat="1" applyFont="1" applyBorder="1" applyAlignment="1">
      <alignment horizontal="center" vertical="center"/>
      <protection/>
    </xf>
    <xf numFmtId="3" fontId="11" fillId="0" borderId="10" xfId="54" applyNumberFormat="1" applyFont="1" applyFill="1" applyBorder="1" applyAlignment="1">
      <alignment horizontal="center" vertical="center" wrapText="1"/>
      <protection/>
    </xf>
    <xf numFmtId="3" fontId="11" fillId="33" borderId="10" xfId="54" applyNumberFormat="1" applyFont="1" applyFill="1" applyBorder="1" applyAlignment="1">
      <alignment horizontal="center" vertical="center" wrapText="1"/>
      <protection/>
    </xf>
    <xf numFmtId="0" fontId="8" fillId="0" borderId="43" xfId="54" applyFont="1" applyBorder="1" applyAlignment="1">
      <alignment vertical="center"/>
      <protection/>
    </xf>
    <xf numFmtId="0" fontId="8" fillId="33" borderId="11" xfId="54" applyFont="1" applyFill="1" applyBorder="1" applyAlignment="1">
      <alignment vertical="center" wrapText="1"/>
      <protection/>
    </xf>
    <xf numFmtId="0" fontId="8" fillId="0" borderId="11" xfId="54" applyFont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vertical="center"/>
      <protection/>
    </xf>
    <xf numFmtId="0" fontId="8" fillId="33" borderId="21" xfId="54" applyFont="1" applyFill="1" applyBorder="1" applyAlignment="1">
      <alignment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3" fontId="11" fillId="0" borderId="11" xfId="54" applyNumberFormat="1" applyFont="1" applyFill="1" applyBorder="1" applyAlignment="1">
      <alignment vertical="center" wrapText="1"/>
      <protection/>
    </xf>
    <xf numFmtId="9" fontId="11" fillId="0" borderId="11" xfId="54" applyNumberFormat="1" applyFont="1" applyFill="1" applyBorder="1" applyAlignment="1">
      <alignment horizontal="center" vertical="center" wrapText="1"/>
      <protection/>
    </xf>
    <xf numFmtId="9" fontId="11" fillId="33" borderId="11" xfId="54" applyNumberFormat="1" applyFont="1" applyFill="1" applyBorder="1" applyAlignment="1">
      <alignment horizontal="center" vertical="center" wrapText="1"/>
      <protection/>
    </xf>
    <xf numFmtId="9" fontId="8" fillId="0" borderId="25" xfId="54" applyNumberFormat="1" applyFont="1" applyBorder="1" applyAlignment="1">
      <alignment horizontal="center" vertical="center"/>
      <protection/>
    </xf>
    <xf numFmtId="9" fontId="8" fillId="0" borderId="27" xfId="54" applyNumberFormat="1" applyFont="1" applyBorder="1" applyAlignment="1">
      <alignment horizontal="center" vertical="center"/>
      <protection/>
    </xf>
    <xf numFmtId="9" fontId="11" fillId="0" borderId="10" xfId="54" applyNumberFormat="1" applyFont="1" applyFill="1" applyBorder="1" applyAlignment="1">
      <alignment horizontal="center" vertical="center" wrapText="1"/>
      <protection/>
    </xf>
    <xf numFmtId="9" fontId="11" fillId="33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vertical="center" wrapText="1"/>
      <protection/>
    </xf>
    <xf numFmtId="0" fontId="8" fillId="37" borderId="11" xfId="54" applyFont="1" applyFill="1" applyBorder="1">
      <alignment/>
      <protection/>
    </xf>
    <xf numFmtId="0" fontId="11" fillId="37" borderId="11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173" fontId="8" fillId="0" borderId="10" xfId="48" applyNumberFormat="1" applyFont="1" applyBorder="1" applyAlignment="1">
      <alignment vertical="center" wrapText="1"/>
    </xf>
    <xf numFmtId="0" fontId="8" fillId="0" borderId="21" xfId="54" applyFont="1" applyBorder="1" applyAlignment="1">
      <alignment horizontal="center" vertical="center" wrapText="1"/>
      <protection/>
    </xf>
    <xf numFmtId="3" fontId="8" fillId="0" borderId="16" xfId="54" applyNumberFormat="1" applyFont="1" applyBorder="1" applyAlignment="1">
      <alignment horizontal="center" vertical="center" wrapText="1"/>
      <protection/>
    </xf>
    <xf numFmtId="3" fontId="8" fillId="0" borderId="21" xfId="54" applyNumberFormat="1" applyFont="1" applyBorder="1" applyAlignment="1">
      <alignment horizontal="center" vertical="center" wrapText="1"/>
      <protection/>
    </xf>
    <xf numFmtId="3" fontId="8" fillId="0" borderId="11" xfId="54" applyNumberFormat="1" applyFont="1" applyFill="1" applyBorder="1" applyAlignment="1">
      <alignment horizontal="center" vertical="center" wrapText="1"/>
      <protection/>
    </xf>
    <xf numFmtId="0" fontId="8" fillId="38" borderId="11" xfId="54" applyFont="1" applyFill="1" applyBorder="1">
      <alignment/>
      <protection/>
    </xf>
    <xf numFmtId="3" fontId="8" fillId="0" borderId="11" xfId="54" applyNumberFormat="1" applyFont="1" applyBorder="1">
      <alignment/>
      <protection/>
    </xf>
    <xf numFmtId="0" fontId="8" fillId="0" borderId="11" xfId="54" applyFont="1" applyBorder="1" applyAlignment="1">
      <alignment wrapText="1"/>
      <protection/>
    </xf>
    <xf numFmtId="0" fontId="8" fillId="0" borderId="10" xfId="54" applyFont="1" applyBorder="1" applyAlignment="1">
      <alignment vertical="center" wrapText="1"/>
      <protection/>
    </xf>
    <xf numFmtId="3" fontId="8" fillId="0" borderId="12" xfId="54" applyNumberFormat="1" applyFont="1" applyBorder="1" applyAlignment="1">
      <alignment vertical="center" wrapText="1"/>
      <protection/>
    </xf>
    <xf numFmtId="0" fontId="8" fillId="39" borderId="11" xfId="54" applyFont="1" applyFill="1" applyBorder="1">
      <alignment/>
      <protection/>
    </xf>
    <xf numFmtId="3" fontId="8" fillId="0" borderId="42" xfId="54" applyNumberFormat="1" applyFont="1" applyBorder="1" applyAlignment="1">
      <alignment vertical="center" wrapText="1"/>
      <protection/>
    </xf>
    <xf numFmtId="0" fontId="8" fillId="39" borderId="10" xfId="54" applyFont="1" applyFill="1" applyBorder="1">
      <alignment/>
      <protection/>
    </xf>
    <xf numFmtId="0" fontId="8" fillId="0" borderId="10" xfId="54" applyFont="1" applyBorder="1" applyAlignment="1">
      <alignment horizont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3" fontId="8" fillId="0" borderId="21" xfId="54" applyNumberFormat="1" applyFont="1" applyBorder="1" applyAlignment="1">
      <alignment horizontal="justify" vertical="center" wrapText="1"/>
      <protection/>
    </xf>
    <xf numFmtId="9" fontId="9" fillId="0" borderId="11" xfId="54" applyNumberFormat="1" applyFont="1" applyBorder="1" applyAlignment="1">
      <alignment horizontal="center" vertical="center" wrapText="1"/>
      <protection/>
    </xf>
    <xf numFmtId="9" fontId="8" fillId="0" borderId="21" xfId="54" applyNumberFormat="1" applyFont="1" applyBorder="1" applyAlignment="1">
      <alignment horizontal="center" vertical="center" wrapText="1"/>
      <protection/>
    </xf>
    <xf numFmtId="49" fontId="8" fillId="0" borderId="21" xfId="54" applyNumberFormat="1" applyFont="1" applyBorder="1" applyAlignment="1">
      <alignment horizontal="justify" vertical="top" wrapText="1"/>
      <protection/>
    </xf>
    <xf numFmtId="3" fontId="8" fillId="0" borderId="44" xfId="54" applyNumberFormat="1" applyFont="1" applyBorder="1" applyAlignment="1">
      <alignment horizontal="center" vertical="center"/>
      <protection/>
    </xf>
    <xf numFmtId="3" fontId="8" fillId="0" borderId="45" xfId="54" applyNumberFormat="1" applyFont="1" applyBorder="1" applyAlignment="1">
      <alignment horizontal="center" vertical="center"/>
      <protection/>
    </xf>
    <xf numFmtId="0" fontId="8" fillId="0" borderId="11" xfId="54" applyFont="1" applyBorder="1" applyAlignment="1">
      <alignment vertical="center"/>
      <protection/>
    </xf>
    <xf numFmtId="49" fontId="8" fillId="0" borderId="21" xfId="54" applyNumberFormat="1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/>
      <protection/>
    </xf>
    <xf numFmtId="9" fontId="8" fillId="0" borderId="11" xfId="59" applyFont="1" applyBorder="1" applyAlignment="1">
      <alignment horizontal="center" vertical="center" wrapText="1"/>
    </xf>
    <xf numFmtId="49" fontId="8" fillId="0" borderId="21" xfId="54" applyNumberFormat="1" applyFont="1" applyBorder="1" applyAlignment="1">
      <alignment horizontal="justify" vertical="center" wrapText="1"/>
      <protection/>
    </xf>
    <xf numFmtId="0" fontId="8" fillId="0" borderId="25" xfId="54" applyFont="1" applyFill="1" applyBorder="1" applyAlignment="1">
      <alignment horizontal="center" vertical="center"/>
      <protection/>
    </xf>
    <xf numFmtId="3" fontId="8" fillId="0" borderId="25" xfId="54" applyNumberFormat="1" applyFont="1" applyBorder="1" applyAlignment="1">
      <alignment horizontal="justify" vertical="center" wrapText="1"/>
      <protection/>
    </xf>
    <xf numFmtId="0" fontId="8" fillId="0" borderId="29" xfId="54" applyFont="1" applyBorder="1" applyAlignment="1">
      <alignment horizontal="center" vertical="center" wrapText="1"/>
      <protection/>
    </xf>
    <xf numFmtId="9" fontId="8" fillId="0" borderId="29" xfId="59" applyFont="1" applyBorder="1" applyAlignment="1">
      <alignment horizontal="center" vertical="center" wrapText="1"/>
    </xf>
    <xf numFmtId="174" fontId="8" fillId="0" borderId="11" xfId="54" applyNumberFormat="1" applyFont="1" applyBorder="1" applyAlignment="1">
      <alignment horizontal="center" vertical="center" wrapText="1"/>
      <protection/>
    </xf>
    <xf numFmtId="49" fontId="8" fillId="0" borderId="16" xfId="54" applyNumberFormat="1" applyFont="1" applyBorder="1" applyAlignment="1">
      <alignment horizontal="center" vertical="center" wrapText="1"/>
      <protection/>
    </xf>
    <xf numFmtId="0" fontId="8" fillId="0" borderId="44" xfId="54" applyFont="1" applyFill="1" applyBorder="1" applyAlignment="1">
      <alignment horizontal="center" vertical="center"/>
      <protection/>
    </xf>
    <xf numFmtId="3" fontId="8" fillId="0" borderId="23" xfId="54" applyNumberFormat="1" applyFont="1" applyBorder="1" applyAlignment="1">
      <alignment horizontal="justify" vertical="center" wrapText="1"/>
      <protection/>
    </xf>
    <xf numFmtId="174" fontId="8" fillId="0" borderId="23" xfId="54" applyNumberFormat="1" applyFont="1" applyBorder="1" applyAlignment="1">
      <alignment horizontal="center" vertical="center" wrapText="1"/>
      <protection/>
    </xf>
    <xf numFmtId="49" fontId="8" fillId="0" borderId="23" xfId="54" applyNumberFormat="1" applyFont="1" applyBorder="1" applyAlignment="1">
      <alignment horizontal="center" vertical="center" wrapText="1"/>
      <protection/>
    </xf>
    <xf numFmtId="9" fontId="8" fillId="0" borderId="46" xfId="54" applyNumberFormat="1" applyFont="1" applyFill="1" applyBorder="1" applyAlignment="1">
      <alignment horizontal="center" vertical="center"/>
      <protection/>
    </xf>
    <xf numFmtId="0" fontId="8" fillId="0" borderId="46" xfId="54" applyFont="1" applyFill="1" applyBorder="1" applyAlignment="1">
      <alignment horizontal="center" vertical="center"/>
      <protection/>
    </xf>
    <xf numFmtId="3" fontId="8" fillId="0" borderId="16" xfId="54" applyNumberFormat="1" applyFont="1" applyBorder="1" applyAlignment="1">
      <alignment horizontal="justify" vertical="center" wrapText="1"/>
      <protection/>
    </xf>
    <xf numFmtId="0" fontId="8" fillId="37" borderId="10" xfId="54" applyFont="1" applyFill="1" applyBorder="1">
      <alignment/>
      <protection/>
    </xf>
    <xf numFmtId="3" fontId="8" fillId="0" borderId="10" xfId="54" applyNumberFormat="1" applyFont="1" applyBorder="1" applyAlignment="1">
      <alignment horizontal="justify" vertical="center" wrapText="1"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/>
      <protection/>
    </xf>
    <xf numFmtId="9" fontId="8" fillId="0" borderId="11" xfId="54" applyNumberFormat="1" applyFont="1" applyBorder="1">
      <alignment/>
      <protection/>
    </xf>
    <xf numFmtId="0" fontId="2" fillId="0" borderId="47" xfId="54" applyFont="1" applyBorder="1" applyAlignment="1">
      <alignment horizontal="justify" vertical="center" wrapText="1"/>
      <protection/>
    </xf>
    <xf numFmtId="0" fontId="2" fillId="0" borderId="11" xfId="54" applyFont="1" applyBorder="1">
      <alignment/>
      <protection/>
    </xf>
    <xf numFmtId="0" fontId="2" fillId="39" borderId="11" xfId="54" applyFont="1" applyFill="1" applyBorder="1">
      <alignment/>
      <protection/>
    </xf>
    <xf numFmtId="174" fontId="12" fillId="0" borderId="11" xfId="54" applyNumberFormat="1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justify" vertical="center" wrapText="1"/>
      <protection/>
    </xf>
    <xf numFmtId="0" fontId="2" fillId="0" borderId="21" xfId="54" applyFont="1" applyBorder="1">
      <alignment/>
      <protection/>
    </xf>
    <xf numFmtId="9" fontId="12" fillId="0" borderId="11" xfId="59" applyFont="1" applyBorder="1" applyAlignment="1">
      <alignment horizontal="center" vertical="center" wrapText="1"/>
    </xf>
    <xf numFmtId="9" fontId="2" fillId="0" borderId="11" xfId="54" applyNumberFormat="1" applyFont="1" applyBorder="1">
      <alignment/>
      <protection/>
    </xf>
    <xf numFmtId="9" fontId="2" fillId="0" borderId="21" xfId="54" applyNumberFormat="1" applyFont="1" applyBorder="1">
      <alignment/>
      <protection/>
    </xf>
    <xf numFmtId="0" fontId="2" fillId="0" borderId="20" xfId="54" applyFont="1" applyBorder="1" applyAlignment="1">
      <alignment horizontal="justify" vertical="center" wrapText="1"/>
      <protection/>
    </xf>
    <xf numFmtId="0" fontId="2" fillId="0" borderId="10" xfId="54" applyFont="1" applyBorder="1">
      <alignment/>
      <protection/>
    </xf>
    <xf numFmtId="0" fontId="2" fillId="39" borderId="10" xfId="54" applyFont="1" applyFill="1" applyBorder="1">
      <alignment/>
      <protection/>
    </xf>
    <xf numFmtId="9" fontId="12" fillId="0" borderId="10" xfId="59" applyFont="1" applyBorder="1" applyAlignment="1">
      <alignment horizontal="center" vertical="center" wrapText="1"/>
    </xf>
    <xf numFmtId="0" fontId="2" fillId="0" borderId="10" xfId="54" applyFont="1" applyBorder="1" applyAlignment="1">
      <alignment horizontal="justify" vertical="center" wrapText="1"/>
      <protection/>
    </xf>
    <xf numFmtId="9" fontId="2" fillId="0" borderId="10" xfId="54" applyNumberFormat="1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justify" vertical="top"/>
      <protection/>
    </xf>
    <xf numFmtId="0" fontId="2" fillId="0" borderId="11" xfId="54" applyFont="1" applyBorder="1" applyAlignment="1">
      <alignment horizontal="justify" vertical="top" wrapText="1"/>
      <protection/>
    </xf>
    <xf numFmtId="3" fontId="12" fillId="0" borderId="21" xfId="54" applyNumberFormat="1" applyFont="1" applyFill="1" applyBorder="1" applyAlignment="1">
      <alignment horizontal="right"/>
      <protection/>
    </xf>
    <xf numFmtId="0" fontId="2" fillId="38" borderId="11" xfId="54" applyFont="1" applyFill="1" applyBorder="1">
      <alignment/>
      <protection/>
    </xf>
    <xf numFmtId="3" fontId="12" fillId="0" borderId="11" xfId="54" applyNumberFormat="1" applyFont="1" applyBorder="1" applyAlignment="1">
      <alignment vertical="center" wrapText="1"/>
      <protection/>
    </xf>
    <xf numFmtId="49" fontId="2" fillId="0" borderId="11" xfId="54" applyNumberFormat="1" applyFont="1" applyFill="1" applyBorder="1" applyAlignment="1">
      <alignment horizontal="justify" vertical="top" wrapText="1"/>
      <protection/>
    </xf>
    <xf numFmtId="3" fontId="2" fillId="0" borderId="11" xfId="54" applyNumberFormat="1" applyFont="1" applyBorder="1">
      <alignment/>
      <protection/>
    </xf>
    <xf numFmtId="0" fontId="2" fillId="0" borderId="10" xfId="54" applyFont="1" applyBorder="1" applyAlignment="1">
      <alignment horizontal="justify" vertical="top"/>
      <protection/>
    </xf>
    <xf numFmtId="0" fontId="2" fillId="0" borderId="10" xfId="54" applyFont="1" applyBorder="1" applyAlignment="1">
      <alignment horizontal="justify" vertical="top" wrapText="1"/>
      <protection/>
    </xf>
    <xf numFmtId="3" fontId="12" fillId="0" borderId="16" xfId="54" applyNumberFormat="1" applyFont="1" applyFill="1" applyBorder="1" applyAlignment="1">
      <alignment horizontal="right"/>
      <protection/>
    </xf>
    <xf numFmtId="0" fontId="2" fillId="38" borderId="10" xfId="54" applyFont="1" applyFill="1" applyBorder="1">
      <alignment/>
      <protection/>
    </xf>
    <xf numFmtId="49" fontId="2" fillId="0" borderId="10" xfId="54" applyNumberFormat="1" applyFont="1" applyFill="1" applyBorder="1" applyAlignment="1">
      <alignment horizontal="justify" vertical="top" wrapText="1"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3" fontId="2" fillId="0" borderId="11" xfId="54" applyNumberFormat="1" applyFont="1" applyFill="1" applyBorder="1" applyAlignment="1">
      <alignment horizontal="center" vertical="center" wrapText="1"/>
      <protection/>
    </xf>
    <xf numFmtId="0" fontId="2" fillId="40" borderId="11" xfId="54" applyFill="1" applyBorder="1">
      <alignment/>
      <protection/>
    </xf>
    <xf numFmtId="3" fontId="2" fillId="0" borderId="29" xfId="54" applyNumberFormat="1" applyFont="1" applyBorder="1" applyAlignment="1">
      <alignment horizontal="center" vertical="center" wrapText="1"/>
      <protection/>
    </xf>
    <xf numFmtId="0" fontId="2" fillId="0" borderId="46" xfId="54" applyFont="1" applyFill="1" applyBorder="1">
      <alignment/>
      <protection/>
    </xf>
    <xf numFmtId="0" fontId="2" fillId="0" borderId="11" xfId="54" applyBorder="1">
      <alignment/>
      <protection/>
    </xf>
    <xf numFmtId="0" fontId="12" fillId="0" borderId="11" xfId="54" applyFont="1" applyBorder="1" applyAlignment="1">
      <alignment horizontal="center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2" fillId="40" borderId="10" xfId="54" applyFill="1" applyBorder="1">
      <alignment/>
      <protection/>
    </xf>
    <xf numFmtId="0" fontId="12" fillId="0" borderId="10" xfId="54" applyFont="1" applyBorder="1" applyAlignment="1">
      <alignment horizontal="center"/>
      <protection/>
    </xf>
    <xf numFmtId="0" fontId="2" fillId="0" borderId="10" xfId="54" applyBorder="1">
      <alignment/>
      <protection/>
    </xf>
    <xf numFmtId="49" fontId="2" fillId="0" borderId="11" xfId="55" applyNumberFormat="1" applyFont="1" applyBorder="1" applyAlignment="1">
      <alignment horizontal="justify" vertical="center" wrapText="1"/>
      <protection/>
    </xf>
    <xf numFmtId="3" fontId="2" fillId="0" borderId="11" xfId="55" applyNumberFormat="1" applyFont="1" applyFill="1" applyBorder="1" applyAlignment="1">
      <alignment horizontal="justify" vertical="center" wrapText="1"/>
      <protection/>
    </xf>
    <xf numFmtId="0" fontId="2" fillId="0" borderId="11" xfId="55" applyBorder="1">
      <alignment/>
      <protection/>
    </xf>
    <xf numFmtId="0" fontId="2" fillId="41" borderId="11" xfId="55" applyFill="1" applyBorder="1">
      <alignment/>
      <protection/>
    </xf>
    <xf numFmtId="3" fontId="2" fillId="0" borderId="11" xfId="55" applyNumberFormat="1" applyFont="1" applyBorder="1" applyAlignment="1">
      <alignment horizontal="justify" vertical="top" wrapText="1"/>
      <protection/>
    </xf>
    <xf numFmtId="0" fontId="2" fillId="35" borderId="11" xfId="55" applyFont="1" applyFill="1" applyBorder="1" applyAlignment="1">
      <alignment horizontal="justify" vertical="top"/>
      <protection/>
    </xf>
    <xf numFmtId="0" fontId="2" fillId="35" borderId="11" xfId="55" applyFont="1" applyFill="1" applyBorder="1" applyAlignment="1">
      <alignment horizontal="justify" vertical="top" wrapText="1"/>
      <protection/>
    </xf>
    <xf numFmtId="0" fontId="2" fillId="0" borderId="11" xfId="55" applyFont="1" applyBorder="1" applyAlignment="1">
      <alignment horizontal="justify" vertical="top"/>
      <protection/>
    </xf>
    <xf numFmtId="0" fontId="2" fillId="0" borderId="11" xfId="55" applyFont="1" applyBorder="1" applyAlignment="1">
      <alignment horizontal="justify" vertical="top" wrapText="1"/>
      <protection/>
    </xf>
    <xf numFmtId="0" fontId="2" fillId="0" borderId="11" xfId="54" applyFont="1" applyFill="1" applyBorder="1">
      <alignment/>
      <protection/>
    </xf>
    <xf numFmtId="9" fontId="2" fillId="0" borderId="11" xfId="54" applyNumberFormat="1" applyFont="1" applyBorder="1" applyAlignment="1">
      <alignment horizontal="center" vertical="center" wrapText="1"/>
      <protection/>
    </xf>
    <xf numFmtId="0" fontId="2" fillId="0" borderId="42" xfId="54" applyFont="1" applyBorder="1" applyAlignment="1">
      <alignment horizontal="justify" vertical="top" wrapText="1"/>
      <protection/>
    </xf>
    <xf numFmtId="0" fontId="2" fillId="42" borderId="11" xfId="54" applyFill="1" applyBorder="1">
      <alignment/>
      <protection/>
    </xf>
    <xf numFmtId="0" fontId="2" fillId="0" borderId="11" xfId="54" applyFont="1" applyBorder="1" applyAlignment="1">
      <alignment vertical="center" wrapText="1"/>
      <protection/>
    </xf>
    <xf numFmtId="0" fontId="2" fillId="0" borderId="21" xfId="54" applyFont="1" applyBorder="1" applyAlignment="1">
      <alignment horizontal="justify" vertical="center" wrapText="1"/>
      <protection/>
    </xf>
    <xf numFmtId="0" fontId="2" fillId="0" borderId="23" xfId="54" applyFont="1" applyBorder="1">
      <alignment/>
      <protection/>
    </xf>
    <xf numFmtId="9" fontId="2" fillId="0" borderId="21" xfId="54" applyNumberFormat="1" applyFont="1" applyBorder="1" applyAlignment="1">
      <alignment horizontal="justify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49" fontId="2" fillId="0" borderId="42" xfId="54" applyNumberFormat="1" applyFont="1" applyBorder="1" applyAlignment="1">
      <alignment horizontal="justify" vertical="top"/>
      <protection/>
    </xf>
    <xf numFmtId="0" fontId="2" fillId="0" borderId="17" xfId="54" applyFont="1" applyFill="1" applyBorder="1" applyAlignment="1">
      <alignment horizontal="justify" vertical="top" wrapText="1"/>
      <protection/>
    </xf>
    <xf numFmtId="0" fontId="2" fillId="0" borderId="16" xfId="54" applyFont="1" applyBorder="1">
      <alignment/>
      <protection/>
    </xf>
    <xf numFmtId="0" fontId="2" fillId="0" borderId="11" xfId="54" applyFont="1" applyFill="1" applyBorder="1" applyAlignment="1">
      <alignment vertical="top" wrapText="1"/>
      <protection/>
    </xf>
    <xf numFmtId="0" fontId="2" fillId="0" borderId="25" xfId="54" applyFont="1" applyBorder="1">
      <alignment/>
      <protection/>
    </xf>
    <xf numFmtId="0" fontId="2" fillId="0" borderId="10" xfId="54" applyFont="1" applyFill="1" applyBorder="1" applyAlignment="1">
      <alignment vertical="top" wrapText="1"/>
      <protection/>
    </xf>
    <xf numFmtId="0" fontId="2" fillId="0" borderId="43" xfId="54" applyFont="1" applyBorder="1" applyAlignment="1">
      <alignment horizontal="center" vertical="center" wrapText="1"/>
      <protection/>
    </xf>
    <xf numFmtId="0" fontId="2" fillId="42" borderId="10" xfId="54" applyFill="1" applyBorder="1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justify" vertical="center" wrapText="1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49" fontId="2" fillId="0" borderId="21" xfId="54" applyNumberFormat="1" applyFont="1" applyBorder="1" applyAlignment="1">
      <alignment horizontal="justify" vertical="top" wrapText="1"/>
      <protection/>
    </xf>
    <xf numFmtId="0" fontId="2" fillId="43" borderId="11" xfId="54" applyFont="1" applyFill="1" applyBorder="1">
      <alignment/>
      <protection/>
    </xf>
    <xf numFmtId="3" fontId="12" fillId="0" borderId="11" xfId="54" applyNumberFormat="1" applyFont="1" applyBorder="1" applyAlignment="1">
      <alignment horizontal="center" vertical="center" wrapText="1"/>
      <protection/>
    </xf>
    <xf numFmtId="3" fontId="2" fillId="0" borderId="23" xfId="54" applyNumberFormat="1" applyFont="1" applyBorder="1">
      <alignment/>
      <protection/>
    </xf>
    <xf numFmtId="3" fontId="2" fillId="0" borderId="21" xfId="54" applyNumberFormat="1" applyFont="1" applyBorder="1">
      <alignment/>
      <protection/>
    </xf>
    <xf numFmtId="49" fontId="2" fillId="0" borderId="11" xfId="54" applyNumberFormat="1" applyFont="1" applyBorder="1" applyAlignment="1">
      <alignment horizontal="justify" vertical="top"/>
      <protection/>
    </xf>
    <xf numFmtId="9" fontId="15" fillId="0" borderId="11" xfId="54" applyNumberFormat="1" applyFont="1" applyBorder="1">
      <alignment/>
      <protection/>
    </xf>
    <xf numFmtId="9" fontId="16" fillId="0" borderId="11" xfId="54" applyNumberFormat="1" applyFont="1" applyBorder="1">
      <alignment/>
      <protection/>
    </xf>
    <xf numFmtId="9" fontId="4" fillId="44" borderId="11" xfId="0" applyNumberFormat="1" applyFont="1" applyFill="1" applyBorder="1" applyAlignment="1">
      <alignment vertical="center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justify" vertical="top"/>
      <protection/>
    </xf>
    <xf numFmtId="0" fontId="2" fillId="43" borderId="10" xfId="54" applyFont="1" applyFill="1" applyBorder="1">
      <alignment/>
      <protection/>
    </xf>
    <xf numFmtId="3" fontId="12" fillId="0" borderId="10" xfId="54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2" fillId="39" borderId="11" xfId="55" applyFill="1" applyBorder="1">
      <alignment/>
      <protection/>
    </xf>
    <xf numFmtId="3" fontId="2" fillId="0" borderId="47" xfId="55" applyNumberFormat="1" applyFont="1" applyBorder="1" applyAlignment="1">
      <alignment horizontal="center" vertical="center" wrapText="1"/>
      <protection/>
    </xf>
    <xf numFmtId="3" fontId="2" fillId="0" borderId="21" xfId="55" applyNumberFormat="1" applyFont="1" applyBorder="1" applyAlignment="1">
      <alignment horizontal="center" vertical="center" wrapText="1"/>
      <protection/>
    </xf>
    <xf numFmtId="3" fontId="2" fillId="0" borderId="42" xfId="55" applyNumberFormat="1" applyFont="1" applyBorder="1" applyAlignment="1">
      <alignment horizontal="center" vertical="center" wrapText="1"/>
      <protection/>
    </xf>
    <xf numFmtId="0" fontId="2" fillId="0" borderId="11" xfId="55" applyFont="1" applyBorder="1">
      <alignment/>
      <protection/>
    </xf>
    <xf numFmtId="9" fontId="2" fillId="0" borderId="21" xfId="55" applyNumberFormat="1" applyFont="1" applyBorder="1" applyAlignment="1">
      <alignment horizontal="justify" vertical="center" wrapText="1"/>
      <protection/>
    </xf>
    <xf numFmtId="3" fontId="2" fillId="0" borderId="19" xfId="55" applyNumberFormat="1" applyFont="1" applyBorder="1" applyAlignment="1">
      <alignment horizontal="center" vertical="center" wrapText="1"/>
      <protection/>
    </xf>
    <xf numFmtId="3" fontId="2" fillId="0" borderId="11" xfId="55" applyNumberFormat="1" applyFont="1" applyBorder="1" applyAlignment="1">
      <alignment horizontal="center" vertical="center" wrapText="1"/>
      <protection/>
    </xf>
    <xf numFmtId="3" fontId="2" fillId="0" borderId="12" xfId="55" applyNumberFormat="1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3" fontId="2" fillId="0" borderId="15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43" xfId="55" applyNumberFormat="1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justify" vertical="center" wrapText="1"/>
      <protection/>
    </xf>
    <xf numFmtId="0" fontId="2" fillId="0" borderId="10" xfId="55" applyBorder="1">
      <alignment/>
      <protection/>
    </xf>
    <xf numFmtId="0" fontId="2" fillId="39" borderId="10" xfId="55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6" xfId="55" applyFont="1" applyBorder="1" applyAlignment="1">
      <alignment horizontal="justify" vertical="center" wrapText="1"/>
      <protection/>
    </xf>
    <xf numFmtId="9" fontId="2" fillId="0" borderId="11" xfId="55" applyNumberFormat="1" applyFont="1" applyBorder="1" applyAlignment="1">
      <alignment horizontal="justify" vertical="center" wrapText="1"/>
      <protection/>
    </xf>
    <xf numFmtId="0" fontId="0" fillId="0" borderId="11" xfId="0" applyBorder="1" applyAlignment="1">
      <alignment/>
    </xf>
    <xf numFmtId="2" fontId="2" fillId="0" borderId="21" xfId="54" applyNumberFormat="1" applyFont="1" applyBorder="1" applyAlignment="1">
      <alignment horizontal="center" vertical="center" wrapText="1"/>
      <protection/>
    </xf>
    <xf numFmtId="0" fontId="12" fillId="0" borderId="42" xfId="54" applyFont="1" applyBorder="1" applyAlignment="1">
      <alignment horizontal="center" vertical="center" wrapText="1"/>
      <protection/>
    </xf>
    <xf numFmtId="0" fontId="2" fillId="45" borderId="11" xfId="54" applyFill="1" applyBorder="1">
      <alignment/>
      <protection/>
    </xf>
    <xf numFmtId="0" fontId="12" fillId="0" borderId="47" xfId="54" applyFont="1" applyBorder="1" applyAlignment="1">
      <alignment horizontal="center" vertical="center" wrapText="1"/>
      <protection/>
    </xf>
    <xf numFmtId="0" fontId="12" fillId="0" borderId="21" xfId="54" applyFont="1" applyBorder="1" applyAlignment="1">
      <alignment horizontal="center" vertical="center" wrapText="1"/>
      <protection/>
    </xf>
    <xf numFmtId="9" fontId="2" fillId="0" borderId="11" xfId="54" applyNumberFormat="1" applyBorder="1">
      <alignment/>
      <protection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9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43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" fillId="0" borderId="11" xfId="54" applyBorder="1" applyAlignment="1">
      <alignment vertical="center" wrapText="1"/>
      <protection/>
    </xf>
    <xf numFmtId="2" fontId="2" fillId="0" borderId="16" xfId="54" applyNumberFormat="1" applyFont="1" applyBorder="1" applyAlignment="1">
      <alignment horizontal="center" vertical="center" wrapText="1"/>
      <protection/>
    </xf>
    <xf numFmtId="0" fontId="2" fillId="45" borderId="10" xfId="54" applyFill="1" applyBorder="1">
      <alignment/>
      <protection/>
    </xf>
    <xf numFmtId="0" fontId="2" fillId="0" borderId="15" xfId="54" applyFont="1" applyBorder="1" applyAlignment="1">
      <alignment horizontal="center" vertical="center" wrapText="1"/>
      <protection/>
    </xf>
    <xf numFmtId="2" fontId="2" fillId="0" borderId="11" xfId="54" applyNumberFormat="1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8" fillId="0" borderId="48" xfId="55" applyFont="1" applyBorder="1" applyAlignment="1">
      <alignment horizontal="center" vertical="center" wrapText="1"/>
      <protection/>
    </xf>
    <xf numFmtId="0" fontId="2" fillId="40" borderId="11" xfId="55" applyFont="1" applyFill="1" applyBorder="1">
      <alignment/>
      <protection/>
    </xf>
    <xf numFmtId="0" fontId="8" fillId="0" borderId="47" xfId="55" applyFont="1" applyBorder="1" applyAlignment="1">
      <alignment horizontal="center" vertical="center" wrapText="1"/>
      <protection/>
    </xf>
    <xf numFmtId="0" fontId="8" fillId="0" borderId="21" xfId="55" applyFont="1" applyBorder="1" applyAlignment="1">
      <alignment horizontal="center" vertical="center" wrapText="1"/>
      <protection/>
    </xf>
    <xf numFmtId="0" fontId="8" fillId="0" borderId="42" xfId="55" applyFont="1" applyBorder="1" applyAlignment="1">
      <alignment horizontal="center" vertical="center" wrapText="1"/>
      <protection/>
    </xf>
    <xf numFmtId="0" fontId="9" fillId="0" borderId="48" xfId="55" applyFont="1" applyBorder="1" applyAlignment="1">
      <alignment horizontal="center" vertical="center" wrapText="1"/>
      <protection/>
    </xf>
    <xf numFmtId="9" fontId="2" fillId="0" borderId="11" xfId="55" applyNumberFormat="1" applyFont="1" applyBorder="1">
      <alignment/>
      <protection/>
    </xf>
    <xf numFmtId="173" fontId="8" fillId="0" borderId="47" xfId="49" applyNumberFormat="1" applyFont="1" applyBorder="1" applyAlignment="1">
      <alignment horizontal="center" vertical="center"/>
    </xf>
    <xf numFmtId="173" fontId="8" fillId="0" borderId="21" xfId="49" applyNumberFormat="1" applyFont="1" applyBorder="1" applyAlignment="1">
      <alignment horizontal="center" vertical="center"/>
    </xf>
    <xf numFmtId="173" fontId="8" fillId="0" borderId="42" xfId="49" applyNumberFormat="1" applyFont="1" applyBorder="1" applyAlignment="1">
      <alignment horizontal="center" vertical="center"/>
    </xf>
    <xf numFmtId="0" fontId="2" fillId="0" borderId="29" xfId="55" applyFont="1" applyBorder="1" applyAlignment="1">
      <alignment horizontal="center" vertical="center" wrapText="1"/>
      <protection/>
    </xf>
    <xf numFmtId="0" fontId="8" fillId="0" borderId="19" xfId="55" applyFont="1" applyBorder="1" applyAlignment="1">
      <alignment horizontal="center" vertical="center"/>
      <protection/>
    </xf>
    <xf numFmtId="0" fontId="8" fillId="0" borderId="11" xfId="55" applyFont="1" applyBorder="1" applyAlignment="1">
      <alignment horizontal="center" vertical="center"/>
      <protection/>
    </xf>
    <xf numFmtId="0" fontId="8" fillId="0" borderId="12" xfId="55" applyFont="1" applyBorder="1" applyAlignment="1">
      <alignment horizontal="center" vertical="center" wrapText="1"/>
      <protection/>
    </xf>
    <xf numFmtId="9" fontId="8" fillId="0" borderId="19" xfId="55" applyNumberFormat="1" applyFont="1" applyBorder="1" applyAlignment="1">
      <alignment horizontal="center" vertical="center"/>
      <protection/>
    </xf>
    <xf numFmtId="9" fontId="8" fillId="0" borderId="11" xfId="55" applyNumberFormat="1" applyFont="1" applyBorder="1" applyAlignment="1">
      <alignment horizontal="center" vertical="center"/>
      <protection/>
    </xf>
    <xf numFmtId="9" fontId="8" fillId="0" borderId="12" xfId="55" applyNumberFormat="1" applyFont="1" applyBorder="1" applyAlignment="1">
      <alignment horizontal="center" vertical="center"/>
      <protection/>
    </xf>
    <xf numFmtId="0" fontId="8" fillId="0" borderId="19" xfId="55" applyFont="1" applyBorder="1" applyAlignment="1">
      <alignment horizontal="center" vertical="center" wrapText="1"/>
      <protection/>
    </xf>
    <xf numFmtId="0" fontId="8" fillId="0" borderId="40" xfId="55" applyFont="1" applyBorder="1" applyAlignment="1">
      <alignment horizontal="center" vertical="center" wrapText="1"/>
      <protection/>
    </xf>
    <xf numFmtId="0" fontId="2" fillId="40" borderId="10" xfId="55" applyFont="1" applyFill="1" applyBorder="1">
      <alignment/>
      <protection/>
    </xf>
    <xf numFmtId="0" fontId="8" fillId="0" borderId="15" xfId="55" applyFont="1" applyBorder="1" applyAlignment="1">
      <alignment horizontal="center" vertical="center" wrapText="1"/>
      <protection/>
    </xf>
    <xf numFmtId="0" fontId="8" fillId="0" borderId="43" xfId="55" applyFont="1" applyBorder="1" applyAlignment="1">
      <alignment horizontal="center" vertical="center" wrapText="1"/>
      <protection/>
    </xf>
    <xf numFmtId="0" fontId="13" fillId="34" borderId="14" xfId="53" applyFont="1" applyFill="1" applyBorder="1" applyAlignment="1">
      <alignment vertical="center" wrapText="1"/>
      <protection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49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wrapText="1"/>
    </xf>
    <xf numFmtId="0" fontId="13" fillId="34" borderId="52" xfId="0" applyFont="1" applyFill="1" applyBorder="1" applyAlignment="1">
      <alignment horizontal="center" wrapText="1"/>
    </xf>
    <xf numFmtId="0" fontId="13" fillId="34" borderId="49" xfId="0" applyFont="1" applyFill="1" applyBorder="1" applyAlignment="1">
      <alignment horizontal="center" wrapText="1"/>
    </xf>
    <xf numFmtId="0" fontId="13" fillId="34" borderId="49" xfId="0" applyFont="1" applyFill="1" applyBorder="1" applyAlignment="1">
      <alignment horizontal="center" vertical="center" wrapText="1"/>
    </xf>
    <xf numFmtId="0" fontId="0" fillId="46" borderId="53" xfId="0" applyFill="1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0" fillId="46" borderId="44" xfId="0" applyFill="1" applyBorder="1" applyAlignment="1">
      <alignment wrapText="1"/>
    </xf>
    <xf numFmtId="0" fontId="0" fillId="46" borderId="44" xfId="0" applyFill="1" applyBorder="1" applyAlignment="1">
      <alignment horizontal="center" vertical="center" wrapText="1"/>
    </xf>
    <xf numFmtId="0" fontId="2" fillId="46" borderId="44" xfId="0" applyFont="1" applyFill="1" applyBorder="1" applyAlignment="1">
      <alignment horizontal="center" vertical="center"/>
    </xf>
    <xf numFmtId="0" fontId="0" fillId="46" borderId="54" xfId="0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3" fontId="13" fillId="34" borderId="16" xfId="0" applyNumberFormat="1" applyFont="1" applyFill="1" applyBorder="1" applyAlignment="1">
      <alignment horizontal="center" vertical="center"/>
    </xf>
    <xf numFmtId="0" fontId="13" fillId="47" borderId="53" xfId="0" applyFont="1" applyFill="1" applyBorder="1" applyAlignment="1">
      <alignment horizontal="center" vertical="center" wrapText="1"/>
    </xf>
    <xf numFmtId="0" fontId="13" fillId="47" borderId="44" xfId="0" applyFont="1" applyFill="1" applyBorder="1" applyAlignment="1">
      <alignment horizontal="center" vertical="center"/>
    </xf>
    <xf numFmtId="0" fontId="13" fillId="47" borderId="44" xfId="0" applyFont="1" applyFill="1" applyBorder="1" applyAlignment="1">
      <alignment horizontal="center" vertical="center" wrapText="1"/>
    </xf>
    <xf numFmtId="0" fontId="2" fillId="47" borderId="44" xfId="0" applyFont="1" applyFill="1" applyBorder="1" applyAlignment="1">
      <alignment horizontal="center" vertical="center" wrapText="1"/>
    </xf>
    <xf numFmtId="3" fontId="2" fillId="47" borderId="44" xfId="0" applyNumberFormat="1" applyFont="1" applyFill="1" applyBorder="1" applyAlignment="1">
      <alignment horizontal="center" vertical="center"/>
    </xf>
    <xf numFmtId="3" fontId="13" fillId="47" borderId="44" xfId="0" applyNumberFormat="1" applyFont="1" applyFill="1" applyBorder="1" applyAlignment="1">
      <alignment horizontal="center" vertical="center"/>
    </xf>
    <xf numFmtId="3" fontId="2" fillId="47" borderId="44" xfId="0" applyNumberFormat="1" applyFont="1" applyFill="1" applyBorder="1" applyAlignment="1">
      <alignment horizontal="center" wrapText="1"/>
    </xf>
    <xf numFmtId="3" fontId="13" fillId="47" borderId="44" xfId="0" applyNumberFormat="1" applyFont="1" applyFill="1" applyBorder="1" applyAlignment="1">
      <alignment horizontal="right" wrapText="1"/>
    </xf>
    <xf numFmtId="3" fontId="2" fillId="47" borderId="44" xfId="0" applyNumberFormat="1" applyFont="1" applyFill="1" applyBorder="1" applyAlignment="1">
      <alignment horizontal="right" wrapText="1"/>
    </xf>
    <xf numFmtId="3" fontId="2" fillId="47" borderId="44" xfId="0" applyNumberFormat="1" applyFont="1" applyFill="1" applyBorder="1" applyAlignment="1">
      <alignment horizontal="right"/>
    </xf>
    <xf numFmtId="0" fontId="2" fillId="47" borderId="55" xfId="0" applyFont="1" applyFill="1" applyBorder="1" applyAlignment="1">
      <alignment horizontal="center" vertical="center" wrapText="1"/>
    </xf>
    <xf numFmtId="0" fontId="0" fillId="46" borderId="56" xfId="0" applyFill="1" applyBorder="1" applyAlignment="1">
      <alignment horizontal="center" vertical="center" wrapText="1"/>
    </xf>
    <xf numFmtId="0" fontId="0" fillId="46" borderId="25" xfId="0" applyFill="1" applyBorder="1" applyAlignment="1">
      <alignment horizontal="center" vertical="center"/>
    </xf>
    <xf numFmtId="0" fontId="0" fillId="46" borderId="25" xfId="0" applyFill="1" applyBorder="1" applyAlignment="1">
      <alignment horizontal="center" vertical="center" wrapText="1"/>
    </xf>
    <xf numFmtId="0" fontId="2" fillId="46" borderId="25" xfId="0" applyFont="1" applyFill="1" applyBorder="1" applyAlignment="1">
      <alignment horizontal="center" vertical="center"/>
    </xf>
    <xf numFmtId="3" fontId="2" fillId="46" borderId="25" xfId="0" applyNumberFormat="1" applyFont="1" applyFill="1" applyBorder="1" applyAlignment="1">
      <alignment horizontal="center" vertical="center"/>
    </xf>
    <xf numFmtId="3" fontId="2" fillId="46" borderId="25" xfId="0" applyNumberFormat="1" applyFont="1" applyFill="1" applyBorder="1" applyAlignment="1">
      <alignment horizontal="center" wrapText="1"/>
    </xf>
    <xf numFmtId="0" fontId="2" fillId="46" borderId="57" xfId="0" applyFont="1" applyFill="1" applyBorder="1" applyAlignment="1">
      <alignment horizontal="center" vertical="center" wrapText="1"/>
    </xf>
    <xf numFmtId="0" fontId="0" fillId="46" borderId="16" xfId="0" applyFill="1" applyBorder="1" applyAlignment="1">
      <alignment horizontal="center" vertical="center" wrapText="1"/>
    </xf>
    <xf numFmtId="0" fontId="0" fillId="46" borderId="16" xfId="0" applyFill="1" applyBorder="1" applyAlignment="1">
      <alignment horizontal="center" vertical="center"/>
    </xf>
    <xf numFmtId="0" fontId="2" fillId="46" borderId="21" xfId="0" applyFont="1" applyFill="1" applyBorder="1" applyAlignment="1">
      <alignment horizontal="center" vertical="center"/>
    </xf>
    <xf numFmtId="0" fontId="2" fillId="46" borderId="16" xfId="0" applyFont="1" applyFill="1" applyBorder="1" applyAlignment="1">
      <alignment horizontal="center" vertical="center"/>
    </xf>
    <xf numFmtId="3" fontId="2" fillId="46" borderId="21" xfId="0" applyNumberFormat="1" applyFont="1" applyFill="1" applyBorder="1" applyAlignment="1">
      <alignment horizontal="center" vertical="center"/>
    </xf>
    <xf numFmtId="3" fontId="2" fillId="46" borderId="21" xfId="0" applyNumberFormat="1" applyFont="1" applyFill="1" applyBorder="1" applyAlignment="1">
      <alignment horizontal="center" wrapText="1"/>
    </xf>
    <xf numFmtId="0" fontId="2" fillId="46" borderId="1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13" fillId="47" borderId="53" xfId="0" applyNumberFormat="1" applyFont="1" applyFill="1" applyBorder="1" applyAlignment="1">
      <alignment horizontal="center" vertical="center"/>
    </xf>
    <xf numFmtId="3" fontId="13" fillId="47" borderId="25" xfId="0" applyNumberFormat="1" applyFont="1" applyFill="1" applyBorder="1" applyAlignment="1">
      <alignment horizontal="center" vertical="center"/>
    </xf>
    <xf numFmtId="3" fontId="13" fillId="47" borderId="57" xfId="0" applyNumberFormat="1" applyFont="1" applyFill="1" applyBorder="1" applyAlignment="1">
      <alignment horizontal="center" vertical="center"/>
    </xf>
    <xf numFmtId="0" fontId="13" fillId="46" borderId="25" xfId="0" applyFont="1" applyFill="1" applyBorder="1" applyAlignment="1">
      <alignment horizontal="center" vertical="center"/>
    </xf>
    <xf numFmtId="0" fontId="13" fillId="46" borderId="25" xfId="0" applyFont="1" applyFill="1" applyBorder="1" applyAlignment="1">
      <alignment horizontal="center" vertical="center" wrapText="1"/>
    </xf>
    <xf numFmtId="0" fontId="2" fillId="46" borderId="25" xfId="0" applyFont="1" applyFill="1" applyBorder="1" applyAlignment="1">
      <alignment horizontal="center" vertical="center" wrapText="1"/>
    </xf>
    <xf numFmtId="3" fontId="13" fillId="46" borderId="25" xfId="0" applyNumberFormat="1" applyFont="1" applyFill="1" applyBorder="1" applyAlignment="1">
      <alignment horizontal="center" vertical="center"/>
    </xf>
    <xf numFmtId="3" fontId="2" fillId="46" borderId="25" xfId="0" applyNumberFormat="1" applyFont="1" applyFill="1" applyBorder="1" applyAlignment="1">
      <alignment wrapText="1"/>
    </xf>
    <xf numFmtId="0" fontId="2" fillId="46" borderId="58" xfId="0" applyFont="1" applyFill="1" applyBorder="1" applyAlignment="1">
      <alignment vertical="center" wrapText="1"/>
    </xf>
    <xf numFmtId="0" fontId="2" fillId="46" borderId="44" xfId="0" applyFont="1" applyFill="1" applyBorder="1" applyAlignment="1">
      <alignment wrapText="1"/>
    </xf>
    <xf numFmtId="0" fontId="2" fillId="46" borderId="59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58" xfId="0" applyFont="1" applyBorder="1" applyAlignment="1">
      <alignment wrapText="1"/>
    </xf>
    <xf numFmtId="0" fontId="13" fillId="0" borderId="25" xfId="0" applyFont="1" applyBorder="1" applyAlignment="1">
      <alignment vertical="center" wrapText="1"/>
    </xf>
    <xf numFmtId="3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3" fontId="13" fillId="47" borderId="55" xfId="0" applyNumberFormat="1" applyFont="1" applyFill="1" applyBorder="1" applyAlignment="1">
      <alignment horizontal="center" vertical="center"/>
    </xf>
    <xf numFmtId="0" fontId="13" fillId="46" borderId="58" xfId="0" applyFont="1" applyFill="1" applyBorder="1" applyAlignment="1">
      <alignment wrapText="1"/>
    </xf>
    <xf numFmtId="0" fontId="13" fillId="46" borderId="25" xfId="0" applyFont="1" applyFill="1" applyBorder="1" applyAlignment="1">
      <alignment vertical="center" wrapText="1"/>
    </xf>
    <xf numFmtId="9" fontId="2" fillId="46" borderId="25" xfId="0" applyNumberFormat="1" applyFont="1" applyFill="1" applyBorder="1" applyAlignment="1">
      <alignment/>
    </xf>
    <xf numFmtId="3" fontId="13" fillId="46" borderId="25" xfId="0" applyNumberFormat="1" applyFont="1" applyFill="1" applyBorder="1" applyAlignment="1">
      <alignment/>
    </xf>
    <xf numFmtId="3" fontId="2" fillId="46" borderId="25" xfId="0" applyNumberFormat="1" applyFont="1" applyFill="1" applyBorder="1" applyAlignment="1">
      <alignment/>
    </xf>
    <xf numFmtId="0" fontId="2" fillId="46" borderId="25" xfId="0" applyFont="1" applyFill="1" applyBorder="1" applyAlignment="1">
      <alignment wrapText="1"/>
    </xf>
    <xf numFmtId="0" fontId="0" fillId="46" borderId="59" xfId="0" applyFill="1" applyBorder="1" applyAlignment="1">
      <alignment wrapText="1"/>
    </xf>
    <xf numFmtId="3" fontId="2" fillId="46" borderId="44" xfId="0" applyNumberFormat="1" applyFont="1" applyFill="1" applyBorder="1" applyAlignment="1">
      <alignment/>
    </xf>
    <xf numFmtId="0" fontId="2" fillId="46" borderId="44" xfId="0" applyFont="1" applyFill="1" applyBorder="1" applyAlignment="1">
      <alignment/>
    </xf>
    <xf numFmtId="0" fontId="2" fillId="0" borderId="46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6" xfId="0" applyFont="1" applyBorder="1" applyAlignment="1">
      <alignment wrapText="1"/>
    </xf>
    <xf numFmtId="0" fontId="2" fillId="0" borderId="11" xfId="0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3" fontId="13" fillId="47" borderId="56" xfId="0" applyNumberFormat="1" applyFont="1" applyFill="1" applyBorder="1" applyAlignment="1">
      <alignment horizontal="center" vertical="center"/>
    </xf>
    <xf numFmtId="0" fontId="2" fillId="46" borderId="44" xfId="0" applyFont="1" applyFill="1" applyBorder="1" applyAlignment="1">
      <alignment horizontal="justify" vertical="top"/>
    </xf>
    <xf numFmtId="0" fontId="0" fillId="46" borderId="44" xfId="0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0" fillId="46" borderId="53" xfId="0" applyFill="1" applyBorder="1" applyAlignment="1">
      <alignment horizontal="center" vertical="center" wrapText="1"/>
    </xf>
    <xf numFmtId="0" fontId="2" fillId="46" borderId="55" xfId="0" applyFont="1" applyFill="1" applyBorder="1" applyAlignment="1">
      <alignment/>
    </xf>
    <xf numFmtId="3" fontId="13" fillId="34" borderId="21" xfId="0" applyNumberFormat="1" applyFont="1" applyFill="1" applyBorder="1" applyAlignment="1">
      <alignment horizontal="center" vertical="center"/>
    </xf>
    <xf numFmtId="173" fontId="2" fillId="0" borderId="25" xfId="48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0" fillId="46" borderId="55" xfId="0" applyFill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/>
    </xf>
    <xf numFmtId="3" fontId="2" fillId="0" borderId="1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9" fontId="2" fillId="0" borderId="11" xfId="0" applyNumberFormat="1" applyFont="1" applyBorder="1" applyAlignment="1">
      <alignment vertical="center"/>
    </xf>
    <xf numFmtId="9" fontId="2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9" fontId="2" fillId="0" borderId="11" xfId="0" applyNumberFormat="1" applyFont="1" applyBorder="1" applyAlignment="1">
      <alignment vertical="center" wrapText="1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29" xfId="0" applyFont="1" applyBorder="1" applyAlignment="1">
      <alignment vertical="center" wrapText="1"/>
    </xf>
    <xf numFmtId="0" fontId="0" fillId="46" borderId="11" xfId="0" applyFill="1" applyBorder="1" applyAlignment="1">
      <alignment horizontal="center" vertical="center" wrapText="1"/>
    </xf>
    <xf numFmtId="0" fontId="0" fillId="46" borderId="11" xfId="0" applyFill="1" applyBorder="1" applyAlignment="1">
      <alignment horizontal="center" vertical="center"/>
    </xf>
    <xf numFmtId="0" fontId="13" fillId="46" borderId="16" xfId="0" applyFont="1" applyFill="1" applyBorder="1" applyAlignment="1">
      <alignment horizontal="center" vertical="center" wrapText="1"/>
    </xf>
    <xf numFmtId="0" fontId="2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3" fontId="2" fillId="46" borderId="11" xfId="0" applyNumberFormat="1" applyFont="1" applyFill="1" applyBorder="1" applyAlignment="1">
      <alignment/>
    </xf>
    <xf numFmtId="0" fontId="2" fillId="46" borderId="11" xfId="0" applyFont="1" applyFill="1" applyBorder="1" applyAlignment="1">
      <alignment vertical="center" wrapText="1"/>
    </xf>
    <xf numFmtId="0" fontId="0" fillId="46" borderId="21" xfId="0" applyFill="1" applyBorder="1" applyAlignment="1">
      <alignment horizontal="center" vertical="center" wrapText="1"/>
    </xf>
    <xf numFmtId="0" fontId="0" fillId="46" borderId="21" xfId="0" applyFill="1" applyBorder="1" applyAlignment="1">
      <alignment horizontal="center" vertical="center"/>
    </xf>
    <xf numFmtId="0" fontId="0" fillId="46" borderId="11" xfId="0" applyFill="1" applyBorder="1" applyAlignment="1">
      <alignment/>
    </xf>
    <xf numFmtId="0" fontId="2" fillId="0" borderId="11" xfId="0" applyFont="1" applyBorder="1" applyAlignment="1">
      <alignment vertical="center"/>
    </xf>
    <xf numFmtId="3" fontId="2" fillId="35" borderId="11" xfId="0" applyNumberFormat="1" applyFont="1" applyFill="1" applyBorder="1" applyAlignment="1">
      <alignment vertical="center"/>
    </xf>
    <xf numFmtId="0" fontId="0" fillId="46" borderId="16" xfId="0" applyFill="1" applyBorder="1" applyAlignment="1">
      <alignment horizontal="center" wrapText="1"/>
    </xf>
    <xf numFmtId="0" fontId="2" fillId="46" borderId="16" xfId="0" applyFont="1" applyFill="1" applyBorder="1" applyAlignment="1">
      <alignment/>
    </xf>
    <xf numFmtId="3" fontId="2" fillId="46" borderId="16" xfId="0" applyNumberFormat="1" applyFont="1" applyFill="1" applyBorder="1" applyAlignment="1">
      <alignment/>
    </xf>
    <xf numFmtId="3" fontId="13" fillId="46" borderId="16" xfId="0" applyNumberFormat="1" applyFont="1" applyFill="1" applyBorder="1" applyAlignment="1">
      <alignment/>
    </xf>
    <xf numFmtId="0" fontId="2" fillId="46" borderId="16" xfId="0" applyFont="1" applyFill="1" applyBorder="1" applyAlignment="1">
      <alignment vertical="center" wrapText="1"/>
    </xf>
    <xf numFmtId="173" fontId="2" fillId="0" borderId="23" xfId="48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173" fontId="2" fillId="0" borderId="21" xfId="48" applyNumberFormat="1" applyFont="1" applyBorder="1" applyAlignment="1">
      <alignment horizontal="center" vertical="center"/>
    </xf>
    <xf numFmtId="173" fontId="2" fillId="35" borderId="21" xfId="48" applyNumberFormat="1" applyFont="1" applyFill="1" applyBorder="1" applyAlignment="1">
      <alignment horizontal="center" vertical="center"/>
    </xf>
    <xf numFmtId="173" fontId="2" fillId="0" borderId="11" xfId="48" applyNumberFormat="1" applyFont="1" applyBorder="1" applyAlignment="1">
      <alignment horizontal="center" vertical="center"/>
    </xf>
    <xf numFmtId="0" fontId="0" fillId="46" borderId="16" xfId="0" applyFill="1" applyBorder="1" applyAlignment="1">
      <alignment vertical="top" wrapText="1"/>
    </xf>
    <xf numFmtId="0" fontId="2" fillId="35" borderId="46" xfId="0" applyFont="1" applyFill="1" applyBorder="1" applyAlignment="1">
      <alignment/>
    </xf>
    <xf numFmtId="3" fontId="13" fillId="34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35" borderId="46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46" borderId="25" xfId="0" applyFill="1" applyBorder="1" applyAlignment="1">
      <alignment horizontal="center"/>
    </xf>
    <xf numFmtId="0" fontId="2" fillId="46" borderId="25" xfId="0" applyFont="1" applyFill="1" applyBorder="1" applyAlignment="1">
      <alignment/>
    </xf>
    <xf numFmtId="0" fontId="2" fillId="46" borderId="25" xfId="0" applyFont="1" applyFill="1" applyBorder="1" applyAlignment="1">
      <alignment vertical="center" wrapText="1"/>
    </xf>
    <xf numFmtId="0" fontId="0" fillId="46" borderId="44" xfId="0" applyFill="1" applyBorder="1" applyAlignment="1">
      <alignment horizontal="center"/>
    </xf>
    <xf numFmtId="3" fontId="13" fillId="46" borderId="44" xfId="0" applyNumberFormat="1" applyFont="1" applyFill="1" applyBorder="1" applyAlignment="1">
      <alignment/>
    </xf>
    <xf numFmtId="0" fontId="2" fillId="0" borderId="23" xfId="0" applyFont="1" applyBorder="1" applyAlignment="1">
      <alignment vertical="center"/>
    </xf>
    <xf numFmtId="173" fontId="2" fillId="0" borderId="11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13" fillId="34" borderId="23" xfId="0" applyNumberFormat="1" applyFont="1" applyFill="1" applyBorder="1" applyAlignment="1">
      <alignment horizontal="center" vertical="center"/>
    </xf>
    <xf numFmtId="173" fontId="2" fillId="0" borderId="23" xfId="48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 vertical="center"/>
    </xf>
    <xf numFmtId="3" fontId="13" fillId="34" borderId="29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9" xfId="0" applyNumberFormat="1" applyFont="1" applyBorder="1" applyAlignment="1">
      <alignment vertical="center"/>
    </xf>
    <xf numFmtId="173" fontId="2" fillId="0" borderId="29" xfId="48" applyNumberFormat="1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3" fontId="2" fillId="34" borderId="23" xfId="0" applyNumberFormat="1" applyFont="1" applyFill="1" applyBorder="1" applyAlignment="1">
      <alignment horizontal="center" vertical="center"/>
    </xf>
    <xf numFmtId="0" fontId="13" fillId="46" borderId="44" xfId="0" applyFont="1" applyFill="1" applyBorder="1" applyAlignment="1">
      <alignment horizontal="center" vertical="center" wrapText="1"/>
    </xf>
    <xf numFmtId="0" fontId="0" fillId="46" borderId="55" xfId="0" applyFill="1" applyBorder="1" applyAlignment="1">
      <alignment horizontal="center"/>
    </xf>
    <xf numFmtId="3" fontId="13" fillId="34" borderId="46" xfId="0" applyNumberFormat="1" applyFont="1" applyFill="1" applyBorder="1" applyAlignment="1">
      <alignment horizontal="center" vertical="center"/>
    </xf>
    <xf numFmtId="3" fontId="13" fillId="34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3" fontId="13" fillId="47" borderId="59" xfId="0" applyNumberFormat="1" applyFont="1" applyFill="1" applyBorder="1" applyAlignment="1">
      <alignment horizontal="center" vertical="center"/>
    </xf>
    <xf numFmtId="0" fontId="0" fillId="46" borderId="53" xfId="0" applyFill="1" applyBorder="1" applyAlignment="1">
      <alignment/>
    </xf>
    <xf numFmtId="0" fontId="2" fillId="46" borderId="60" xfId="0" applyFont="1" applyFill="1" applyBorder="1" applyAlignment="1">
      <alignment/>
    </xf>
    <xf numFmtId="0" fontId="2" fillId="46" borderId="46" xfId="0" applyFont="1" applyFill="1" applyBorder="1" applyAlignment="1">
      <alignment/>
    </xf>
    <xf numFmtId="3" fontId="13" fillId="46" borderId="46" xfId="0" applyNumberFormat="1" applyFont="1" applyFill="1" applyBorder="1" applyAlignment="1">
      <alignment/>
    </xf>
    <xf numFmtId="3" fontId="2" fillId="35" borderId="46" xfId="0" applyNumberFormat="1" applyFont="1" applyFill="1" applyBorder="1" applyAlignment="1">
      <alignment horizontal="right" vertical="center"/>
    </xf>
    <xf numFmtId="3" fontId="13" fillId="35" borderId="46" xfId="0" applyNumberFormat="1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right" vertical="center"/>
    </xf>
    <xf numFmtId="3" fontId="2" fillId="35" borderId="25" xfId="0" applyNumberFormat="1" applyFont="1" applyFill="1" applyBorder="1" applyAlignment="1">
      <alignment horizontal="right" vertical="center"/>
    </xf>
    <xf numFmtId="3" fontId="2" fillId="35" borderId="2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/>
    </xf>
    <xf numFmtId="3" fontId="2" fillId="0" borderId="29" xfId="0" applyNumberFormat="1" applyFont="1" applyFill="1" applyBorder="1" applyAlignment="1">
      <alignment horizontal="right" vertical="center"/>
    </xf>
    <xf numFmtId="3" fontId="13" fillId="47" borderId="25" xfId="0" applyNumberFormat="1" applyFont="1" applyFill="1" applyBorder="1" applyAlignment="1">
      <alignment horizontal="right" vertical="center"/>
    </xf>
    <xf numFmtId="9" fontId="2" fillId="0" borderId="46" xfId="0" applyNumberFormat="1" applyFont="1" applyBorder="1" applyAlignment="1">
      <alignment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3" fontId="13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3" fontId="13" fillId="0" borderId="1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2" fillId="35" borderId="0" xfId="0" applyFont="1" applyFill="1" applyBorder="1" applyAlignment="1">
      <alignment/>
    </xf>
    <xf numFmtId="3" fontId="7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76" fillId="0" borderId="51" xfId="0" applyNumberFormat="1" applyFont="1" applyBorder="1" applyAlignment="1">
      <alignment/>
    </xf>
    <xf numFmtId="0" fontId="13" fillId="0" borderId="0" xfId="0" applyFont="1" applyAlignment="1">
      <alignment/>
    </xf>
    <xf numFmtId="3" fontId="77" fillId="0" borderId="0" xfId="0" applyNumberFormat="1" applyFont="1" applyAlignment="1">
      <alignment/>
    </xf>
    <xf numFmtId="0" fontId="13" fillId="0" borderId="2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13" fillId="0" borderId="47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wrapText="1"/>
    </xf>
    <xf numFmtId="0" fontId="0" fillId="0" borderId="16" xfId="0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46" borderId="25" xfId="0" applyFont="1" applyFill="1" applyBorder="1" applyAlignment="1">
      <alignment horizontal="center" vertical="center" wrapText="1"/>
    </xf>
    <xf numFmtId="0" fontId="0" fillId="46" borderId="4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46" borderId="25" xfId="0" applyFont="1" applyFill="1" applyBorder="1" applyAlignment="1">
      <alignment wrapText="1"/>
    </xf>
    <xf numFmtId="0" fontId="0" fillId="46" borderId="44" xfId="0" applyFont="1" applyFill="1" applyBorder="1" applyAlignment="1">
      <alignment wrapText="1"/>
    </xf>
    <xf numFmtId="0" fontId="0" fillId="46" borderId="59" xfId="0" applyFont="1" applyFill="1" applyBorder="1" applyAlignment="1">
      <alignment/>
    </xf>
    <xf numFmtId="0" fontId="0" fillId="46" borderId="11" xfId="0" applyFont="1" applyFill="1" applyBorder="1" applyAlignment="1">
      <alignment wrapText="1"/>
    </xf>
    <xf numFmtId="0" fontId="0" fillId="46" borderId="11" xfId="0" applyFont="1" applyFill="1" applyBorder="1" applyAlignment="1">
      <alignment/>
    </xf>
    <xf numFmtId="0" fontId="0" fillId="46" borderId="16" xfId="0" applyFont="1" applyFill="1" applyBorder="1" applyAlignment="1">
      <alignment vertical="center" wrapText="1"/>
    </xf>
    <xf numFmtId="0" fontId="0" fillId="46" borderId="44" xfId="0" applyFont="1" applyFill="1" applyBorder="1" applyAlignment="1">
      <alignment/>
    </xf>
    <xf numFmtId="0" fontId="0" fillId="46" borderId="16" xfId="0" applyFont="1" applyFill="1" applyBorder="1" applyAlignment="1">
      <alignment vertical="top" wrapText="1"/>
    </xf>
    <xf numFmtId="0" fontId="0" fillId="35" borderId="4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46" borderId="55" xfId="0" applyFont="1" applyFill="1" applyBorder="1" applyAlignment="1">
      <alignment wrapText="1"/>
    </xf>
    <xf numFmtId="0" fontId="43" fillId="0" borderId="11" xfId="0" applyFont="1" applyBorder="1" applyAlignment="1">
      <alignment horizontal="left" vertical="center" wrapText="1"/>
    </xf>
    <xf numFmtId="3" fontId="44" fillId="47" borderId="25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/>
    </xf>
    <xf numFmtId="0" fontId="43" fillId="0" borderId="16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49" fontId="43" fillId="0" borderId="11" xfId="0" applyNumberFormat="1" applyFont="1" applyFill="1" applyBorder="1" applyAlignment="1">
      <alignment horizontal="left" vertical="top" wrapText="1"/>
    </xf>
    <xf numFmtId="0" fontId="44" fillId="0" borderId="58" xfId="0" applyFont="1" applyBorder="1" applyAlignment="1">
      <alignment horizontal="left" vertical="top" wrapText="1"/>
    </xf>
    <xf numFmtId="3" fontId="44" fillId="47" borderId="44" xfId="0" applyNumberFormat="1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49" fontId="43" fillId="35" borderId="11" xfId="0" applyNumberFormat="1" applyFont="1" applyFill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46" borderId="44" xfId="0" applyFont="1" applyFill="1" applyBorder="1" applyAlignment="1">
      <alignment horizontal="justify" vertical="top"/>
    </xf>
    <xf numFmtId="49" fontId="43" fillId="35" borderId="21" xfId="0" applyNumberFormat="1" applyFont="1" applyFill="1" applyBorder="1" applyAlignment="1">
      <alignment horizontal="left" vertical="top" wrapText="1"/>
    </xf>
    <xf numFmtId="49" fontId="1" fillId="35" borderId="11" xfId="0" applyNumberFormat="1" applyFont="1" applyFill="1" applyBorder="1" applyAlignment="1">
      <alignment horizontal="justify" vertical="top"/>
    </xf>
    <xf numFmtId="49" fontId="43" fillId="35" borderId="11" xfId="0" applyNumberFormat="1" applyFont="1" applyFill="1" applyBorder="1" applyAlignment="1">
      <alignment horizontal="justify" vertical="top"/>
    </xf>
    <xf numFmtId="49" fontId="1" fillId="0" borderId="11" xfId="0" applyNumberFormat="1" applyFont="1" applyFill="1" applyBorder="1" applyAlignment="1">
      <alignment horizontal="justify" vertical="top"/>
    </xf>
    <xf numFmtId="49" fontId="1" fillId="0" borderId="42" xfId="0" applyNumberFormat="1" applyFont="1" applyFill="1" applyBorder="1" applyAlignment="1">
      <alignment horizontal="justify" vertical="top"/>
    </xf>
    <xf numFmtId="49" fontId="1" fillId="46" borderId="45" xfId="0" applyNumberFormat="1" applyFont="1" applyFill="1" applyBorder="1" applyAlignment="1">
      <alignment horizontal="justify" vertical="top"/>
    </xf>
    <xf numFmtId="49" fontId="43" fillId="0" borderId="21" xfId="0" applyNumberFormat="1" applyFont="1" applyBorder="1" applyAlignment="1">
      <alignment horizontal="justify" vertical="top"/>
    </xf>
    <xf numFmtId="0" fontId="43" fillId="35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 vertical="top"/>
    </xf>
    <xf numFmtId="0" fontId="43" fillId="0" borderId="10" xfId="0" applyFont="1" applyFill="1" applyBorder="1" applyAlignment="1">
      <alignment horizontal="justify" vertical="top"/>
    </xf>
    <xf numFmtId="0" fontId="43" fillId="0" borderId="47" xfId="0" applyFont="1" applyBorder="1" applyAlignment="1">
      <alignment horizontal="justify" vertical="top"/>
    </xf>
    <xf numFmtId="0" fontId="43" fillId="0" borderId="11" xfId="0" applyFont="1" applyBorder="1" applyAlignment="1">
      <alignment horizontal="justify" vertical="top"/>
    </xf>
    <xf numFmtId="0" fontId="43" fillId="35" borderId="21" xfId="0" applyFont="1" applyFill="1" applyBorder="1" applyAlignment="1">
      <alignment horizontal="left" wrapText="1"/>
    </xf>
    <xf numFmtId="49" fontId="43" fillId="0" borderId="19" xfId="0" applyNumberFormat="1" applyFont="1" applyFill="1" applyBorder="1" applyAlignment="1">
      <alignment horizontal="justify" vertical="top" wrapText="1"/>
    </xf>
    <xf numFmtId="49" fontId="43" fillId="35" borderId="19" xfId="0" applyNumberFormat="1" applyFont="1" applyFill="1" applyBorder="1" applyAlignment="1">
      <alignment horizontal="justify" vertical="top" wrapText="1"/>
    </xf>
    <xf numFmtId="0" fontId="43" fillId="0" borderId="21" xfId="0" applyFont="1" applyBorder="1" applyAlignment="1">
      <alignment horizontal="justify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43" fillId="35" borderId="11" xfId="0" applyFont="1" applyFill="1" applyBorder="1" applyAlignment="1">
      <alignment horizontal="justify" vertical="top" wrapText="1"/>
    </xf>
    <xf numFmtId="49" fontId="43" fillId="0" borderId="11" xfId="0" applyNumberFormat="1" applyFont="1" applyBorder="1" applyAlignment="1">
      <alignment horizontal="justify" vertical="top"/>
    </xf>
    <xf numFmtId="0" fontId="43" fillId="0" borderId="21" xfId="0" applyFont="1" applyFill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29" xfId="0" applyFont="1" applyBorder="1" applyAlignment="1">
      <alignment wrapText="1"/>
    </xf>
    <xf numFmtId="3" fontId="44" fillId="47" borderId="59" xfId="0" applyNumberFormat="1" applyFont="1" applyFill="1" applyBorder="1" applyAlignment="1">
      <alignment horizontal="center" vertical="center"/>
    </xf>
    <xf numFmtId="49" fontId="43" fillId="0" borderId="21" xfId="0" applyNumberFormat="1" applyFont="1" applyBorder="1" applyAlignment="1">
      <alignment horizontal="justify" vertical="top" wrapText="1"/>
    </xf>
    <xf numFmtId="49" fontId="43" fillId="0" borderId="11" xfId="0" applyNumberFormat="1" applyFont="1" applyBorder="1" applyAlignment="1">
      <alignment horizontal="justify" vertical="top" wrapText="1"/>
    </xf>
    <xf numFmtId="0" fontId="44" fillId="46" borderId="2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top"/>
    </xf>
    <xf numFmtId="0" fontId="43" fillId="0" borderId="25" xfId="0" applyFont="1" applyBorder="1" applyAlignment="1">
      <alignment horizontal="justify" vertical="top"/>
    </xf>
    <xf numFmtId="3" fontId="13" fillId="34" borderId="21" xfId="0" applyNumberFormat="1" applyFont="1" applyFill="1" applyBorder="1" applyAlignment="1">
      <alignment horizontal="center"/>
    </xf>
    <xf numFmtId="3" fontId="13" fillId="34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3" fontId="2" fillId="0" borderId="4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3" fontId="2" fillId="0" borderId="46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76" fontId="2" fillId="0" borderId="11" xfId="46" applyNumberFormat="1" applyFont="1" applyFill="1" applyBorder="1" applyAlignment="1">
      <alignment/>
    </xf>
    <xf numFmtId="0" fontId="0" fillId="46" borderId="20" xfId="0" applyFont="1" applyFill="1" applyBorder="1" applyAlignment="1">
      <alignment vertical="top" wrapText="1"/>
    </xf>
    <xf numFmtId="0" fontId="43" fillId="0" borderId="21" xfId="0" applyFont="1" applyBorder="1" applyAlignment="1">
      <alignment wrapText="1"/>
    </xf>
    <xf numFmtId="173" fontId="2" fillId="0" borderId="25" xfId="48" applyNumberFormat="1" applyFont="1" applyBorder="1" applyAlignment="1">
      <alignment vertical="center"/>
    </xf>
    <xf numFmtId="49" fontId="43" fillId="0" borderId="16" xfId="0" applyNumberFormat="1" applyFont="1" applyBorder="1" applyAlignment="1">
      <alignment horizontal="justify" vertical="top" wrapText="1"/>
    </xf>
    <xf numFmtId="0" fontId="2" fillId="0" borderId="16" xfId="0" applyFont="1" applyBorder="1" applyAlignment="1">
      <alignment vertical="center"/>
    </xf>
    <xf numFmtId="0" fontId="43" fillId="0" borderId="16" xfId="0" applyFont="1" applyBorder="1" applyAlignment="1">
      <alignment horizontal="justify" vertical="top"/>
    </xf>
    <xf numFmtId="3" fontId="2" fillId="0" borderId="25" xfId="0" applyNumberFormat="1" applyFont="1" applyFill="1" applyBorder="1" applyAlignment="1">
      <alignment horizontal="right" vertical="center"/>
    </xf>
    <xf numFmtId="0" fontId="0" fillId="46" borderId="60" xfId="0" applyFill="1" applyBorder="1" applyAlignment="1">
      <alignment/>
    </xf>
    <xf numFmtId="0" fontId="0" fillId="46" borderId="46" xfId="0" applyFill="1" applyBorder="1" applyAlignment="1">
      <alignment/>
    </xf>
    <xf numFmtId="3" fontId="2" fillId="46" borderId="46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61" xfId="0" applyFont="1" applyFill="1" applyBorder="1" applyAlignment="1">
      <alignment horizontal="center"/>
    </xf>
    <xf numFmtId="0" fontId="0" fillId="46" borderId="62" xfId="0" applyFill="1" applyBorder="1" applyAlignment="1">
      <alignment horizontal="center" vertical="center"/>
    </xf>
    <xf numFmtId="3" fontId="2" fillId="47" borderId="45" xfId="0" applyNumberFormat="1" applyFont="1" applyFill="1" applyBorder="1" applyAlignment="1">
      <alignment horizontal="center" vertical="center"/>
    </xf>
    <xf numFmtId="3" fontId="2" fillId="46" borderId="27" xfId="0" applyNumberFormat="1" applyFont="1" applyFill="1" applyBorder="1" applyAlignment="1">
      <alignment horizontal="center" vertical="center"/>
    </xf>
    <xf numFmtId="3" fontId="2" fillId="46" borderId="16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13" fillId="47" borderId="27" xfId="0" applyNumberFormat="1" applyFont="1" applyFill="1" applyBorder="1" applyAlignment="1">
      <alignment horizontal="center" vertical="center"/>
    </xf>
    <xf numFmtId="3" fontId="2" fillId="46" borderId="58" xfId="0" applyNumberFormat="1" applyFont="1" applyFill="1" applyBorder="1" applyAlignment="1">
      <alignment horizontal="center" vertical="center"/>
    </xf>
    <xf numFmtId="3" fontId="13" fillId="47" borderId="45" xfId="0" applyNumberFormat="1" applyFont="1" applyFill="1" applyBorder="1" applyAlignment="1">
      <alignment horizontal="center" vertical="center"/>
    </xf>
    <xf numFmtId="0" fontId="2" fillId="46" borderId="45" xfId="0" applyFont="1" applyFill="1" applyBorder="1" applyAlignment="1">
      <alignment/>
    </xf>
    <xf numFmtId="3" fontId="79" fillId="0" borderId="0" xfId="0" applyNumberFormat="1" applyFont="1" applyAlignment="1">
      <alignment/>
    </xf>
    <xf numFmtId="0" fontId="13" fillId="0" borderId="25" xfId="0" applyFont="1" applyFill="1" applyBorder="1" applyAlignment="1">
      <alignment/>
    </xf>
    <xf numFmtId="0" fontId="13" fillId="0" borderId="2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46" borderId="16" xfId="0" applyFont="1" applyFill="1" applyBorder="1" applyAlignment="1">
      <alignment horizontal="center"/>
    </xf>
    <xf numFmtId="0" fontId="13" fillId="46" borderId="16" xfId="0" applyFont="1" applyFill="1" applyBorder="1" applyAlignment="1">
      <alignment/>
    </xf>
    <xf numFmtId="0" fontId="13" fillId="0" borderId="46" xfId="0" applyFont="1" applyBorder="1" applyAlignment="1">
      <alignment vertical="center" wrapText="1"/>
    </xf>
    <xf numFmtId="3" fontId="13" fillId="35" borderId="11" xfId="0" applyNumberFormat="1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 wrapText="1"/>
    </xf>
    <xf numFmtId="3" fontId="13" fillId="46" borderId="25" xfId="0" applyNumberFormat="1" applyFont="1" applyFill="1" applyBorder="1" applyAlignment="1">
      <alignment horizontal="right"/>
    </xf>
    <xf numFmtId="0" fontId="13" fillId="46" borderId="25" xfId="0" applyFont="1" applyFill="1" applyBorder="1" applyAlignment="1">
      <alignment horizontal="center"/>
    </xf>
    <xf numFmtId="0" fontId="13" fillId="35" borderId="46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3" fontId="13" fillId="46" borderId="44" xfId="0" applyNumberFormat="1" applyFont="1" applyFill="1" applyBorder="1" applyAlignment="1">
      <alignment horizontal="right"/>
    </xf>
    <xf numFmtId="3" fontId="13" fillId="35" borderId="21" xfId="0" applyNumberFormat="1" applyFont="1" applyFill="1" applyBorder="1" applyAlignment="1">
      <alignment horizontal="right"/>
    </xf>
    <xf numFmtId="0" fontId="13" fillId="35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46" borderId="46" xfId="0" applyFont="1" applyFill="1" applyBorder="1" applyAlignment="1">
      <alignment horizontal="right" vertical="center"/>
    </xf>
    <xf numFmtId="0" fontId="13" fillId="46" borderId="4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46" borderId="46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73" fontId="13" fillId="0" borderId="11" xfId="48" applyNumberFormat="1" applyFont="1" applyBorder="1" applyAlignment="1">
      <alignment vertical="center"/>
    </xf>
    <xf numFmtId="3" fontId="13" fillId="35" borderId="11" xfId="0" applyNumberFormat="1" applyFont="1" applyFill="1" applyBorder="1" applyAlignment="1">
      <alignment horizontal="center" vertical="center"/>
    </xf>
    <xf numFmtId="173" fontId="0" fillId="0" borderId="0" xfId="49" applyNumberFormat="1" applyFont="1" applyAlignment="1">
      <alignment/>
    </xf>
    <xf numFmtId="3" fontId="13" fillId="44" borderId="0" xfId="0" applyNumberFormat="1" applyFont="1" applyFill="1" applyAlignment="1">
      <alignment/>
    </xf>
    <xf numFmtId="3" fontId="13" fillId="44" borderId="0" xfId="0" applyNumberFormat="1" applyFont="1" applyFill="1" applyBorder="1" applyAlignment="1">
      <alignment/>
    </xf>
    <xf numFmtId="3" fontId="80" fillId="44" borderId="0" xfId="0" applyNumberFormat="1" applyFont="1" applyFill="1" applyAlignment="1">
      <alignment/>
    </xf>
    <xf numFmtId="0" fontId="2" fillId="44" borderId="0" xfId="0" applyFont="1" applyFill="1" applyAlignment="1">
      <alignment/>
    </xf>
    <xf numFmtId="3" fontId="81" fillId="0" borderId="0" xfId="0" applyNumberFormat="1" applyFont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3" fontId="13" fillId="44" borderId="11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 wrapText="1"/>
    </xf>
    <xf numFmtId="3" fontId="13" fillId="44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173" fontId="2" fillId="0" borderId="58" xfId="48" applyNumberFormat="1" applyFont="1" applyBorder="1" applyAlignment="1">
      <alignment vertical="center"/>
    </xf>
    <xf numFmtId="173" fontId="2" fillId="0" borderId="10" xfId="48" applyNumberFormat="1" applyFont="1" applyBorder="1" applyAlignment="1">
      <alignment vertical="center"/>
    </xf>
    <xf numFmtId="173" fontId="13" fillId="0" borderId="10" xfId="48" applyNumberFormat="1" applyFont="1" applyBorder="1" applyAlignment="1">
      <alignment vertical="center"/>
    </xf>
    <xf numFmtId="173" fontId="2" fillId="0" borderId="53" xfId="48" applyNumberFormat="1" applyFont="1" applyBorder="1" applyAlignment="1">
      <alignment vertical="center"/>
    </xf>
    <xf numFmtId="173" fontId="13" fillId="0" borderId="44" xfId="48" applyNumberFormat="1" applyFont="1" applyBorder="1" applyAlignment="1">
      <alignment vertical="center"/>
    </xf>
    <xf numFmtId="173" fontId="13" fillId="0" borderId="55" xfId="48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3" fontId="13" fillId="46" borderId="46" xfId="0" applyNumberFormat="1" applyFont="1" applyFill="1" applyBorder="1" applyAlignment="1">
      <alignment horizontal="right"/>
    </xf>
    <xf numFmtId="0" fontId="13" fillId="35" borderId="11" xfId="0" applyFont="1" applyFill="1" applyBorder="1" applyAlignment="1">
      <alignment horizontal="center"/>
    </xf>
    <xf numFmtId="0" fontId="0" fillId="46" borderId="6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3" fillId="44" borderId="10" xfId="0" applyNumberFormat="1" applyFont="1" applyFill="1" applyBorder="1" applyAlignment="1">
      <alignment/>
    </xf>
    <xf numFmtId="3" fontId="13" fillId="47" borderId="11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176" fontId="43" fillId="0" borderId="0" xfId="46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18" fillId="46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46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176" fontId="50" fillId="44" borderId="0" xfId="46" applyNumberFormat="1" applyFont="1" applyFill="1" applyBorder="1" applyAlignment="1">
      <alignment/>
    </xf>
    <xf numFmtId="176" fontId="82" fillId="0" borderId="0" xfId="46" applyNumberFormat="1" applyFont="1" applyFill="1" applyBorder="1" applyAlignment="1">
      <alignment/>
    </xf>
    <xf numFmtId="176" fontId="50" fillId="0" borderId="0" xfId="46" applyNumberFormat="1" applyFont="1" applyFill="1" applyBorder="1" applyAlignment="1">
      <alignment/>
    </xf>
    <xf numFmtId="176" fontId="50" fillId="0" borderId="0" xfId="46" applyNumberFormat="1" applyFont="1" applyFill="1" applyBorder="1" applyAlignment="1">
      <alignment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0" fontId="6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4" borderId="23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3" fillId="0" borderId="64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34" xfId="53" applyFont="1" applyBorder="1" applyAlignment="1">
      <alignment horizontal="center" vertical="center" wrapText="1"/>
      <protection/>
    </xf>
    <xf numFmtId="0" fontId="2" fillId="39" borderId="17" xfId="55" applyFill="1" applyBorder="1" applyAlignment="1">
      <alignment horizontal="center"/>
      <protection/>
    </xf>
    <xf numFmtId="0" fontId="2" fillId="39" borderId="0" xfId="55" applyFill="1" applyBorder="1" applyAlignment="1">
      <alignment horizontal="center"/>
      <protection/>
    </xf>
    <xf numFmtId="0" fontId="70" fillId="43" borderId="17" xfId="54" applyFont="1" applyFill="1" applyBorder="1" applyAlignment="1">
      <alignment horizontal="center"/>
      <protection/>
    </xf>
    <xf numFmtId="0" fontId="70" fillId="43" borderId="0" xfId="54" applyFont="1" applyFill="1" applyBorder="1" applyAlignment="1">
      <alignment horizontal="center"/>
      <protection/>
    </xf>
    <xf numFmtId="0" fontId="2" fillId="42" borderId="17" xfId="54" applyFill="1" applyBorder="1" applyAlignment="1">
      <alignment horizontal="center"/>
      <protection/>
    </xf>
    <xf numFmtId="0" fontId="2" fillId="42" borderId="0" xfId="54" applyFill="1" applyBorder="1" applyAlignment="1">
      <alignment horizontal="center"/>
      <protection/>
    </xf>
    <xf numFmtId="0" fontId="2" fillId="38" borderId="17" xfId="54" applyFont="1" applyFill="1" applyBorder="1" applyAlignment="1">
      <alignment horizontal="center"/>
      <protection/>
    </xf>
    <xf numFmtId="0" fontId="2" fillId="38" borderId="0" xfId="54" applyFont="1" applyFill="1" applyBorder="1" applyAlignment="1">
      <alignment horizontal="center"/>
      <protection/>
    </xf>
    <xf numFmtId="0" fontId="2" fillId="40" borderId="65" xfId="54" applyFill="1" applyBorder="1" applyAlignment="1">
      <alignment horizontal="center"/>
      <protection/>
    </xf>
    <xf numFmtId="0" fontId="2" fillId="40" borderId="0" xfId="54" applyFill="1" applyBorder="1" applyAlignment="1">
      <alignment horizontal="center"/>
      <protection/>
    </xf>
    <xf numFmtId="0" fontId="13" fillId="41" borderId="17" xfId="55" applyFont="1" applyFill="1" applyBorder="1" applyAlignment="1">
      <alignment horizontal="center"/>
      <protection/>
    </xf>
    <xf numFmtId="0" fontId="13" fillId="41" borderId="0" xfId="55" applyFont="1" applyFill="1" applyBorder="1" applyAlignment="1">
      <alignment horizontal="center"/>
      <protection/>
    </xf>
    <xf numFmtId="0" fontId="9" fillId="38" borderId="17" xfId="54" applyFont="1" applyFill="1" applyBorder="1" applyAlignment="1">
      <alignment horizontal="center"/>
      <protection/>
    </xf>
    <xf numFmtId="0" fontId="9" fillId="38" borderId="0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3" fontId="4" fillId="36" borderId="14" xfId="53" applyNumberFormat="1" applyFont="1" applyFill="1" applyBorder="1" applyAlignment="1">
      <alignment horizontal="center" vertical="center" wrapText="1"/>
      <protection/>
    </xf>
    <xf numFmtId="3" fontId="4" fillId="36" borderId="66" xfId="53" applyNumberFormat="1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3" fillId="34" borderId="24" xfId="53" applyFont="1" applyFill="1" applyBorder="1" applyAlignment="1">
      <alignment horizontal="center" vertical="center"/>
      <protection/>
    </xf>
    <xf numFmtId="0" fontId="3" fillId="34" borderId="22" xfId="53" applyFont="1" applyFill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/>
      <protection/>
    </xf>
    <xf numFmtId="0" fontId="4" fillId="0" borderId="67" xfId="53" applyFont="1" applyBorder="1" applyAlignment="1">
      <alignment horizontal="center" vertical="center"/>
      <protection/>
    </xf>
    <xf numFmtId="0" fontId="4" fillId="36" borderId="38" xfId="53" applyFont="1" applyFill="1" applyBorder="1" applyAlignment="1">
      <alignment horizontal="center" vertical="center" wrapText="1"/>
      <protection/>
    </xf>
    <xf numFmtId="0" fontId="4" fillId="36" borderId="29" xfId="53" applyFont="1" applyFill="1" applyBorder="1" applyAlignment="1">
      <alignment horizontal="center" vertical="center" wrapText="1"/>
      <protection/>
    </xf>
    <xf numFmtId="0" fontId="4" fillId="36" borderId="39" xfId="53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68" xfId="53" applyFont="1" applyFill="1" applyBorder="1" applyAlignment="1">
      <alignment horizontal="center" vertical="center" wrapText="1"/>
      <protection/>
    </xf>
    <xf numFmtId="0" fontId="3" fillId="34" borderId="46" xfId="53" applyFont="1" applyFill="1" applyBorder="1" applyAlignment="1">
      <alignment horizontal="center"/>
      <protection/>
    </xf>
    <xf numFmtId="0" fontId="3" fillId="34" borderId="41" xfId="53" applyFont="1" applyFill="1" applyBorder="1" applyAlignment="1">
      <alignment horizontal="center"/>
      <protection/>
    </xf>
    <xf numFmtId="3" fontId="8" fillId="35" borderId="10" xfId="54" applyNumberFormat="1" applyFont="1" applyFill="1" applyBorder="1" applyAlignment="1">
      <alignment horizontal="center" vertical="center" wrapText="1"/>
      <protection/>
    </xf>
    <xf numFmtId="3" fontId="8" fillId="35" borderId="16" xfId="54" applyNumberFormat="1" applyFont="1" applyFill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8" fillId="0" borderId="16" xfId="54" applyNumberFormat="1" applyFont="1" applyBorder="1" applyAlignment="1">
      <alignment horizontal="center" vertical="center" wrapText="1"/>
      <protection/>
    </xf>
    <xf numFmtId="3" fontId="8" fillId="0" borderId="10" xfId="54" applyNumberFormat="1" applyFont="1" applyBorder="1" applyAlignment="1">
      <alignment horizontal="center" vertical="center"/>
      <protection/>
    </xf>
    <xf numFmtId="3" fontId="8" fillId="0" borderId="21" xfId="54" applyNumberFormat="1" applyFont="1" applyBorder="1" applyAlignment="1">
      <alignment horizontal="center" vertical="center"/>
      <protection/>
    </xf>
    <xf numFmtId="3" fontId="8" fillId="0" borderId="43" xfId="54" applyNumberFormat="1" applyFont="1" applyBorder="1" applyAlignment="1">
      <alignment horizontal="center" vertical="center"/>
      <protection/>
    </xf>
    <xf numFmtId="3" fontId="8" fillId="0" borderId="42" xfId="54" applyNumberFormat="1" applyFont="1" applyBorder="1" applyAlignment="1">
      <alignment horizontal="center" vertical="center"/>
      <protection/>
    </xf>
    <xf numFmtId="0" fontId="8" fillId="40" borderId="65" xfId="54" applyFont="1" applyFill="1" applyBorder="1" applyAlignment="1">
      <alignment horizontal="center" vertical="center" wrapText="1"/>
      <protection/>
    </xf>
    <xf numFmtId="0" fontId="8" fillId="40" borderId="0" xfId="54" applyFont="1" applyFill="1" applyBorder="1" applyAlignment="1">
      <alignment horizontal="center" vertical="center" wrapText="1"/>
      <protection/>
    </xf>
    <xf numFmtId="0" fontId="2" fillId="45" borderId="43" xfId="54" applyFill="1" applyBorder="1" applyAlignment="1">
      <alignment horizontal="center"/>
      <protection/>
    </xf>
    <xf numFmtId="0" fontId="2" fillId="45" borderId="14" xfId="54" applyFill="1" applyBorder="1" applyAlignment="1">
      <alignment horizontal="center"/>
      <protection/>
    </xf>
    <xf numFmtId="0" fontId="2" fillId="40" borderId="17" xfId="55" applyFont="1" applyFill="1" applyBorder="1" applyAlignment="1">
      <alignment horizontal="center"/>
      <protection/>
    </xf>
    <xf numFmtId="0" fontId="2" fillId="40" borderId="0" xfId="55" applyFont="1" applyFill="1" applyBorder="1" applyAlignment="1">
      <alignment horizontal="center"/>
      <protection/>
    </xf>
    <xf numFmtId="0" fontId="8" fillId="39" borderId="17" xfId="54" applyFont="1" applyFill="1" applyBorder="1" applyAlignment="1">
      <alignment horizontal="center"/>
      <protection/>
    </xf>
    <xf numFmtId="0" fontId="8" fillId="39" borderId="0" xfId="54" applyFont="1" applyFill="1" applyBorder="1" applyAlignment="1">
      <alignment horizontal="center"/>
      <protection/>
    </xf>
    <xf numFmtId="0" fontId="8" fillId="37" borderId="17" xfId="54" applyFont="1" applyFill="1" applyBorder="1" applyAlignment="1">
      <alignment horizontal="center"/>
      <protection/>
    </xf>
    <xf numFmtId="0" fontId="8" fillId="37" borderId="0" xfId="54" applyFont="1" applyFill="1" applyBorder="1" applyAlignment="1">
      <alignment horizontal="center"/>
      <protection/>
    </xf>
    <xf numFmtId="0" fontId="8" fillId="0" borderId="43" xfId="54" applyFont="1" applyBorder="1" applyAlignment="1">
      <alignment horizontal="center" vertical="center"/>
      <protection/>
    </xf>
    <xf numFmtId="0" fontId="8" fillId="0" borderId="17" xfId="54" applyFont="1" applyBorder="1" applyAlignment="1">
      <alignment horizontal="center" vertical="center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3" fontId="11" fillId="0" borderId="10" xfId="54" applyNumberFormat="1" applyFont="1" applyFill="1" applyBorder="1" applyAlignment="1">
      <alignment horizontal="center" vertical="center" wrapText="1"/>
      <protection/>
    </xf>
    <xf numFmtId="3" fontId="11" fillId="0" borderId="16" xfId="54" applyNumberFormat="1" applyFont="1" applyFill="1" applyBorder="1" applyAlignment="1">
      <alignment horizontal="center" vertical="center" wrapText="1"/>
      <protection/>
    </xf>
    <xf numFmtId="3" fontId="11" fillId="33" borderId="10" xfId="54" applyNumberFormat="1" applyFont="1" applyFill="1" applyBorder="1" applyAlignment="1">
      <alignment horizontal="center" vertical="center" wrapText="1"/>
      <protection/>
    </xf>
    <xf numFmtId="3" fontId="11" fillId="33" borderId="16" xfId="54" applyNumberFormat="1" applyFont="1" applyFill="1" applyBorder="1" applyAlignment="1">
      <alignment horizontal="center" vertical="center" wrapText="1"/>
      <protection/>
    </xf>
    <xf numFmtId="0" fontId="0" fillId="0" borderId="6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textRotation="90"/>
    </xf>
    <xf numFmtId="0" fontId="13" fillId="35" borderId="46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3" fontId="13" fillId="35" borderId="46" xfId="0" applyNumberFormat="1" applyFont="1" applyFill="1" applyBorder="1" applyAlignment="1">
      <alignment horizontal="center"/>
    </xf>
    <xf numFmtId="3" fontId="13" fillId="35" borderId="16" xfId="0" applyNumberFormat="1" applyFont="1" applyFill="1" applyBorder="1" applyAlignment="1">
      <alignment horizontal="center"/>
    </xf>
    <xf numFmtId="3" fontId="13" fillId="35" borderId="25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 vertical="center"/>
    </xf>
    <xf numFmtId="3" fontId="13" fillId="34" borderId="16" xfId="0" applyNumberFormat="1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13" fillId="35" borderId="46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3" fontId="2" fillId="35" borderId="46" xfId="0" applyNumberFormat="1" applyFont="1" applyFill="1" applyBorder="1" applyAlignment="1">
      <alignment horizontal="right" vertical="center"/>
    </xf>
    <xf numFmtId="3" fontId="2" fillId="35" borderId="16" xfId="0" applyNumberFormat="1" applyFont="1" applyFill="1" applyBorder="1" applyAlignment="1">
      <alignment horizontal="right" vertical="center"/>
    </xf>
    <xf numFmtId="3" fontId="2" fillId="35" borderId="25" xfId="0" applyNumberFormat="1" applyFont="1" applyFill="1" applyBorder="1" applyAlignment="1">
      <alignment horizontal="right" vertical="center"/>
    </xf>
    <xf numFmtId="0" fontId="43" fillId="35" borderId="46" xfId="0" applyFont="1" applyFill="1" applyBorder="1" applyAlignment="1">
      <alignment horizontal="center" vertical="top" wrapText="1"/>
    </xf>
    <xf numFmtId="0" fontId="43" fillId="35" borderId="16" xfId="0" applyFont="1" applyFill="1" applyBorder="1" applyAlignment="1">
      <alignment horizontal="center" vertical="top" wrapText="1"/>
    </xf>
    <xf numFmtId="0" fontId="43" fillId="35" borderId="25" xfId="0" applyFont="1" applyFill="1" applyBorder="1" applyAlignment="1">
      <alignment horizontal="center" vertical="top" wrapText="1"/>
    </xf>
    <xf numFmtId="0" fontId="13" fillId="35" borderId="16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4" borderId="69" xfId="0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/>
    </xf>
    <xf numFmtId="0" fontId="13" fillId="34" borderId="70" xfId="0" applyFont="1" applyFill="1" applyBorder="1" applyAlignment="1">
      <alignment horizontal="center" vertical="center"/>
    </xf>
    <xf numFmtId="0" fontId="13" fillId="34" borderId="71" xfId="0" applyFont="1" applyFill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3" fillId="34" borderId="0" xfId="0" applyFont="1" applyFill="1" applyAlignment="1">
      <alignment horizontal="center"/>
    </xf>
    <xf numFmtId="0" fontId="13" fillId="34" borderId="50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13" fillId="34" borderId="62" xfId="0" applyFont="1" applyFill="1" applyBorder="1" applyAlignment="1">
      <alignment horizontal="center"/>
    </xf>
    <xf numFmtId="0" fontId="0" fillId="34" borderId="69" xfId="0" applyFill="1" applyBorder="1" applyAlignment="1">
      <alignment horizontal="center" vertical="center"/>
    </xf>
    <xf numFmtId="0" fontId="0" fillId="34" borderId="72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13" fillId="34" borderId="72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wrapText="1"/>
    </xf>
    <xf numFmtId="0" fontId="13" fillId="34" borderId="62" xfId="0" applyFont="1" applyFill="1" applyBorder="1" applyAlignment="1">
      <alignment wrapText="1"/>
    </xf>
    <xf numFmtId="0" fontId="13" fillId="34" borderId="54" xfId="0" applyFont="1" applyFill="1" applyBorder="1" applyAlignment="1">
      <alignment wrapText="1"/>
    </xf>
    <xf numFmtId="0" fontId="0" fillId="34" borderId="69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13" fillId="34" borderId="54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Millares 4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view="pageBreakPreview" zoomScale="64" zoomScaleNormal="60" zoomScaleSheetLayoutView="64" zoomScalePageLayoutView="0" workbookViewId="0" topLeftCell="A178">
      <selection activeCell="F134" sqref="F134"/>
    </sheetView>
  </sheetViews>
  <sheetFormatPr defaultColWidth="11.421875" defaultRowHeight="15"/>
  <cols>
    <col min="1" max="1" width="23.57421875" style="0" customWidth="1"/>
    <col min="2" max="2" width="16.421875" style="0" customWidth="1"/>
    <col min="10" max="14" width="11.421875" style="0" hidden="1" customWidth="1"/>
    <col min="18" max="18" width="14.140625" style="0" bestFit="1" customWidth="1"/>
  </cols>
  <sheetData>
    <row r="1" spans="1:18" ht="15" customHeight="1">
      <c r="A1" s="776" t="s">
        <v>0</v>
      </c>
      <c r="B1" s="772" t="s">
        <v>1</v>
      </c>
      <c r="C1" s="772"/>
      <c r="D1" s="773" t="s">
        <v>2</v>
      </c>
      <c r="E1" s="774"/>
      <c r="F1" s="774"/>
      <c r="G1" s="774"/>
      <c r="H1" s="774"/>
      <c r="I1" s="775"/>
      <c r="J1" s="770" t="s">
        <v>3</v>
      </c>
      <c r="K1" s="807" t="s">
        <v>4</v>
      </c>
      <c r="L1" s="808"/>
      <c r="M1" s="63"/>
      <c r="N1" s="800" t="s">
        <v>5</v>
      </c>
      <c r="O1" s="770" t="s">
        <v>64</v>
      </c>
      <c r="P1" s="796" t="s">
        <v>4</v>
      </c>
      <c r="Q1" s="797"/>
      <c r="R1" s="798" t="s">
        <v>5</v>
      </c>
    </row>
    <row r="2" spans="1:18" ht="36.75" thickBot="1">
      <c r="A2" s="777"/>
      <c r="B2" s="62" t="s">
        <v>6</v>
      </c>
      <c r="C2" s="62" t="s">
        <v>7</v>
      </c>
      <c r="D2" s="1"/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J2" s="771"/>
      <c r="K2" s="60" t="s">
        <v>13</v>
      </c>
      <c r="L2" s="4" t="s">
        <v>14</v>
      </c>
      <c r="M2" s="5" t="s">
        <v>63</v>
      </c>
      <c r="N2" s="801"/>
      <c r="O2" s="795"/>
      <c r="P2" s="60" t="s">
        <v>13</v>
      </c>
      <c r="Q2" s="60" t="s">
        <v>14</v>
      </c>
      <c r="R2" s="799"/>
    </row>
    <row r="3" spans="1:18" ht="15">
      <c r="A3" s="64"/>
      <c r="B3" s="6"/>
      <c r="C3" s="6"/>
      <c r="D3" s="7"/>
      <c r="E3" s="8"/>
      <c r="F3" s="8"/>
      <c r="G3" s="8"/>
      <c r="H3" s="8"/>
      <c r="I3" s="9"/>
      <c r="J3" s="10"/>
      <c r="K3" s="11"/>
      <c r="L3" s="12"/>
      <c r="M3" s="12"/>
      <c r="N3" s="11"/>
      <c r="O3" s="13"/>
      <c r="P3" s="60"/>
      <c r="Q3" s="60"/>
      <c r="R3" s="65"/>
    </row>
    <row r="4" spans="1:18" ht="108">
      <c r="A4" s="66" t="s">
        <v>15</v>
      </c>
      <c r="B4" s="14" t="s">
        <v>16</v>
      </c>
      <c r="C4" s="15">
        <v>1500</v>
      </c>
      <c r="D4" s="16"/>
      <c r="E4" s="17">
        <v>1750</v>
      </c>
      <c r="F4" s="17">
        <v>2000</v>
      </c>
      <c r="G4" s="17">
        <v>2250</v>
      </c>
      <c r="H4" s="17">
        <v>2500</v>
      </c>
      <c r="I4" s="18" t="s">
        <v>17</v>
      </c>
      <c r="J4" s="19">
        <v>0</v>
      </c>
      <c r="K4" s="19">
        <v>2500</v>
      </c>
      <c r="L4" s="19">
        <v>2500</v>
      </c>
      <c r="M4" s="19">
        <v>2700</v>
      </c>
      <c r="N4" s="19" t="s">
        <v>18</v>
      </c>
      <c r="O4" s="59">
        <v>2500</v>
      </c>
      <c r="P4" s="19">
        <v>2700</v>
      </c>
      <c r="Q4" s="19">
        <v>0</v>
      </c>
      <c r="R4" s="67"/>
    </row>
    <row r="5" spans="1:18" ht="108">
      <c r="A5" s="68" t="s">
        <v>19</v>
      </c>
      <c r="B5" s="20" t="s">
        <v>16</v>
      </c>
      <c r="C5" s="21">
        <v>2800</v>
      </c>
      <c r="D5" s="22"/>
      <c r="E5" s="21">
        <v>3300</v>
      </c>
      <c r="F5" s="21">
        <v>3800</v>
      </c>
      <c r="G5" s="21">
        <v>4300</v>
      </c>
      <c r="H5" s="21">
        <v>4795</v>
      </c>
      <c r="I5" s="23" t="s">
        <v>17</v>
      </c>
      <c r="J5" s="24"/>
      <c r="K5" s="24">
        <v>2800</v>
      </c>
      <c r="L5" s="25">
        <v>4300</v>
      </c>
      <c r="M5" s="25">
        <v>0</v>
      </c>
      <c r="N5" s="26"/>
      <c r="O5" s="21">
        <v>4795</v>
      </c>
      <c r="P5" s="19">
        <v>0</v>
      </c>
      <c r="Q5" s="21">
        <v>4795</v>
      </c>
      <c r="R5" s="67"/>
    </row>
    <row r="6" spans="1:18" ht="15">
      <c r="A6" s="69"/>
      <c r="B6" s="27"/>
      <c r="C6" s="27"/>
      <c r="D6" s="27"/>
      <c r="E6" s="27"/>
      <c r="F6" s="27"/>
      <c r="G6" s="27"/>
      <c r="H6" s="27"/>
      <c r="I6" s="28"/>
      <c r="J6" s="28"/>
      <c r="K6" s="28"/>
      <c r="L6" s="27"/>
      <c r="M6" s="805"/>
      <c r="N6" s="805"/>
      <c r="O6" s="805"/>
      <c r="P6" s="805"/>
      <c r="Q6" s="805"/>
      <c r="R6" s="806"/>
    </row>
    <row r="7" spans="1:18" ht="90.75" customHeight="1">
      <c r="A7" s="70" t="s">
        <v>20</v>
      </c>
      <c r="B7" s="29" t="s">
        <v>21</v>
      </c>
      <c r="C7" s="15">
        <v>0</v>
      </c>
      <c r="D7" s="30"/>
      <c r="E7" s="31">
        <v>0.25</v>
      </c>
      <c r="F7" s="31">
        <v>0.5</v>
      </c>
      <c r="G7" s="31">
        <v>0.75</v>
      </c>
      <c r="H7" s="31">
        <v>1</v>
      </c>
      <c r="I7" s="32"/>
      <c r="J7" s="33">
        <v>0.25</v>
      </c>
      <c r="K7" s="61">
        <v>0</v>
      </c>
      <c r="L7" s="33">
        <v>0.25</v>
      </c>
      <c r="M7" s="33">
        <v>0.5</v>
      </c>
      <c r="N7" s="34"/>
      <c r="O7" s="19">
        <v>1</v>
      </c>
      <c r="P7" s="33">
        <v>0.5</v>
      </c>
      <c r="Q7" s="33">
        <v>0.5</v>
      </c>
      <c r="R7" s="67"/>
    </row>
    <row r="8" spans="1:18" ht="96">
      <c r="A8" s="70" t="s">
        <v>22</v>
      </c>
      <c r="B8" s="29" t="s">
        <v>23</v>
      </c>
      <c r="C8" s="15">
        <v>200</v>
      </c>
      <c r="D8" s="30"/>
      <c r="E8" s="15">
        <v>225</v>
      </c>
      <c r="F8" s="15">
        <v>250</v>
      </c>
      <c r="G8" s="15">
        <v>275</v>
      </c>
      <c r="H8" s="15">
        <v>300</v>
      </c>
      <c r="I8" s="32"/>
      <c r="J8" s="61">
        <v>25</v>
      </c>
      <c r="K8" s="61">
        <v>200</v>
      </c>
      <c r="L8" s="61">
        <v>275</v>
      </c>
      <c r="M8" s="61">
        <v>285</v>
      </c>
      <c r="N8" s="34"/>
      <c r="O8" s="19">
        <v>300</v>
      </c>
      <c r="P8" s="61">
        <v>200</v>
      </c>
      <c r="Q8" s="61">
        <v>15</v>
      </c>
      <c r="R8" s="67"/>
    </row>
    <row r="9" spans="1:18" ht="136.5" customHeight="1">
      <c r="A9" s="70" t="s">
        <v>24</v>
      </c>
      <c r="B9" s="29" t="s">
        <v>25</v>
      </c>
      <c r="C9" s="15">
        <v>3</v>
      </c>
      <c r="D9" s="30"/>
      <c r="E9" s="15">
        <v>4</v>
      </c>
      <c r="F9" s="15">
        <v>5</v>
      </c>
      <c r="G9" s="15"/>
      <c r="H9" s="15"/>
      <c r="I9" s="32"/>
      <c r="J9" s="19">
        <v>1</v>
      </c>
      <c r="K9" s="19">
        <v>3</v>
      </c>
      <c r="L9" s="19">
        <v>4</v>
      </c>
      <c r="M9" s="19">
        <v>4</v>
      </c>
      <c r="N9" s="34"/>
      <c r="O9" s="19" t="s">
        <v>68</v>
      </c>
      <c r="P9" s="19">
        <v>5</v>
      </c>
      <c r="Q9" s="19">
        <v>0</v>
      </c>
      <c r="R9" s="71"/>
    </row>
    <row r="10" spans="1:18" ht="111" customHeight="1">
      <c r="A10" s="70" t="s">
        <v>26</v>
      </c>
      <c r="B10" s="29" t="s">
        <v>27</v>
      </c>
      <c r="C10" s="15"/>
      <c r="D10" s="30"/>
      <c r="E10" s="15">
        <v>6</v>
      </c>
      <c r="F10" s="15">
        <v>6</v>
      </c>
      <c r="G10" s="15">
        <v>6</v>
      </c>
      <c r="H10" s="15">
        <v>6</v>
      </c>
      <c r="I10" s="32"/>
      <c r="J10" s="19">
        <v>6</v>
      </c>
      <c r="K10" s="19">
        <v>0</v>
      </c>
      <c r="L10" s="19">
        <v>6</v>
      </c>
      <c r="M10" s="19">
        <v>6</v>
      </c>
      <c r="N10" s="35">
        <v>1</v>
      </c>
      <c r="O10" s="19">
        <v>6</v>
      </c>
      <c r="P10" s="19">
        <v>6</v>
      </c>
      <c r="Q10" s="19">
        <v>0</v>
      </c>
      <c r="R10" s="67"/>
    </row>
    <row r="11" spans="1:18" ht="15.75" thickBot="1">
      <c r="A11" s="802"/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4"/>
    </row>
    <row r="12" spans="1:18" ht="79.5" customHeight="1">
      <c r="A12" s="72" t="s">
        <v>28</v>
      </c>
      <c r="B12" s="73" t="s">
        <v>29</v>
      </c>
      <c r="C12" s="43">
        <v>100</v>
      </c>
      <c r="D12" s="42"/>
      <c r="E12" s="43">
        <v>125</v>
      </c>
      <c r="F12" s="43">
        <v>150</v>
      </c>
      <c r="G12" s="43">
        <v>175</v>
      </c>
      <c r="H12" s="43">
        <v>200</v>
      </c>
      <c r="I12" s="74"/>
      <c r="J12" s="75">
        <v>25</v>
      </c>
      <c r="K12" s="75">
        <v>100</v>
      </c>
      <c r="L12" s="75">
        <v>125</v>
      </c>
      <c r="M12" s="75">
        <v>200</v>
      </c>
      <c r="N12" s="76"/>
      <c r="O12" s="75">
        <v>200</v>
      </c>
      <c r="P12" s="75">
        <v>300</v>
      </c>
      <c r="Q12" s="75">
        <v>0</v>
      </c>
      <c r="R12" s="77"/>
    </row>
    <row r="13" spans="1:18" ht="132.75" customHeight="1">
      <c r="A13" s="70" t="s">
        <v>30</v>
      </c>
      <c r="B13" s="29" t="s">
        <v>31</v>
      </c>
      <c r="C13" s="15">
        <v>0</v>
      </c>
      <c r="D13" s="30"/>
      <c r="E13" s="15">
        <v>300</v>
      </c>
      <c r="F13" s="15">
        <v>400</v>
      </c>
      <c r="G13" s="15">
        <v>700</v>
      </c>
      <c r="H13" s="15">
        <v>1000</v>
      </c>
      <c r="I13" s="32"/>
      <c r="J13" s="19">
        <v>300</v>
      </c>
      <c r="K13" s="19">
        <v>0</v>
      </c>
      <c r="L13" s="19">
        <v>300</v>
      </c>
      <c r="M13" s="19">
        <v>300</v>
      </c>
      <c r="N13" s="34"/>
      <c r="O13" s="19">
        <v>1000</v>
      </c>
      <c r="P13" s="15">
        <v>300</v>
      </c>
      <c r="Q13" s="15">
        <v>700</v>
      </c>
      <c r="R13" s="67"/>
    </row>
    <row r="14" spans="1:18" ht="99" customHeight="1">
      <c r="A14" s="70" t="s">
        <v>32</v>
      </c>
      <c r="B14" s="29" t="s">
        <v>33</v>
      </c>
      <c r="C14" s="15">
        <v>0</v>
      </c>
      <c r="D14" s="30"/>
      <c r="E14" s="15">
        <v>100</v>
      </c>
      <c r="F14" s="15">
        <v>240</v>
      </c>
      <c r="G14" s="15">
        <v>370</v>
      </c>
      <c r="H14" s="15">
        <v>500</v>
      </c>
      <c r="I14" s="32"/>
      <c r="J14" s="19">
        <v>100</v>
      </c>
      <c r="K14" s="19">
        <v>0</v>
      </c>
      <c r="L14" s="19">
        <v>100</v>
      </c>
      <c r="M14" s="19">
        <v>0</v>
      </c>
      <c r="N14" s="19">
        <v>0</v>
      </c>
      <c r="O14" s="19">
        <v>500</v>
      </c>
      <c r="P14" s="15">
        <v>0</v>
      </c>
      <c r="Q14" s="15">
        <v>500</v>
      </c>
      <c r="R14" s="67"/>
    </row>
    <row r="15" spans="1:18" ht="157.5" customHeight="1">
      <c r="A15" s="70" t="s">
        <v>34</v>
      </c>
      <c r="B15" s="29" t="s">
        <v>35</v>
      </c>
      <c r="C15" s="15">
        <v>0</v>
      </c>
      <c r="D15" s="30"/>
      <c r="E15" s="15">
        <v>100</v>
      </c>
      <c r="F15" s="15">
        <v>120</v>
      </c>
      <c r="G15" s="15">
        <v>160</v>
      </c>
      <c r="H15" s="15">
        <v>200</v>
      </c>
      <c r="I15" s="32"/>
      <c r="J15" s="19">
        <v>100</v>
      </c>
      <c r="K15" s="19">
        <v>0</v>
      </c>
      <c r="L15" s="19">
        <v>160</v>
      </c>
      <c r="M15" s="19">
        <v>190</v>
      </c>
      <c r="N15" s="34"/>
      <c r="O15" s="19">
        <v>200</v>
      </c>
      <c r="P15" s="19">
        <v>190</v>
      </c>
      <c r="Q15" s="19">
        <v>10</v>
      </c>
      <c r="R15" s="67"/>
    </row>
    <row r="16" spans="1:18" ht="126" customHeight="1">
      <c r="A16" s="70" t="s">
        <v>36</v>
      </c>
      <c r="B16" s="29" t="s">
        <v>37</v>
      </c>
      <c r="C16" s="15"/>
      <c r="D16" s="30"/>
      <c r="E16" s="15">
        <v>400</v>
      </c>
      <c r="F16" s="15">
        <v>500</v>
      </c>
      <c r="G16" s="15">
        <v>1300</v>
      </c>
      <c r="H16" s="15">
        <v>1500</v>
      </c>
      <c r="I16" s="32"/>
      <c r="J16" s="19">
        <v>400</v>
      </c>
      <c r="K16" s="19">
        <v>0</v>
      </c>
      <c r="L16" s="19">
        <v>400</v>
      </c>
      <c r="M16" s="19">
        <v>500</v>
      </c>
      <c r="N16" s="34"/>
      <c r="O16" s="19">
        <v>1500</v>
      </c>
      <c r="P16" s="19">
        <v>800</v>
      </c>
      <c r="Q16" s="19">
        <v>700</v>
      </c>
      <c r="R16" s="67"/>
    </row>
    <row r="17" spans="1:18" ht="67.5" customHeight="1">
      <c r="A17" s="70" t="s">
        <v>38</v>
      </c>
      <c r="B17" s="29" t="s">
        <v>39</v>
      </c>
      <c r="C17" s="15"/>
      <c r="D17" s="30"/>
      <c r="E17" s="15">
        <v>3</v>
      </c>
      <c r="F17" s="15">
        <v>6</v>
      </c>
      <c r="G17" s="15">
        <v>9</v>
      </c>
      <c r="H17" s="15">
        <v>12</v>
      </c>
      <c r="I17" s="32"/>
      <c r="J17" s="19">
        <v>3</v>
      </c>
      <c r="K17" s="19">
        <v>0</v>
      </c>
      <c r="L17" s="19">
        <v>3</v>
      </c>
      <c r="M17" s="19">
        <v>3</v>
      </c>
      <c r="N17" s="34"/>
      <c r="O17" s="19">
        <v>12</v>
      </c>
      <c r="P17" s="19">
        <v>3</v>
      </c>
      <c r="Q17" s="19">
        <v>9</v>
      </c>
      <c r="R17" s="67"/>
    </row>
    <row r="18" spans="1:18" ht="105.75" customHeight="1" thickBot="1">
      <c r="A18" s="78" t="s">
        <v>40</v>
      </c>
      <c r="B18" s="79" t="s">
        <v>41</v>
      </c>
      <c r="C18" s="80"/>
      <c r="D18" s="56"/>
      <c r="E18" s="80">
        <v>6</v>
      </c>
      <c r="F18" s="80">
        <v>6</v>
      </c>
      <c r="G18" s="80">
        <v>6</v>
      </c>
      <c r="H18" s="80">
        <v>6</v>
      </c>
      <c r="I18" s="81"/>
      <c r="J18" s="82">
        <v>6</v>
      </c>
      <c r="K18" s="82">
        <v>0</v>
      </c>
      <c r="L18" s="82">
        <v>6</v>
      </c>
      <c r="M18" s="82">
        <v>6</v>
      </c>
      <c r="N18" s="83"/>
      <c r="O18" s="82">
        <v>6</v>
      </c>
      <c r="P18" s="82">
        <v>6</v>
      </c>
      <c r="Q18" s="82">
        <v>0</v>
      </c>
      <c r="R18" s="84"/>
    </row>
    <row r="19" spans="1:18" ht="96.75" customHeight="1">
      <c r="A19" s="72" t="s">
        <v>42</v>
      </c>
      <c r="B19" s="73" t="s">
        <v>43</v>
      </c>
      <c r="C19" s="43">
        <v>0</v>
      </c>
      <c r="D19" s="42"/>
      <c r="E19" s="43">
        <v>50</v>
      </c>
      <c r="F19" s="43">
        <v>20</v>
      </c>
      <c r="G19" s="43">
        <v>200</v>
      </c>
      <c r="H19" s="43">
        <v>400</v>
      </c>
      <c r="I19" s="74"/>
      <c r="J19" s="75">
        <v>50</v>
      </c>
      <c r="K19" s="75">
        <v>0</v>
      </c>
      <c r="L19" s="75">
        <v>50</v>
      </c>
      <c r="M19" s="75">
        <v>100</v>
      </c>
      <c r="N19" s="76"/>
      <c r="O19" s="75">
        <v>400</v>
      </c>
      <c r="P19" s="75">
        <v>400</v>
      </c>
      <c r="Q19" s="75">
        <v>0</v>
      </c>
      <c r="R19" s="77"/>
    </row>
    <row r="20" spans="1:18" ht="132" customHeight="1">
      <c r="A20" s="70" t="s">
        <v>44</v>
      </c>
      <c r="B20" s="29" t="s">
        <v>45</v>
      </c>
      <c r="C20" s="15">
        <v>0</v>
      </c>
      <c r="D20" s="30"/>
      <c r="E20" s="15">
        <v>100</v>
      </c>
      <c r="F20" s="15">
        <v>200</v>
      </c>
      <c r="G20" s="15">
        <v>600</v>
      </c>
      <c r="H20" s="15">
        <v>1000</v>
      </c>
      <c r="I20" s="32"/>
      <c r="J20" s="19">
        <v>100</v>
      </c>
      <c r="K20" s="19">
        <v>0</v>
      </c>
      <c r="L20" s="19">
        <v>100</v>
      </c>
      <c r="M20" s="19">
        <v>100</v>
      </c>
      <c r="N20" s="34"/>
      <c r="O20" s="15">
        <v>1000</v>
      </c>
      <c r="P20" s="19">
        <v>500</v>
      </c>
      <c r="Q20" s="19">
        <v>500</v>
      </c>
      <c r="R20" s="67"/>
    </row>
    <row r="21" spans="1:18" ht="15.75" thickBot="1">
      <c r="A21" s="85"/>
      <c r="B21" s="36"/>
      <c r="C21" s="37"/>
      <c r="D21" s="38"/>
      <c r="E21" s="37"/>
      <c r="F21" s="37"/>
      <c r="G21" s="37"/>
      <c r="H21" s="37"/>
      <c r="I21" s="39"/>
      <c r="J21" s="37"/>
      <c r="K21" s="37"/>
      <c r="L21" s="37"/>
      <c r="M21" s="793"/>
      <c r="N21" s="793"/>
      <c r="O21" s="793"/>
      <c r="P21" s="793"/>
      <c r="Q21" s="793"/>
      <c r="R21" s="794"/>
    </row>
    <row r="22" spans="1:18" ht="169.5" customHeight="1">
      <c r="A22" s="72" t="s">
        <v>46</v>
      </c>
      <c r="B22" s="40" t="s">
        <v>47</v>
      </c>
      <c r="C22" s="41"/>
      <c r="D22" s="42"/>
      <c r="E22" s="43">
        <v>3</v>
      </c>
      <c r="F22" s="43">
        <v>6</v>
      </c>
      <c r="G22" s="43">
        <v>9</v>
      </c>
      <c r="H22" s="44">
        <v>10</v>
      </c>
      <c r="I22" s="32"/>
      <c r="J22" s="45">
        <v>3</v>
      </c>
      <c r="K22" s="19">
        <v>0</v>
      </c>
      <c r="L22" s="19">
        <v>3</v>
      </c>
      <c r="M22" s="19">
        <v>5</v>
      </c>
      <c r="N22" s="34"/>
      <c r="O22" s="15">
        <v>10</v>
      </c>
      <c r="P22" s="19">
        <v>7</v>
      </c>
      <c r="Q22" s="19">
        <v>3</v>
      </c>
      <c r="R22" s="67"/>
    </row>
    <row r="23" spans="1:18" ht="170.25" customHeight="1">
      <c r="A23" s="70" t="s">
        <v>48</v>
      </c>
      <c r="B23" s="46" t="s">
        <v>49</v>
      </c>
      <c r="C23" s="47"/>
      <c r="D23" s="30"/>
      <c r="E23" s="15">
        <v>1</v>
      </c>
      <c r="F23" s="15">
        <v>2</v>
      </c>
      <c r="G23" s="15">
        <v>3</v>
      </c>
      <c r="H23" s="48">
        <v>4</v>
      </c>
      <c r="I23" s="32"/>
      <c r="J23" s="49">
        <v>1</v>
      </c>
      <c r="K23" s="49">
        <v>0</v>
      </c>
      <c r="L23" s="50">
        <v>1</v>
      </c>
      <c r="M23" s="50">
        <v>1</v>
      </c>
      <c r="N23" s="34"/>
      <c r="O23" s="15">
        <v>4</v>
      </c>
      <c r="P23" s="19">
        <v>3</v>
      </c>
      <c r="Q23" s="19">
        <v>1</v>
      </c>
      <c r="R23" s="67"/>
    </row>
    <row r="24" spans="1:18" ht="52.5" customHeight="1">
      <c r="A24" s="70" t="s">
        <v>50</v>
      </c>
      <c r="B24" s="46" t="s">
        <v>51</v>
      </c>
      <c r="C24" s="47">
        <v>0</v>
      </c>
      <c r="D24" s="30"/>
      <c r="E24" s="15">
        <v>1</v>
      </c>
      <c r="F24" s="15">
        <v>1</v>
      </c>
      <c r="G24" s="15">
        <v>1</v>
      </c>
      <c r="H24" s="48">
        <v>1</v>
      </c>
      <c r="I24" s="32"/>
      <c r="J24" s="49">
        <v>1</v>
      </c>
      <c r="K24" s="49">
        <v>0</v>
      </c>
      <c r="L24" s="50">
        <v>1</v>
      </c>
      <c r="M24" s="50">
        <v>1</v>
      </c>
      <c r="N24" s="57"/>
      <c r="O24" s="15">
        <v>1</v>
      </c>
      <c r="P24" s="50">
        <v>1</v>
      </c>
      <c r="Q24" s="19">
        <v>1</v>
      </c>
      <c r="R24" s="71"/>
    </row>
    <row r="25" spans="1:18" ht="152.25" customHeight="1" thickBot="1">
      <c r="A25" s="78" t="s">
        <v>52</v>
      </c>
      <c r="B25" s="54" t="s">
        <v>53</v>
      </c>
      <c r="C25" s="55"/>
      <c r="D25" s="56"/>
      <c r="E25" s="80">
        <v>1</v>
      </c>
      <c r="F25" s="80">
        <v>2</v>
      </c>
      <c r="G25" s="80">
        <v>3</v>
      </c>
      <c r="H25" s="86">
        <v>4</v>
      </c>
      <c r="I25" s="81"/>
      <c r="J25" s="82">
        <v>1</v>
      </c>
      <c r="K25" s="82">
        <v>0</v>
      </c>
      <c r="L25" s="82">
        <v>1</v>
      </c>
      <c r="M25" s="82">
        <v>3</v>
      </c>
      <c r="N25" s="83"/>
      <c r="O25" s="80">
        <v>4</v>
      </c>
      <c r="P25" s="82">
        <v>3</v>
      </c>
      <c r="Q25" s="82">
        <v>1</v>
      </c>
      <c r="R25" s="87"/>
    </row>
    <row r="26" spans="1:18" ht="58.5" customHeight="1">
      <c r="A26" s="72" t="s">
        <v>54</v>
      </c>
      <c r="B26" s="40" t="s">
        <v>55</v>
      </c>
      <c r="C26" s="41">
        <v>0</v>
      </c>
      <c r="D26" s="42"/>
      <c r="E26" s="43">
        <v>1</v>
      </c>
      <c r="F26" s="43">
        <v>1</v>
      </c>
      <c r="G26" s="43">
        <v>1</v>
      </c>
      <c r="H26" s="44">
        <v>1</v>
      </c>
      <c r="I26" s="74"/>
      <c r="J26" s="75">
        <v>1</v>
      </c>
      <c r="K26" s="75">
        <v>0</v>
      </c>
      <c r="L26" s="75">
        <v>1</v>
      </c>
      <c r="M26" s="75">
        <v>1</v>
      </c>
      <c r="N26" s="76"/>
      <c r="O26" s="43">
        <v>1</v>
      </c>
      <c r="P26" s="88">
        <v>1</v>
      </c>
      <c r="Q26" s="75">
        <v>1</v>
      </c>
      <c r="R26" s="89"/>
    </row>
    <row r="27" spans="1:18" ht="176.25" customHeight="1" thickBot="1">
      <c r="A27" s="70" t="s">
        <v>65</v>
      </c>
      <c r="B27" s="46" t="s">
        <v>56</v>
      </c>
      <c r="C27" s="47"/>
      <c r="D27" s="30"/>
      <c r="E27" s="15">
        <v>2</v>
      </c>
      <c r="F27" s="15">
        <v>5</v>
      </c>
      <c r="G27" s="15">
        <v>7</v>
      </c>
      <c r="H27" s="48">
        <v>9</v>
      </c>
      <c r="I27" s="32"/>
      <c r="J27" s="19">
        <v>2</v>
      </c>
      <c r="K27" s="19">
        <v>0</v>
      </c>
      <c r="L27" s="19">
        <v>2</v>
      </c>
      <c r="M27" s="19">
        <v>1</v>
      </c>
      <c r="N27" s="34"/>
      <c r="O27" s="15">
        <v>9</v>
      </c>
      <c r="P27" s="52">
        <v>3</v>
      </c>
      <c r="Q27" s="19">
        <v>6</v>
      </c>
      <c r="R27" s="67"/>
    </row>
    <row r="28" spans="1:18" ht="74.25" customHeight="1" thickBot="1">
      <c r="A28" s="70" t="s">
        <v>66</v>
      </c>
      <c r="B28" s="46" t="s">
        <v>57</v>
      </c>
      <c r="C28" s="47"/>
      <c r="D28" s="30"/>
      <c r="E28" s="15">
        <v>20</v>
      </c>
      <c r="F28" s="15">
        <v>40</v>
      </c>
      <c r="G28" s="15">
        <v>60</v>
      </c>
      <c r="H28" s="48">
        <v>80</v>
      </c>
      <c r="I28" s="32"/>
      <c r="J28" s="51">
        <v>20</v>
      </c>
      <c r="K28" s="51">
        <v>0</v>
      </c>
      <c r="L28" s="53">
        <v>20</v>
      </c>
      <c r="M28" s="45">
        <v>20</v>
      </c>
      <c r="N28" s="58"/>
      <c r="O28" s="15">
        <v>80</v>
      </c>
      <c r="P28" s="53">
        <v>60</v>
      </c>
      <c r="Q28" s="53">
        <v>20</v>
      </c>
      <c r="R28" s="90"/>
    </row>
    <row r="29" spans="1:18" ht="174.75" customHeight="1" thickBot="1">
      <c r="A29" s="70" t="s">
        <v>58</v>
      </c>
      <c r="B29" s="46" t="s">
        <v>59</v>
      </c>
      <c r="C29" s="47"/>
      <c r="D29" s="30"/>
      <c r="E29" s="15">
        <v>10</v>
      </c>
      <c r="F29" s="15">
        <v>20</v>
      </c>
      <c r="G29" s="15">
        <v>25</v>
      </c>
      <c r="H29" s="48">
        <v>50</v>
      </c>
      <c r="I29" s="32"/>
      <c r="J29" s="51">
        <v>10</v>
      </c>
      <c r="K29" s="51">
        <v>0</v>
      </c>
      <c r="L29" s="53">
        <v>10</v>
      </c>
      <c r="M29" s="50">
        <v>10</v>
      </c>
      <c r="N29" s="34"/>
      <c r="O29" s="15">
        <v>50</v>
      </c>
      <c r="P29" s="53">
        <v>40</v>
      </c>
      <c r="Q29" s="53">
        <v>10</v>
      </c>
      <c r="R29" s="67"/>
    </row>
    <row r="30" spans="1:18" ht="209.25" customHeight="1" thickBot="1">
      <c r="A30" s="70" t="s">
        <v>67</v>
      </c>
      <c r="B30" s="46" t="s">
        <v>60</v>
      </c>
      <c r="C30" s="47"/>
      <c r="D30" s="30"/>
      <c r="E30" s="15">
        <v>1</v>
      </c>
      <c r="F30" s="15">
        <v>2</v>
      </c>
      <c r="G30" s="15">
        <v>3</v>
      </c>
      <c r="H30" s="48"/>
      <c r="I30" s="32"/>
      <c r="J30" s="51">
        <v>1</v>
      </c>
      <c r="K30" s="51">
        <v>0</v>
      </c>
      <c r="L30" s="53">
        <v>1</v>
      </c>
      <c r="M30" s="19">
        <v>1</v>
      </c>
      <c r="N30" s="34"/>
      <c r="O30" s="15">
        <v>1</v>
      </c>
      <c r="P30" s="15">
        <v>1</v>
      </c>
      <c r="Q30" s="15">
        <v>2</v>
      </c>
      <c r="R30" s="67"/>
    </row>
    <row r="31" spans="1:18" ht="96.75" customHeight="1" thickBot="1">
      <c r="A31" s="78" t="s">
        <v>61</v>
      </c>
      <c r="B31" s="54" t="s">
        <v>62</v>
      </c>
      <c r="C31" s="55"/>
      <c r="D31" s="56"/>
      <c r="E31" s="80">
        <v>1</v>
      </c>
      <c r="F31" s="80">
        <v>3</v>
      </c>
      <c r="G31" s="80">
        <v>5</v>
      </c>
      <c r="H31" s="80">
        <v>7</v>
      </c>
      <c r="I31" s="81"/>
      <c r="J31" s="51">
        <v>1</v>
      </c>
      <c r="K31" s="51">
        <v>0</v>
      </c>
      <c r="L31" s="53">
        <v>1</v>
      </c>
      <c r="M31" s="82">
        <v>6</v>
      </c>
      <c r="N31" s="83"/>
      <c r="O31" s="80">
        <v>6</v>
      </c>
      <c r="P31" s="80">
        <v>6</v>
      </c>
      <c r="Q31" s="80">
        <v>1</v>
      </c>
      <c r="R31" s="84"/>
    </row>
    <row r="32" spans="1:18" ht="45">
      <c r="A32" s="91" t="s">
        <v>69</v>
      </c>
      <c r="B32" s="91" t="s">
        <v>70</v>
      </c>
      <c r="C32" s="92">
        <v>24894</v>
      </c>
      <c r="D32" s="93">
        <v>24894</v>
      </c>
      <c r="E32" s="94"/>
      <c r="F32" s="95"/>
      <c r="G32" s="95"/>
      <c r="H32" s="96"/>
      <c r="I32" s="97"/>
      <c r="O32" s="98">
        <v>24894</v>
      </c>
      <c r="P32" s="98">
        <v>24894</v>
      </c>
      <c r="Q32" s="99">
        <v>24894</v>
      </c>
      <c r="R32" s="100" t="s">
        <v>71</v>
      </c>
    </row>
    <row r="33" spans="1:18" ht="56.25">
      <c r="A33" s="101" t="s">
        <v>72</v>
      </c>
      <c r="B33" s="92" t="s">
        <v>73</v>
      </c>
      <c r="C33" s="102">
        <v>0</v>
      </c>
      <c r="D33" s="103">
        <v>5766</v>
      </c>
      <c r="E33" s="104"/>
      <c r="F33" s="105"/>
      <c r="G33" s="105"/>
      <c r="H33" s="106"/>
      <c r="I33" s="107"/>
      <c r="O33" s="108">
        <v>5766</v>
      </c>
      <c r="P33" s="108">
        <v>0</v>
      </c>
      <c r="Q33" s="109">
        <v>5766</v>
      </c>
      <c r="R33" s="100" t="s">
        <v>71</v>
      </c>
    </row>
    <row r="34" spans="1:18" ht="56.25">
      <c r="A34" s="110" t="s">
        <v>74</v>
      </c>
      <c r="B34" s="111" t="s">
        <v>75</v>
      </c>
      <c r="C34" s="112">
        <v>3</v>
      </c>
      <c r="D34" s="113"/>
      <c r="E34" s="92"/>
      <c r="F34" s="92"/>
      <c r="G34" s="92"/>
      <c r="H34" s="114">
        <v>24894</v>
      </c>
      <c r="I34" s="113" t="s">
        <v>76</v>
      </c>
      <c r="O34" s="115">
        <v>3</v>
      </c>
      <c r="P34" s="115">
        <v>3</v>
      </c>
      <c r="Q34" s="116">
        <v>3</v>
      </c>
      <c r="R34" s="100" t="s">
        <v>71</v>
      </c>
    </row>
    <row r="35" spans="1:18" ht="15">
      <c r="A35" s="792" t="s">
        <v>77</v>
      </c>
      <c r="B35" s="792" t="s">
        <v>78</v>
      </c>
      <c r="C35" s="830">
        <v>3</v>
      </c>
      <c r="D35" s="832">
        <v>6</v>
      </c>
      <c r="E35" s="809"/>
      <c r="F35" s="811"/>
      <c r="G35" s="811"/>
      <c r="H35" s="827"/>
      <c r="I35" s="829" t="s">
        <v>79</v>
      </c>
      <c r="O35" s="813">
        <v>0</v>
      </c>
      <c r="P35" s="813">
        <v>3</v>
      </c>
      <c r="Q35" s="815">
        <v>3</v>
      </c>
      <c r="R35" s="100">
        <v>3</v>
      </c>
    </row>
    <row r="36" spans="1:18" ht="15">
      <c r="A36" s="792"/>
      <c r="B36" s="792"/>
      <c r="C36" s="831"/>
      <c r="D36" s="833"/>
      <c r="E36" s="810"/>
      <c r="F36" s="812"/>
      <c r="G36" s="812"/>
      <c r="H36" s="828"/>
      <c r="I36" s="829"/>
      <c r="O36" s="814"/>
      <c r="P36" s="814"/>
      <c r="Q36" s="816"/>
      <c r="R36" s="100"/>
    </row>
    <row r="37" spans="1:18" ht="67.5">
      <c r="A37" s="110" t="s">
        <v>80</v>
      </c>
      <c r="B37" s="110" t="s">
        <v>81</v>
      </c>
      <c r="C37" s="117">
        <v>1</v>
      </c>
      <c r="D37" s="118">
        <v>3</v>
      </c>
      <c r="E37" s="92">
        <v>1</v>
      </c>
      <c r="F37" s="92">
        <v>2</v>
      </c>
      <c r="G37" s="92">
        <v>3</v>
      </c>
      <c r="H37" s="119"/>
      <c r="I37" s="120" t="s">
        <v>82</v>
      </c>
      <c r="O37" s="115">
        <v>0</v>
      </c>
      <c r="P37" s="115">
        <v>1</v>
      </c>
      <c r="Q37" s="116">
        <v>1</v>
      </c>
      <c r="R37" s="121" t="s">
        <v>83</v>
      </c>
    </row>
    <row r="38" spans="1:18" ht="56.25">
      <c r="A38" s="122" t="s">
        <v>84</v>
      </c>
      <c r="B38" s="122" t="s">
        <v>85</v>
      </c>
      <c r="C38" s="117">
        <v>4</v>
      </c>
      <c r="D38" s="118">
        <v>4</v>
      </c>
      <c r="E38" s="105">
        <v>1</v>
      </c>
      <c r="F38" s="105">
        <v>3</v>
      </c>
      <c r="G38" s="105">
        <v>5</v>
      </c>
      <c r="H38" s="123"/>
      <c r="I38" s="124"/>
      <c r="O38" s="115">
        <v>4</v>
      </c>
      <c r="P38" s="115">
        <v>4</v>
      </c>
      <c r="Q38" s="116">
        <v>4</v>
      </c>
      <c r="R38" s="100" t="s">
        <v>71</v>
      </c>
    </row>
    <row r="39" spans="1:18" ht="51">
      <c r="A39" s="125" t="s">
        <v>86</v>
      </c>
      <c r="B39" s="126" t="s">
        <v>87</v>
      </c>
      <c r="C39" s="117">
        <v>0</v>
      </c>
      <c r="D39" s="118">
        <v>1</v>
      </c>
      <c r="E39" s="100"/>
      <c r="F39" s="95"/>
      <c r="G39" s="95"/>
      <c r="H39" s="127">
        <v>30660</v>
      </c>
      <c r="I39" s="113"/>
      <c r="O39" s="115">
        <v>1</v>
      </c>
      <c r="P39" s="115">
        <v>0</v>
      </c>
      <c r="Q39" s="116">
        <v>1</v>
      </c>
      <c r="R39" s="121" t="s">
        <v>88</v>
      </c>
    </row>
    <row r="40" spans="1:18" ht="68.25" thickBot="1">
      <c r="A40" s="125" t="s">
        <v>89</v>
      </c>
      <c r="B40" s="126" t="s">
        <v>90</v>
      </c>
      <c r="C40" s="128">
        <v>1</v>
      </c>
      <c r="D40" s="129">
        <v>1</v>
      </c>
      <c r="E40" s="100"/>
      <c r="F40" s="92"/>
      <c r="G40" s="92"/>
      <c r="H40" s="127"/>
      <c r="I40" s="113" t="s">
        <v>82</v>
      </c>
      <c r="O40" s="130">
        <v>1</v>
      </c>
      <c r="P40" s="130">
        <v>1</v>
      </c>
      <c r="Q40" s="131">
        <v>1</v>
      </c>
      <c r="R40" s="100" t="s">
        <v>71</v>
      </c>
    </row>
    <row r="41" spans="1:18" ht="57" thickBot="1">
      <c r="A41" s="122" t="s">
        <v>91</v>
      </c>
      <c r="B41" s="122" t="s">
        <v>92</v>
      </c>
      <c r="C41" s="132">
        <v>1</v>
      </c>
      <c r="D41" s="133">
        <v>1</v>
      </c>
      <c r="E41" s="134"/>
      <c r="F41" s="135"/>
      <c r="G41" s="135"/>
      <c r="H41" s="117">
        <v>6</v>
      </c>
      <c r="I41" s="136" t="s">
        <v>93</v>
      </c>
      <c r="O41" s="130">
        <v>1</v>
      </c>
      <c r="P41" s="130">
        <v>1</v>
      </c>
      <c r="Q41" s="131">
        <v>1</v>
      </c>
      <c r="R41" s="121" t="s">
        <v>88</v>
      </c>
    </row>
    <row r="42" spans="1:18" ht="15">
      <c r="A42" s="817" t="s">
        <v>94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</row>
    <row r="43" spans="1:18" ht="45">
      <c r="A43" s="137" t="s">
        <v>69</v>
      </c>
      <c r="B43" s="137" t="s">
        <v>70</v>
      </c>
      <c r="C43" s="92">
        <v>24894</v>
      </c>
      <c r="D43" s="138"/>
      <c r="E43" s="92">
        <v>24894</v>
      </c>
      <c r="F43" s="92">
        <v>24894</v>
      </c>
      <c r="G43" s="92">
        <v>24894</v>
      </c>
      <c r="H43" s="92">
        <v>24894</v>
      </c>
      <c r="I43" s="139" t="s">
        <v>76</v>
      </c>
      <c r="O43" s="98">
        <v>24894</v>
      </c>
      <c r="P43" s="98">
        <v>24894</v>
      </c>
      <c r="Q43" s="99">
        <v>24894</v>
      </c>
      <c r="R43" s="100" t="s">
        <v>71</v>
      </c>
    </row>
    <row r="44" spans="1:18" ht="56.25">
      <c r="A44" s="110" t="s">
        <v>95</v>
      </c>
      <c r="B44" s="92" t="s">
        <v>96</v>
      </c>
      <c r="C44" s="92">
        <v>0</v>
      </c>
      <c r="D44" s="138"/>
      <c r="E44" s="92">
        <v>1</v>
      </c>
      <c r="F44" s="92">
        <v>1</v>
      </c>
      <c r="G44" s="92">
        <v>1</v>
      </c>
      <c r="H44" s="92">
        <v>1</v>
      </c>
      <c r="I44" s="139" t="s">
        <v>76</v>
      </c>
      <c r="O44" s="108">
        <v>5766</v>
      </c>
      <c r="P44" s="108">
        <v>0</v>
      </c>
      <c r="Q44" s="109">
        <v>5766</v>
      </c>
      <c r="R44" s="100" t="s">
        <v>71</v>
      </c>
    </row>
    <row r="45" spans="1:18" ht="56.25">
      <c r="A45" s="140" t="s">
        <v>74</v>
      </c>
      <c r="B45" s="141" t="s">
        <v>75</v>
      </c>
      <c r="C45" s="142">
        <v>3</v>
      </c>
      <c r="D45" s="138"/>
      <c r="E45" s="92">
        <v>3</v>
      </c>
      <c r="F45" s="92">
        <v>3</v>
      </c>
      <c r="G45" s="92">
        <v>3</v>
      </c>
      <c r="H45" s="92">
        <v>3</v>
      </c>
      <c r="I45" s="139" t="s">
        <v>79</v>
      </c>
      <c r="O45" s="115">
        <v>3</v>
      </c>
      <c r="P45" s="115">
        <v>3</v>
      </c>
      <c r="Q45" s="116">
        <v>3</v>
      </c>
      <c r="R45" s="100" t="s">
        <v>71</v>
      </c>
    </row>
    <row r="46" spans="1:18" ht="51">
      <c r="A46" s="140" t="s">
        <v>97</v>
      </c>
      <c r="B46" s="140" t="s">
        <v>98</v>
      </c>
      <c r="C46" s="92">
        <v>24894</v>
      </c>
      <c r="D46" s="138"/>
      <c r="E46" s="92">
        <v>26336</v>
      </c>
      <c r="F46" s="92">
        <v>27778</v>
      </c>
      <c r="G46" s="92">
        <v>29220</v>
      </c>
      <c r="H46" s="92">
        <v>30660</v>
      </c>
      <c r="I46" s="139" t="s">
        <v>79</v>
      </c>
      <c r="O46" s="115">
        <v>1442</v>
      </c>
      <c r="P46" s="115">
        <v>24894</v>
      </c>
      <c r="Q46" s="116">
        <v>26336</v>
      </c>
      <c r="R46" s="100" t="s">
        <v>71</v>
      </c>
    </row>
    <row r="47" spans="1:18" ht="56.25">
      <c r="A47" s="140" t="s">
        <v>77</v>
      </c>
      <c r="B47" s="140" t="s">
        <v>99</v>
      </c>
      <c r="C47" s="105">
        <v>3</v>
      </c>
      <c r="D47" s="138"/>
      <c r="E47" s="92">
        <v>3</v>
      </c>
      <c r="F47" s="92">
        <v>4</v>
      </c>
      <c r="G47" s="92">
        <v>4</v>
      </c>
      <c r="H47" s="92">
        <v>6</v>
      </c>
      <c r="I47" s="139"/>
      <c r="O47" s="115">
        <v>0</v>
      </c>
      <c r="P47" s="115">
        <v>3</v>
      </c>
      <c r="Q47" s="116">
        <v>3</v>
      </c>
      <c r="R47" s="121" t="s">
        <v>83</v>
      </c>
    </row>
    <row r="48" spans="1:18" ht="45">
      <c r="A48" s="110" t="s">
        <v>80</v>
      </c>
      <c r="B48" s="110" t="s">
        <v>81</v>
      </c>
      <c r="C48" s="143">
        <v>1</v>
      </c>
      <c r="D48" s="138"/>
      <c r="E48" s="92">
        <v>1</v>
      </c>
      <c r="F48" s="92">
        <v>2</v>
      </c>
      <c r="G48" s="92">
        <v>3</v>
      </c>
      <c r="H48" s="92">
        <v>3</v>
      </c>
      <c r="I48" s="139"/>
      <c r="O48" s="115">
        <v>0</v>
      </c>
      <c r="P48" s="115">
        <v>1</v>
      </c>
      <c r="Q48" s="116">
        <v>1</v>
      </c>
      <c r="R48" s="121" t="s">
        <v>100</v>
      </c>
    </row>
    <row r="49" spans="1:18" ht="56.25">
      <c r="A49" s="122" t="s">
        <v>84</v>
      </c>
      <c r="B49" s="122" t="s">
        <v>85</v>
      </c>
      <c r="C49" s="143">
        <v>4</v>
      </c>
      <c r="D49" s="138"/>
      <c r="E49" s="92">
        <v>4</v>
      </c>
      <c r="F49" s="92">
        <v>4</v>
      </c>
      <c r="G49" s="92">
        <v>4</v>
      </c>
      <c r="H49" s="92">
        <v>4</v>
      </c>
      <c r="I49" s="139"/>
      <c r="O49" s="115">
        <v>4</v>
      </c>
      <c r="P49" s="115">
        <v>4</v>
      </c>
      <c r="Q49" s="116">
        <v>4</v>
      </c>
      <c r="R49" s="100" t="s">
        <v>71</v>
      </c>
    </row>
    <row r="50" spans="1:18" ht="51">
      <c r="A50" s="125" t="s">
        <v>86</v>
      </c>
      <c r="B50" s="126" t="s">
        <v>87</v>
      </c>
      <c r="C50" s="143">
        <v>0</v>
      </c>
      <c r="D50" s="138"/>
      <c r="E50" s="92">
        <v>1</v>
      </c>
      <c r="F50" s="92">
        <v>1</v>
      </c>
      <c r="G50" s="92">
        <v>1</v>
      </c>
      <c r="H50" s="92">
        <v>1</v>
      </c>
      <c r="I50" s="139"/>
      <c r="O50" s="115">
        <v>1</v>
      </c>
      <c r="P50" s="115">
        <v>0</v>
      </c>
      <c r="Q50" s="116">
        <v>1</v>
      </c>
      <c r="R50" s="100" t="s">
        <v>71</v>
      </c>
    </row>
    <row r="51" spans="1:18" ht="57" thickBot="1">
      <c r="A51" s="125" t="s">
        <v>89</v>
      </c>
      <c r="B51" s="126" t="s">
        <v>90</v>
      </c>
      <c r="C51" s="144">
        <v>100</v>
      </c>
      <c r="D51" s="138"/>
      <c r="E51" s="92">
        <v>1</v>
      </c>
      <c r="F51" s="92">
        <v>1</v>
      </c>
      <c r="G51" s="92">
        <v>1</v>
      </c>
      <c r="H51" s="92">
        <v>1</v>
      </c>
      <c r="I51" s="139"/>
      <c r="O51" s="130">
        <v>1</v>
      </c>
      <c r="P51" s="130">
        <v>1</v>
      </c>
      <c r="Q51" s="131">
        <v>1</v>
      </c>
      <c r="R51" s="121" t="s">
        <v>101</v>
      </c>
    </row>
    <row r="52" spans="1:18" ht="57" thickBot="1">
      <c r="A52" s="110" t="s">
        <v>91</v>
      </c>
      <c r="B52" s="110" t="s">
        <v>92</v>
      </c>
      <c r="C52" s="145">
        <v>3</v>
      </c>
      <c r="D52" s="138"/>
      <c r="E52" s="92">
        <v>3</v>
      </c>
      <c r="F52" s="92">
        <v>3</v>
      </c>
      <c r="G52" s="92">
        <v>3</v>
      </c>
      <c r="H52" s="92">
        <v>3</v>
      </c>
      <c r="I52" s="139"/>
      <c r="O52" s="130">
        <v>1</v>
      </c>
      <c r="P52" s="130">
        <v>1</v>
      </c>
      <c r="Q52" s="131">
        <v>1</v>
      </c>
      <c r="R52" s="121" t="s">
        <v>101</v>
      </c>
    </row>
    <row r="53" spans="1:18" ht="15">
      <c r="A53" s="790" t="s">
        <v>102</v>
      </c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</row>
    <row r="54" spans="1:18" ht="56.25">
      <c r="A54" s="95" t="s">
        <v>103</v>
      </c>
      <c r="B54" s="95" t="s">
        <v>104</v>
      </c>
      <c r="C54" s="95">
        <v>2</v>
      </c>
      <c r="D54" s="146"/>
      <c r="E54" s="110" t="s">
        <v>105</v>
      </c>
      <c r="F54" s="110" t="s">
        <v>106</v>
      </c>
      <c r="G54" s="110" t="s">
        <v>107</v>
      </c>
      <c r="H54" s="110" t="s">
        <v>108</v>
      </c>
      <c r="I54" s="110" t="s">
        <v>109</v>
      </c>
      <c r="O54" s="147">
        <v>6</v>
      </c>
      <c r="P54" s="147">
        <v>1</v>
      </c>
      <c r="Q54" s="147">
        <v>1</v>
      </c>
      <c r="R54" s="148" t="s">
        <v>110</v>
      </c>
    </row>
    <row r="55" spans="1:18" ht="56.25">
      <c r="A55" s="95" t="s">
        <v>111</v>
      </c>
      <c r="B55" s="95" t="s">
        <v>112</v>
      </c>
      <c r="C55" s="95">
        <v>754</v>
      </c>
      <c r="D55" s="146"/>
      <c r="E55" s="110" t="s">
        <v>113</v>
      </c>
      <c r="F55" s="110" t="s">
        <v>114</v>
      </c>
      <c r="G55" s="110" t="s">
        <v>115</v>
      </c>
      <c r="H55" s="110" t="s">
        <v>116</v>
      </c>
      <c r="I55" s="110" t="s">
        <v>109</v>
      </c>
      <c r="O55" s="100"/>
      <c r="P55" s="100"/>
      <c r="Q55" s="185">
        <v>0.75</v>
      </c>
      <c r="R55" s="148" t="s">
        <v>117</v>
      </c>
    </row>
    <row r="56" spans="1:18" ht="56.25">
      <c r="A56" s="95" t="s">
        <v>118</v>
      </c>
      <c r="B56" s="95" t="s">
        <v>119</v>
      </c>
      <c r="C56" s="95">
        <v>0</v>
      </c>
      <c r="D56" s="146"/>
      <c r="E56" s="110">
        <v>0</v>
      </c>
      <c r="F56" s="110">
        <v>0</v>
      </c>
      <c r="G56" s="110">
        <v>0</v>
      </c>
      <c r="H56" s="110">
        <v>0</v>
      </c>
      <c r="I56" s="110" t="s">
        <v>109</v>
      </c>
      <c r="O56" s="100">
        <v>1</v>
      </c>
      <c r="P56" s="100"/>
      <c r="Q56" s="185">
        <v>0</v>
      </c>
      <c r="R56" s="95" t="s">
        <v>118</v>
      </c>
    </row>
    <row r="57" spans="1:18" ht="56.25">
      <c r="A57" s="95" t="s">
        <v>120</v>
      </c>
      <c r="B57" s="95" t="s">
        <v>121</v>
      </c>
      <c r="C57" s="95">
        <v>0.8</v>
      </c>
      <c r="D57" s="146"/>
      <c r="E57" s="110">
        <v>20</v>
      </c>
      <c r="F57" s="110">
        <v>20</v>
      </c>
      <c r="G57" s="110">
        <v>20</v>
      </c>
      <c r="H57" s="110">
        <v>20</v>
      </c>
      <c r="I57" s="110" t="s">
        <v>109</v>
      </c>
      <c r="O57" s="100"/>
      <c r="P57" s="100"/>
      <c r="Q57" s="100"/>
      <c r="R57" s="95" t="s">
        <v>120</v>
      </c>
    </row>
    <row r="58" spans="1:18" ht="78.75">
      <c r="A58" s="95" t="s">
        <v>122</v>
      </c>
      <c r="B58" s="95" t="s">
        <v>123</v>
      </c>
      <c r="C58" s="95">
        <v>1232</v>
      </c>
      <c r="D58" s="146"/>
      <c r="E58" s="110">
        <v>4409</v>
      </c>
      <c r="F58" s="110">
        <v>4586</v>
      </c>
      <c r="G58" s="110">
        <v>10763</v>
      </c>
      <c r="H58" s="110">
        <v>13943</v>
      </c>
      <c r="I58" s="110" t="s">
        <v>109</v>
      </c>
      <c r="O58" s="100"/>
      <c r="P58" s="100"/>
      <c r="Q58" s="100"/>
      <c r="R58" s="121" t="s">
        <v>124</v>
      </c>
    </row>
    <row r="59" spans="1:18" ht="56.25">
      <c r="A59" s="95" t="s">
        <v>125</v>
      </c>
      <c r="B59" s="95" t="s">
        <v>126</v>
      </c>
      <c r="C59" s="95">
        <v>4</v>
      </c>
      <c r="D59" s="146"/>
      <c r="E59" s="110">
        <v>4</v>
      </c>
      <c r="F59" s="110">
        <v>4</v>
      </c>
      <c r="G59" s="110">
        <v>4</v>
      </c>
      <c r="H59" s="110">
        <v>4</v>
      </c>
      <c r="I59" s="110" t="s">
        <v>109</v>
      </c>
      <c r="O59" s="100"/>
      <c r="P59" s="100"/>
      <c r="Q59" s="100"/>
      <c r="R59" s="148" t="s">
        <v>127</v>
      </c>
    </row>
    <row r="60" spans="1:18" ht="78.75">
      <c r="A60" s="95" t="s">
        <v>128</v>
      </c>
      <c r="B60" s="95" t="s">
        <v>129</v>
      </c>
      <c r="C60" s="95">
        <v>0.02</v>
      </c>
      <c r="D60" s="146"/>
      <c r="E60" s="110">
        <v>1</v>
      </c>
      <c r="F60" s="110">
        <v>2</v>
      </c>
      <c r="G60" s="110">
        <v>2</v>
      </c>
      <c r="H60" s="110">
        <v>2</v>
      </c>
      <c r="I60" s="110" t="s">
        <v>109</v>
      </c>
      <c r="O60" s="100"/>
      <c r="P60" s="100"/>
      <c r="Q60" s="100"/>
      <c r="R60" s="148" t="s">
        <v>130</v>
      </c>
    </row>
    <row r="61" spans="1:18" ht="56.25">
      <c r="A61" s="95" t="s">
        <v>131</v>
      </c>
      <c r="B61" s="95" t="s">
        <v>132</v>
      </c>
      <c r="C61" s="95">
        <v>0.6</v>
      </c>
      <c r="D61" s="146"/>
      <c r="E61" s="110">
        <v>0.15</v>
      </c>
      <c r="F61" s="110">
        <v>0.15</v>
      </c>
      <c r="G61" s="110">
        <v>0.15</v>
      </c>
      <c r="H61" s="110">
        <v>0.15</v>
      </c>
      <c r="I61" s="110" t="s">
        <v>109</v>
      </c>
      <c r="O61" s="100"/>
      <c r="P61" s="100"/>
      <c r="Q61" s="100"/>
      <c r="R61" s="148" t="s">
        <v>133</v>
      </c>
    </row>
    <row r="62" spans="1:18" ht="57">
      <c r="A62" s="95" t="s">
        <v>134</v>
      </c>
      <c r="B62" s="95" t="s">
        <v>135</v>
      </c>
      <c r="C62" s="95" t="s">
        <v>136</v>
      </c>
      <c r="D62" s="146"/>
      <c r="E62" s="110" t="s">
        <v>137</v>
      </c>
      <c r="F62" s="110" t="s">
        <v>137</v>
      </c>
      <c r="G62" s="110" t="s">
        <v>137</v>
      </c>
      <c r="H62" s="110" t="s">
        <v>137</v>
      </c>
      <c r="I62" s="110" t="s">
        <v>138</v>
      </c>
      <c r="O62" s="100"/>
      <c r="P62" s="100"/>
      <c r="Q62" s="100"/>
      <c r="R62" s="148" t="s">
        <v>139</v>
      </c>
    </row>
    <row r="63" spans="1:18" ht="57">
      <c r="A63" s="95" t="s">
        <v>140</v>
      </c>
      <c r="B63" s="95" t="s">
        <v>141</v>
      </c>
      <c r="C63" s="95" t="s">
        <v>136</v>
      </c>
      <c r="D63" s="146"/>
      <c r="E63" s="110" t="s">
        <v>137</v>
      </c>
      <c r="F63" s="110" t="s">
        <v>137</v>
      </c>
      <c r="G63" s="110" t="s">
        <v>137</v>
      </c>
      <c r="H63" s="110" t="s">
        <v>137</v>
      </c>
      <c r="I63" s="110" t="s">
        <v>138</v>
      </c>
      <c r="O63" s="100"/>
      <c r="P63" s="100"/>
      <c r="Q63" s="100"/>
      <c r="R63" s="148" t="s">
        <v>142</v>
      </c>
    </row>
    <row r="64" spans="1:18" ht="68.25">
      <c r="A64" s="95" t="s">
        <v>143</v>
      </c>
      <c r="B64" s="95" t="s">
        <v>144</v>
      </c>
      <c r="C64" s="95">
        <v>1</v>
      </c>
      <c r="D64" s="146"/>
      <c r="E64" s="110">
        <v>0.475</v>
      </c>
      <c r="F64" s="110">
        <v>0.65</v>
      </c>
      <c r="G64" s="110">
        <v>0.825</v>
      </c>
      <c r="H64" s="110">
        <v>1</v>
      </c>
      <c r="I64" s="110" t="s">
        <v>138</v>
      </c>
      <c r="O64" s="100"/>
      <c r="P64" s="100"/>
      <c r="Q64" s="100"/>
      <c r="R64" s="148" t="s">
        <v>145</v>
      </c>
    </row>
    <row r="65" spans="1:18" ht="79.5">
      <c r="A65" s="95" t="s">
        <v>146</v>
      </c>
      <c r="B65" s="95" t="s">
        <v>147</v>
      </c>
      <c r="C65" s="95">
        <v>1</v>
      </c>
      <c r="D65" s="146"/>
      <c r="E65" s="110">
        <v>0.25</v>
      </c>
      <c r="F65" s="110">
        <v>0.5</v>
      </c>
      <c r="G65" s="110">
        <v>0.75</v>
      </c>
      <c r="H65" s="110">
        <v>1</v>
      </c>
      <c r="I65" s="110" t="s">
        <v>138</v>
      </c>
      <c r="O65" s="100"/>
      <c r="P65" s="100"/>
      <c r="Q65" s="100"/>
      <c r="R65" s="148" t="s">
        <v>148</v>
      </c>
    </row>
    <row r="66" spans="1:18" ht="79.5">
      <c r="A66" s="95" t="s">
        <v>149</v>
      </c>
      <c r="B66" s="95" t="s">
        <v>150</v>
      </c>
      <c r="C66" s="95">
        <v>0.4</v>
      </c>
      <c r="D66" s="146"/>
      <c r="E66" s="110">
        <v>0.1</v>
      </c>
      <c r="F66" s="110">
        <v>0.2</v>
      </c>
      <c r="G66" s="110">
        <v>0.3</v>
      </c>
      <c r="H66" s="110">
        <v>0.4</v>
      </c>
      <c r="I66" s="110" t="s">
        <v>138</v>
      </c>
      <c r="O66" s="100"/>
      <c r="P66" s="100"/>
      <c r="Q66" s="100"/>
      <c r="R66" s="148" t="s">
        <v>151</v>
      </c>
    </row>
    <row r="67" spans="1:18" ht="45.75">
      <c r="A67" s="95" t="s">
        <v>152</v>
      </c>
      <c r="B67" s="95" t="s">
        <v>153</v>
      </c>
      <c r="C67" s="95">
        <v>1</v>
      </c>
      <c r="D67" s="146"/>
      <c r="E67" s="110">
        <v>1</v>
      </c>
      <c r="F67" s="110">
        <v>2</v>
      </c>
      <c r="G67" s="110">
        <v>2</v>
      </c>
      <c r="H67" s="110">
        <v>2</v>
      </c>
      <c r="I67" s="110" t="s">
        <v>138</v>
      </c>
      <c r="O67" s="100"/>
      <c r="P67" s="100"/>
      <c r="Q67" s="100"/>
      <c r="R67" s="148" t="s">
        <v>154</v>
      </c>
    </row>
    <row r="68" spans="1:18" ht="90">
      <c r="A68" s="95" t="s">
        <v>155</v>
      </c>
      <c r="B68" s="95" t="s">
        <v>156</v>
      </c>
      <c r="C68" s="95">
        <v>0.8</v>
      </c>
      <c r="D68" s="146"/>
      <c r="E68" s="110">
        <v>0.2</v>
      </c>
      <c r="F68" s="110">
        <v>0.4</v>
      </c>
      <c r="G68" s="110">
        <v>0.6</v>
      </c>
      <c r="H68" s="110">
        <v>0.8</v>
      </c>
      <c r="I68" s="110" t="s">
        <v>138</v>
      </c>
      <c r="O68" s="100"/>
      <c r="P68" s="100"/>
      <c r="Q68" s="100"/>
      <c r="R68" s="148" t="s">
        <v>157</v>
      </c>
    </row>
    <row r="69" spans="1:18" ht="68.25">
      <c r="A69" s="95" t="s">
        <v>158</v>
      </c>
      <c r="B69" s="95" t="s">
        <v>159</v>
      </c>
      <c r="C69" s="95">
        <v>0.6</v>
      </c>
      <c r="D69" s="146"/>
      <c r="E69" s="110">
        <v>0.3</v>
      </c>
      <c r="F69" s="110">
        <v>0.4</v>
      </c>
      <c r="G69" s="110">
        <v>0.5</v>
      </c>
      <c r="H69" s="110">
        <v>0.6</v>
      </c>
      <c r="I69" s="110" t="s">
        <v>138</v>
      </c>
      <c r="O69" s="100"/>
      <c r="P69" s="100"/>
      <c r="Q69" s="100"/>
      <c r="R69" s="148" t="s">
        <v>157</v>
      </c>
    </row>
    <row r="70" spans="1:18" ht="135">
      <c r="A70" s="95" t="s">
        <v>160</v>
      </c>
      <c r="B70" s="95" t="s">
        <v>161</v>
      </c>
      <c r="C70" s="95">
        <v>0.8</v>
      </c>
      <c r="D70" s="146"/>
      <c r="E70" s="110">
        <v>0.7</v>
      </c>
      <c r="F70" s="110">
        <v>0.8</v>
      </c>
      <c r="G70" s="110">
        <v>0.8</v>
      </c>
      <c r="H70" s="110">
        <v>0.8</v>
      </c>
      <c r="I70" s="110" t="s">
        <v>138</v>
      </c>
      <c r="O70" s="100"/>
      <c r="P70" s="100"/>
      <c r="Q70" s="100"/>
      <c r="R70" s="121" t="s">
        <v>162</v>
      </c>
    </row>
    <row r="71" spans="1:18" ht="15">
      <c r="A71" s="823" t="s">
        <v>163</v>
      </c>
      <c r="B71" s="824"/>
      <c r="C71" s="824"/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</row>
    <row r="72" spans="1:18" ht="78.75">
      <c r="A72" s="91" t="s">
        <v>164</v>
      </c>
      <c r="B72" s="149" t="s">
        <v>165</v>
      </c>
      <c r="C72" s="150">
        <v>5766</v>
      </c>
      <c r="D72" s="151"/>
      <c r="E72" s="92">
        <v>4324</v>
      </c>
      <c r="F72" s="92">
        <v>2882</v>
      </c>
      <c r="G72" s="92">
        <v>1440</v>
      </c>
      <c r="H72" s="92">
        <v>0</v>
      </c>
      <c r="I72" s="91" t="s">
        <v>166</v>
      </c>
      <c r="O72" s="100"/>
      <c r="P72" s="100"/>
      <c r="Q72" s="100"/>
      <c r="R72" s="100"/>
    </row>
    <row r="73" spans="1:18" ht="56.25">
      <c r="A73" s="91" t="s">
        <v>167</v>
      </c>
      <c r="B73" s="91" t="s">
        <v>168</v>
      </c>
      <c r="C73" s="152"/>
      <c r="D73" s="151"/>
      <c r="E73" s="92">
        <v>6</v>
      </c>
      <c r="F73" s="92">
        <v>6</v>
      </c>
      <c r="G73" s="92">
        <v>6</v>
      </c>
      <c r="H73" s="92">
        <v>6</v>
      </c>
      <c r="I73" s="91" t="s">
        <v>166</v>
      </c>
      <c r="O73" s="100"/>
      <c r="P73" s="100"/>
      <c r="Q73" s="100"/>
      <c r="R73" s="100"/>
    </row>
    <row r="74" spans="1:18" ht="56.25">
      <c r="A74" s="91" t="s">
        <v>169</v>
      </c>
      <c r="B74" s="91" t="s">
        <v>170</v>
      </c>
      <c r="C74" s="100"/>
      <c r="D74" s="151"/>
      <c r="E74" s="92">
        <v>6</v>
      </c>
      <c r="F74" s="92">
        <v>6</v>
      </c>
      <c r="G74" s="92">
        <v>6</v>
      </c>
      <c r="H74" s="92">
        <v>6</v>
      </c>
      <c r="I74" s="91" t="s">
        <v>171</v>
      </c>
      <c r="O74" s="100"/>
      <c r="P74" s="100"/>
      <c r="Q74" s="100"/>
      <c r="R74" s="100"/>
    </row>
    <row r="75" spans="1:18" ht="78.75">
      <c r="A75" s="91" t="s">
        <v>172</v>
      </c>
      <c r="B75" s="91" t="s">
        <v>173</v>
      </c>
      <c r="C75" s="100"/>
      <c r="D75" s="151"/>
      <c r="E75" s="94">
        <v>100</v>
      </c>
      <c r="F75" s="94">
        <v>100</v>
      </c>
      <c r="G75" s="94">
        <v>100</v>
      </c>
      <c r="H75" s="94">
        <v>100</v>
      </c>
      <c r="I75" s="91" t="s">
        <v>174</v>
      </c>
      <c r="O75" s="100"/>
      <c r="P75" s="100"/>
      <c r="Q75" s="100"/>
      <c r="R75" s="100"/>
    </row>
    <row r="76" spans="1:18" ht="101.25">
      <c r="A76" s="91" t="s">
        <v>175</v>
      </c>
      <c r="B76" s="91" t="s">
        <v>176</v>
      </c>
      <c r="C76" s="100"/>
      <c r="D76" s="151"/>
      <c r="E76" s="94">
        <v>6</v>
      </c>
      <c r="F76" s="94">
        <v>6</v>
      </c>
      <c r="G76" s="94">
        <v>6</v>
      </c>
      <c r="H76" s="94">
        <v>6</v>
      </c>
      <c r="I76" s="91" t="s">
        <v>177</v>
      </c>
      <c r="O76" s="100"/>
      <c r="P76" s="100"/>
      <c r="Q76" s="100"/>
      <c r="R76" s="100"/>
    </row>
    <row r="77" spans="1:18" ht="146.25">
      <c r="A77" s="91" t="s">
        <v>178</v>
      </c>
      <c r="B77" s="91" t="s">
        <v>179</v>
      </c>
      <c r="C77" s="100"/>
      <c r="D77" s="151"/>
      <c r="E77" s="94">
        <v>6</v>
      </c>
      <c r="F77" s="94">
        <v>6</v>
      </c>
      <c r="G77" s="94">
        <v>6</v>
      </c>
      <c r="H77" s="94">
        <v>6</v>
      </c>
      <c r="I77" s="91" t="s">
        <v>180</v>
      </c>
      <c r="O77" s="100"/>
      <c r="P77" s="100"/>
      <c r="Q77" s="100"/>
      <c r="R77" s="100"/>
    </row>
    <row r="78" spans="1:18" ht="102">
      <c r="A78" s="91" t="s">
        <v>181</v>
      </c>
      <c r="B78" s="91" t="s">
        <v>182</v>
      </c>
      <c r="C78" s="100"/>
      <c r="D78" s="151"/>
      <c r="E78" s="94">
        <v>1</v>
      </c>
      <c r="F78" s="94">
        <v>1</v>
      </c>
      <c r="G78" s="94">
        <v>1</v>
      </c>
      <c r="H78" s="94">
        <v>1</v>
      </c>
      <c r="I78" s="126" t="s">
        <v>183</v>
      </c>
      <c r="O78" s="100"/>
      <c r="P78" s="100"/>
      <c r="Q78" s="100"/>
      <c r="R78" s="100"/>
    </row>
    <row r="79" spans="1:18" ht="102">
      <c r="A79" s="112" t="s">
        <v>184</v>
      </c>
      <c r="B79" s="112" t="s">
        <v>185</v>
      </c>
      <c r="C79" s="134"/>
      <c r="D79" s="153"/>
      <c r="E79" s="154">
        <v>1</v>
      </c>
      <c r="F79" s="154">
        <v>1</v>
      </c>
      <c r="G79" s="154">
        <v>1</v>
      </c>
      <c r="H79" s="154">
        <v>1</v>
      </c>
      <c r="I79" s="155" t="s">
        <v>183</v>
      </c>
      <c r="O79" s="100"/>
      <c r="P79" s="100"/>
      <c r="Q79" s="100"/>
      <c r="R79" s="100"/>
    </row>
    <row r="80" spans="1:18" ht="15.75" thickBot="1">
      <c r="A80" s="825" t="s">
        <v>186</v>
      </c>
      <c r="B80" s="826"/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</row>
    <row r="81" spans="1:18" ht="192" thickBot="1">
      <c r="A81" s="156" t="s">
        <v>187</v>
      </c>
      <c r="B81" s="156" t="s">
        <v>188</v>
      </c>
      <c r="C81" s="157">
        <v>0.56</v>
      </c>
      <c r="D81" s="138"/>
      <c r="E81" s="158">
        <v>0.62</v>
      </c>
      <c r="F81" s="158">
        <v>0.68</v>
      </c>
      <c r="G81" s="158">
        <v>0.74</v>
      </c>
      <c r="H81" s="158">
        <v>0.8</v>
      </c>
      <c r="I81" s="159" t="s">
        <v>189</v>
      </c>
      <c r="O81" s="160">
        <v>308</v>
      </c>
      <c r="P81" s="160">
        <v>2875</v>
      </c>
      <c r="Q81" s="161">
        <v>3183</v>
      </c>
      <c r="R81" s="100">
        <v>3317</v>
      </c>
    </row>
    <row r="82" spans="1:18" ht="57" thickBot="1">
      <c r="A82" s="156" t="s">
        <v>190</v>
      </c>
      <c r="B82" s="156" t="s">
        <v>191</v>
      </c>
      <c r="C82" s="162"/>
      <c r="D82" s="138"/>
      <c r="E82" s="91">
        <v>2757</v>
      </c>
      <c r="F82" s="91">
        <v>2757</v>
      </c>
      <c r="G82" s="91">
        <v>2757</v>
      </c>
      <c r="H82" s="91">
        <v>2757</v>
      </c>
      <c r="I82" s="163" t="s">
        <v>192</v>
      </c>
      <c r="O82" s="160">
        <v>2757</v>
      </c>
      <c r="P82" s="160">
        <v>2757</v>
      </c>
      <c r="Q82" s="160">
        <v>2757</v>
      </c>
      <c r="R82" s="100" t="s">
        <v>193</v>
      </c>
    </row>
    <row r="83" spans="1:18" ht="157.5">
      <c r="A83" s="156" t="s">
        <v>194</v>
      </c>
      <c r="B83" s="156" t="s">
        <v>195</v>
      </c>
      <c r="C83" s="144">
        <v>7000</v>
      </c>
      <c r="D83" s="138"/>
      <c r="E83" s="91">
        <v>12000</v>
      </c>
      <c r="F83" s="91">
        <v>12000</v>
      </c>
      <c r="G83" s="91">
        <v>12000</v>
      </c>
      <c r="H83" s="91">
        <v>12000</v>
      </c>
      <c r="I83" s="163" t="s">
        <v>196</v>
      </c>
      <c r="O83" s="164">
        <v>5000</v>
      </c>
      <c r="P83" s="164">
        <v>7000</v>
      </c>
      <c r="Q83" s="164">
        <v>12000</v>
      </c>
      <c r="R83" s="100" t="s">
        <v>197</v>
      </c>
    </row>
    <row r="84" spans="1:18" ht="68.25" thickBot="1">
      <c r="A84" s="156" t="s">
        <v>198</v>
      </c>
      <c r="B84" s="156" t="s">
        <v>199</v>
      </c>
      <c r="C84" s="144">
        <v>8000</v>
      </c>
      <c r="D84" s="138"/>
      <c r="E84" s="91">
        <v>9000</v>
      </c>
      <c r="F84" s="91">
        <v>11000</v>
      </c>
      <c r="G84" s="91">
        <v>12500</v>
      </c>
      <c r="H84" s="91">
        <v>14000</v>
      </c>
      <c r="I84" s="163" t="s">
        <v>200</v>
      </c>
      <c r="O84" s="165">
        <v>346</v>
      </c>
      <c r="P84" s="165">
        <v>346</v>
      </c>
      <c r="Q84" s="165">
        <v>346</v>
      </c>
      <c r="R84" s="100" t="s">
        <v>197</v>
      </c>
    </row>
    <row r="85" spans="1:18" ht="90.75" thickBot="1">
      <c r="A85" s="156" t="s">
        <v>201</v>
      </c>
      <c r="B85" s="156" t="s">
        <v>202</v>
      </c>
      <c r="C85" s="144">
        <v>0</v>
      </c>
      <c r="D85" s="138"/>
      <c r="E85" s="166">
        <v>1</v>
      </c>
      <c r="F85" s="166">
        <v>1</v>
      </c>
      <c r="G85" s="166">
        <v>1</v>
      </c>
      <c r="H85" s="166">
        <v>1</v>
      </c>
      <c r="I85" s="163" t="s">
        <v>203</v>
      </c>
      <c r="O85" s="160">
        <v>1000</v>
      </c>
      <c r="P85" s="160">
        <v>8000</v>
      </c>
      <c r="Q85" s="160">
        <v>9000</v>
      </c>
      <c r="R85" s="100" t="s">
        <v>204</v>
      </c>
    </row>
    <row r="86" spans="1:18" ht="57" thickBot="1">
      <c r="A86" s="156" t="s">
        <v>205</v>
      </c>
      <c r="B86" s="156" t="s">
        <v>206</v>
      </c>
      <c r="C86" s="144">
        <v>60</v>
      </c>
      <c r="D86" s="138"/>
      <c r="E86" s="91">
        <v>120</v>
      </c>
      <c r="F86" s="91">
        <v>120</v>
      </c>
      <c r="G86" s="91">
        <v>120</v>
      </c>
      <c r="H86" s="91">
        <v>120</v>
      </c>
      <c r="I86" s="163" t="s">
        <v>207</v>
      </c>
      <c r="O86" s="160">
        <v>120</v>
      </c>
      <c r="P86" s="160">
        <v>0</v>
      </c>
      <c r="Q86" s="160">
        <v>120</v>
      </c>
      <c r="R86" s="100" t="s">
        <v>208</v>
      </c>
    </row>
    <row r="87" spans="1:18" ht="113.25" thickBot="1">
      <c r="A87" s="156" t="s">
        <v>209</v>
      </c>
      <c r="B87" s="156" t="s">
        <v>210</v>
      </c>
      <c r="C87" s="144"/>
      <c r="D87" s="138"/>
      <c r="E87" s="91" t="s">
        <v>211</v>
      </c>
      <c r="F87" s="91" t="s">
        <v>212</v>
      </c>
      <c r="G87" s="91" t="s">
        <v>213</v>
      </c>
      <c r="H87" s="91" t="s">
        <v>214</v>
      </c>
      <c r="I87" s="167" t="s">
        <v>215</v>
      </c>
      <c r="O87" s="130">
        <v>0.25</v>
      </c>
      <c r="P87" s="130">
        <v>0.25</v>
      </c>
      <c r="Q87" s="130">
        <v>0.5</v>
      </c>
      <c r="R87" s="100" t="s">
        <v>216</v>
      </c>
    </row>
    <row r="88" spans="1:18" ht="90.75" thickBot="1">
      <c r="A88" s="156" t="s">
        <v>217</v>
      </c>
      <c r="B88" s="156" t="s">
        <v>218</v>
      </c>
      <c r="C88" s="144">
        <v>0</v>
      </c>
      <c r="D88" s="138"/>
      <c r="E88" s="91">
        <v>70</v>
      </c>
      <c r="F88" s="91">
        <v>130</v>
      </c>
      <c r="G88" s="91">
        <v>170</v>
      </c>
      <c r="H88" s="91">
        <v>200</v>
      </c>
      <c r="I88" s="163" t="s">
        <v>219</v>
      </c>
      <c r="O88" s="168">
        <v>70</v>
      </c>
      <c r="P88" s="168">
        <v>0</v>
      </c>
      <c r="Q88" s="168">
        <v>70</v>
      </c>
      <c r="R88" s="100" t="s">
        <v>208</v>
      </c>
    </row>
    <row r="89" spans="1:18" ht="113.25" thickBot="1">
      <c r="A89" s="169" t="s">
        <v>220</v>
      </c>
      <c r="B89" s="169" t="s">
        <v>221</v>
      </c>
      <c r="C89" s="144"/>
      <c r="D89" s="138"/>
      <c r="E89" s="170">
        <v>0</v>
      </c>
      <c r="F89" s="171">
        <v>1</v>
      </c>
      <c r="G89" s="172"/>
      <c r="H89" s="172"/>
      <c r="I89" s="173" t="s">
        <v>222</v>
      </c>
      <c r="O89" s="174">
        <v>0</v>
      </c>
      <c r="P89" s="174">
        <v>0</v>
      </c>
      <c r="Q89" s="174">
        <v>0</v>
      </c>
      <c r="R89" s="100" t="s">
        <v>208</v>
      </c>
    </row>
    <row r="90" spans="1:18" ht="79.5" thickBot="1">
      <c r="A90" s="175" t="s">
        <v>223</v>
      </c>
      <c r="B90" s="175" t="s">
        <v>224</v>
      </c>
      <c r="C90" s="144">
        <v>0</v>
      </c>
      <c r="D90" s="138"/>
      <c r="E90" s="172"/>
      <c r="F90" s="172"/>
      <c r="G90" s="172"/>
      <c r="H90" s="176">
        <v>185</v>
      </c>
      <c r="I90" s="177" t="s">
        <v>225</v>
      </c>
      <c r="O90" s="178">
        <v>0.1</v>
      </c>
      <c r="P90" s="178">
        <v>0.2</v>
      </c>
      <c r="Q90" s="178">
        <v>0.3</v>
      </c>
      <c r="R90" s="100" t="s">
        <v>208</v>
      </c>
    </row>
    <row r="91" spans="1:18" ht="68.25" thickBot="1">
      <c r="A91" s="156" t="s">
        <v>226</v>
      </c>
      <c r="B91" s="156" t="s">
        <v>227</v>
      </c>
      <c r="C91" s="144">
        <v>0</v>
      </c>
      <c r="D91" s="138"/>
      <c r="E91" s="172">
        <v>0</v>
      </c>
      <c r="F91" s="172">
        <v>1100</v>
      </c>
      <c r="G91" s="172">
        <v>1100</v>
      </c>
      <c r="H91" s="172">
        <v>1100</v>
      </c>
      <c r="I91" s="163" t="s">
        <v>228</v>
      </c>
      <c r="O91" s="179">
        <v>0</v>
      </c>
      <c r="P91" s="179">
        <v>0</v>
      </c>
      <c r="Q91" s="179">
        <v>0</v>
      </c>
      <c r="R91" s="100" t="s">
        <v>208</v>
      </c>
    </row>
    <row r="92" spans="1:18" ht="90.75" thickBot="1">
      <c r="A92" s="156" t="s">
        <v>229</v>
      </c>
      <c r="B92" s="156" t="s">
        <v>230</v>
      </c>
      <c r="C92" s="144">
        <v>0</v>
      </c>
      <c r="D92" s="138"/>
      <c r="E92" s="172">
        <v>0</v>
      </c>
      <c r="F92" s="172">
        <v>250</v>
      </c>
      <c r="G92" s="172">
        <v>250</v>
      </c>
      <c r="H92" s="172">
        <v>250</v>
      </c>
      <c r="I92" s="163" t="s">
        <v>231</v>
      </c>
      <c r="O92" s="179">
        <v>250</v>
      </c>
      <c r="P92" s="179">
        <v>250</v>
      </c>
      <c r="Q92" s="179">
        <v>250</v>
      </c>
      <c r="R92" s="100"/>
    </row>
    <row r="93" spans="1:18" ht="67.5">
      <c r="A93" s="180" t="s">
        <v>232</v>
      </c>
      <c r="B93" s="180" t="s">
        <v>233</v>
      </c>
      <c r="C93" s="143">
        <v>0</v>
      </c>
      <c r="D93" s="181"/>
      <c r="E93" s="112">
        <v>0</v>
      </c>
      <c r="F93" s="112">
        <v>30</v>
      </c>
      <c r="G93" s="112">
        <v>30</v>
      </c>
      <c r="H93" s="112">
        <v>30</v>
      </c>
      <c r="I93" s="173" t="s">
        <v>234</v>
      </c>
      <c r="O93" s="179">
        <v>23</v>
      </c>
      <c r="P93" s="179">
        <v>23</v>
      </c>
      <c r="Q93" s="179">
        <v>55</v>
      </c>
      <c r="R93" s="134"/>
    </row>
    <row r="94" spans="1:18" ht="78.75">
      <c r="A94" s="182" t="s">
        <v>235</v>
      </c>
      <c r="B94" s="182" t="s">
        <v>236</v>
      </c>
      <c r="C94" s="92">
        <v>0</v>
      </c>
      <c r="D94" s="138"/>
      <c r="E94" s="91">
        <v>0</v>
      </c>
      <c r="F94" s="91">
        <v>55</v>
      </c>
      <c r="G94" s="172">
        <v>55</v>
      </c>
      <c r="H94" s="172">
        <v>55</v>
      </c>
      <c r="I94" s="183" t="s">
        <v>237</v>
      </c>
      <c r="O94" s="184">
        <v>55</v>
      </c>
      <c r="P94" s="184">
        <v>55</v>
      </c>
      <c r="Q94" s="184">
        <v>55</v>
      </c>
      <c r="R94" s="100"/>
    </row>
    <row r="95" spans="1:18" ht="153">
      <c r="A95" s="186" t="s">
        <v>238</v>
      </c>
      <c r="B95" s="186" t="s">
        <v>239</v>
      </c>
      <c r="C95" s="187"/>
      <c r="D95" s="188"/>
      <c r="E95" s="189">
        <v>1</v>
      </c>
      <c r="F95" s="189">
        <v>3</v>
      </c>
      <c r="G95" s="189">
        <v>4</v>
      </c>
      <c r="H95" s="189">
        <v>5</v>
      </c>
      <c r="I95" s="190" t="s">
        <v>240</v>
      </c>
      <c r="O95" s="191">
        <v>0</v>
      </c>
      <c r="P95" s="191">
        <v>0</v>
      </c>
      <c r="Q95" s="191">
        <v>0</v>
      </c>
      <c r="R95" s="187"/>
    </row>
    <row r="96" spans="1:18" ht="114.75">
      <c r="A96" s="186" t="s">
        <v>241</v>
      </c>
      <c r="B96" s="186" t="s">
        <v>242</v>
      </c>
      <c r="C96" s="187"/>
      <c r="D96" s="188"/>
      <c r="E96" s="192">
        <v>1</v>
      </c>
      <c r="F96" s="192">
        <v>1</v>
      </c>
      <c r="G96" s="192">
        <v>1</v>
      </c>
      <c r="H96" s="192">
        <v>1</v>
      </c>
      <c r="I96" s="190" t="s">
        <v>243</v>
      </c>
      <c r="O96" s="193">
        <v>1</v>
      </c>
      <c r="P96" s="194">
        <v>0.9</v>
      </c>
      <c r="Q96" s="194">
        <v>1</v>
      </c>
      <c r="R96" s="187"/>
    </row>
    <row r="97" spans="1:18" ht="255">
      <c r="A97" s="195" t="s">
        <v>244</v>
      </c>
      <c r="B97" s="195" t="s">
        <v>245</v>
      </c>
      <c r="C97" s="196"/>
      <c r="D97" s="197"/>
      <c r="E97" s="198">
        <v>0.65</v>
      </c>
      <c r="F97" s="198">
        <v>0.75</v>
      </c>
      <c r="G97" s="198">
        <v>0.8</v>
      </c>
      <c r="H97" s="198">
        <v>0.85</v>
      </c>
      <c r="I97" s="199" t="s">
        <v>246</v>
      </c>
      <c r="O97" s="196">
        <v>7028</v>
      </c>
      <c r="P97" s="200">
        <v>0.92</v>
      </c>
      <c r="Q97" s="200">
        <v>1</v>
      </c>
      <c r="R97" s="196"/>
    </row>
    <row r="98" spans="1:18" ht="15.75" thickBot="1">
      <c r="A98" s="786" t="s">
        <v>262</v>
      </c>
      <c r="B98" s="787"/>
      <c r="C98" s="787"/>
      <c r="D98" s="787"/>
      <c r="E98" s="787"/>
      <c r="F98" s="787"/>
      <c r="G98" s="787"/>
      <c r="H98" s="787"/>
      <c r="I98" s="787"/>
      <c r="J98" s="787"/>
      <c r="K98" s="787"/>
      <c r="L98" s="787"/>
      <c r="M98" s="787"/>
      <c r="N98" s="787"/>
      <c r="O98" s="787"/>
      <c r="P98" s="787"/>
      <c r="Q98" s="787"/>
      <c r="R98" s="787"/>
    </row>
    <row r="99" spans="1:18" ht="141" thickBot="1">
      <c r="A99" s="214" t="s">
        <v>263</v>
      </c>
      <c r="B99" s="214" t="s">
        <v>264</v>
      </c>
      <c r="C99" s="215">
        <v>0</v>
      </c>
      <c r="D99" s="216"/>
      <c r="E99" s="217">
        <v>3</v>
      </c>
      <c r="F99" s="217">
        <v>6</v>
      </c>
      <c r="G99" s="217">
        <v>8</v>
      </c>
      <c r="H99" s="217">
        <v>10</v>
      </c>
      <c r="I99" s="214" t="s">
        <v>265</v>
      </c>
      <c r="J99" s="218">
        <v>3</v>
      </c>
      <c r="K99" s="218">
        <v>0</v>
      </c>
      <c r="L99" s="218">
        <v>3</v>
      </c>
      <c r="M99" s="219"/>
      <c r="O99" s="218">
        <v>3</v>
      </c>
      <c r="P99" s="218">
        <v>0</v>
      </c>
      <c r="Q99" s="218">
        <v>3</v>
      </c>
      <c r="R99" s="219"/>
    </row>
    <row r="100" spans="1:18" ht="102.75" thickBot="1">
      <c r="A100" s="214" t="s">
        <v>266</v>
      </c>
      <c r="B100" s="214" t="s">
        <v>267</v>
      </c>
      <c r="C100" s="215">
        <v>0</v>
      </c>
      <c r="D100" s="216"/>
      <c r="E100" s="220">
        <v>3</v>
      </c>
      <c r="F100" s="220">
        <v>6</v>
      </c>
      <c r="G100" s="220">
        <v>8</v>
      </c>
      <c r="H100" s="220">
        <v>10</v>
      </c>
      <c r="I100" s="214" t="s">
        <v>268</v>
      </c>
      <c r="J100" s="218">
        <v>3</v>
      </c>
      <c r="K100" s="218">
        <v>0</v>
      </c>
      <c r="L100" s="218">
        <v>3</v>
      </c>
      <c r="M100" s="219"/>
      <c r="O100" s="218">
        <v>3</v>
      </c>
      <c r="P100" s="218">
        <v>0</v>
      </c>
      <c r="Q100" s="218">
        <v>3</v>
      </c>
      <c r="R100" s="219"/>
    </row>
    <row r="101" spans="1:18" ht="141" thickBot="1">
      <c r="A101" s="214" t="s">
        <v>269</v>
      </c>
      <c r="B101" s="214" t="s">
        <v>270</v>
      </c>
      <c r="C101" s="215">
        <v>0</v>
      </c>
      <c r="D101" s="216"/>
      <c r="E101" s="220">
        <v>20</v>
      </c>
      <c r="F101" s="220">
        <v>35</v>
      </c>
      <c r="G101" s="220">
        <v>45</v>
      </c>
      <c r="H101" s="220">
        <v>55</v>
      </c>
      <c r="I101" s="214" t="s">
        <v>271</v>
      </c>
      <c r="J101" s="218">
        <v>20</v>
      </c>
      <c r="K101" s="218">
        <v>0</v>
      </c>
      <c r="L101" s="218">
        <v>20</v>
      </c>
      <c r="M101" s="219"/>
      <c r="O101" s="218">
        <v>20</v>
      </c>
      <c r="P101" s="218">
        <v>0</v>
      </c>
      <c r="Q101" s="218">
        <v>20</v>
      </c>
      <c r="R101" s="219"/>
    </row>
    <row r="102" spans="1:18" ht="90" thickBot="1">
      <c r="A102" s="214" t="s">
        <v>272</v>
      </c>
      <c r="B102" s="214" t="s">
        <v>273</v>
      </c>
      <c r="C102" s="215">
        <v>0</v>
      </c>
      <c r="D102" s="216"/>
      <c r="E102" s="220">
        <v>20</v>
      </c>
      <c r="F102" s="220">
        <v>40</v>
      </c>
      <c r="G102" s="220">
        <v>60</v>
      </c>
      <c r="H102" s="220">
        <v>80</v>
      </c>
      <c r="I102" s="214" t="s">
        <v>274</v>
      </c>
      <c r="J102" s="218">
        <v>20</v>
      </c>
      <c r="K102" s="218">
        <v>0</v>
      </c>
      <c r="L102" s="218">
        <v>20</v>
      </c>
      <c r="M102" s="219"/>
      <c r="O102" s="218">
        <v>20</v>
      </c>
      <c r="P102" s="218">
        <v>0</v>
      </c>
      <c r="Q102" s="218">
        <v>20</v>
      </c>
      <c r="R102" s="219"/>
    </row>
    <row r="103" spans="1:18" ht="115.5" thickBot="1">
      <c r="A103" s="214" t="s">
        <v>275</v>
      </c>
      <c r="B103" s="214" t="s">
        <v>276</v>
      </c>
      <c r="C103" s="215">
        <v>0</v>
      </c>
      <c r="D103" s="216"/>
      <c r="E103" s="220">
        <v>15</v>
      </c>
      <c r="F103" s="220">
        <v>30</v>
      </c>
      <c r="G103" s="220">
        <v>40</v>
      </c>
      <c r="H103" s="220">
        <v>50</v>
      </c>
      <c r="I103" s="214" t="s">
        <v>277</v>
      </c>
      <c r="J103" s="218">
        <v>15</v>
      </c>
      <c r="K103" s="218">
        <v>0</v>
      </c>
      <c r="L103" s="218">
        <v>15</v>
      </c>
      <c r="M103" s="219"/>
      <c r="O103" s="218">
        <v>15</v>
      </c>
      <c r="P103" s="218">
        <v>0</v>
      </c>
      <c r="Q103" s="218">
        <v>15</v>
      </c>
      <c r="R103" s="219"/>
    </row>
    <row r="104" spans="1:18" ht="141" thickBot="1">
      <c r="A104" s="214" t="s">
        <v>278</v>
      </c>
      <c r="B104" s="214" t="s">
        <v>279</v>
      </c>
      <c r="C104" s="215">
        <v>0</v>
      </c>
      <c r="D104" s="216"/>
      <c r="E104" s="220">
        <v>200</v>
      </c>
      <c r="F104" s="220">
        <v>400</v>
      </c>
      <c r="G104" s="220">
        <v>600</v>
      </c>
      <c r="H104" s="220">
        <v>800</v>
      </c>
      <c r="I104" s="214" t="s">
        <v>280</v>
      </c>
      <c r="J104" s="218">
        <v>200</v>
      </c>
      <c r="K104" s="218">
        <v>0</v>
      </c>
      <c r="L104" s="218">
        <v>200</v>
      </c>
      <c r="M104" s="219"/>
      <c r="O104" s="218">
        <v>200</v>
      </c>
      <c r="P104" s="218">
        <v>0</v>
      </c>
      <c r="Q104" s="218">
        <v>200</v>
      </c>
      <c r="R104" s="219"/>
    </row>
    <row r="105" spans="1:18" ht="77.25" thickBot="1">
      <c r="A105" s="214" t="s">
        <v>281</v>
      </c>
      <c r="B105" s="214" t="s">
        <v>282</v>
      </c>
      <c r="C105" s="215">
        <v>0</v>
      </c>
      <c r="D105" s="216"/>
      <c r="E105" s="220">
        <v>1</v>
      </c>
      <c r="F105" s="220">
        <v>2</v>
      </c>
      <c r="G105" s="220">
        <v>3</v>
      </c>
      <c r="H105" s="220">
        <v>4</v>
      </c>
      <c r="I105" s="214" t="s">
        <v>283</v>
      </c>
      <c r="J105" s="218">
        <v>1</v>
      </c>
      <c r="K105" s="218">
        <v>0</v>
      </c>
      <c r="L105" s="218">
        <v>1</v>
      </c>
      <c r="M105" s="219"/>
      <c r="O105" s="218">
        <v>1</v>
      </c>
      <c r="P105" s="218">
        <v>0</v>
      </c>
      <c r="Q105" s="218">
        <v>1</v>
      </c>
      <c r="R105" s="219"/>
    </row>
    <row r="106" spans="1:18" ht="63.75">
      <c r="A106" s="214" t="s">
        <v>284</v>
      </c>
      <c r="B106" s="214" t="s">
        <v>285</v>
      </c>
      <c r="C106" s="221">
        <v>0</v>
      </c>
      <c r="D106" s="222"/>
      <c r="E106" s="223">
        <v>4</v>
      </c>
      <c r="F106" s="223">
        <v>8</v>
      </c>
      <c r="G106" s="223">
        <v>12</v>
      </c>
      <c r="H106" s="223">
        <v>16</v>
      </c>
      <c r="I106" s="214" t="s">
        <v>286</v>
      </c>
      <c r="J106" s="218">
        <v>4</v>
      </c>
      <c r="K106" s="218">
        <v>0</v>
      </c>
      <c r="L106" s="218">
        <v>4</v>
      </c>
      <c r="M106" s="224"/>
      <c r="O106" s="218">
        <v>4</v>
      </c>
      <c r="P106" s="218">
        <v>0</v>
      </c>
      <c r="Q106" s="218">
        <v>4</v>
      </c>
      <c r="R106" s="224"/>
    </row>
    <row r="107" spans="1:18" ht="15">
      <c r="A107" s="788" t="s">
        <v>287</v>
      </c>
      <c r="B107" s="789"/>
      <c r="C107" s="789"/>
      <c r="D107" s="789"/>
      <c r="E107" s="789"/>
      <c r="F107" s="789"/>
      <c r="G107" s="789"/>
      <c r="H107" s="789"/>
      <c r="I107" s="789"/>
      <c r="J107" s="789"/>
      <c r="K107" s="789"/>
      <c r="L107" s="789"/>
      <c r="M107" s="789"/>
      <c r="N107" s="789"/>
      <c r="O107" s="789"/>
      <c r="P107" s="789"/>
      <c r="Q107" s="789"/>
      <c r="R107" s="789"/>
    </row>
    <row r="108" spans="1:18" ht="165.75">
      <c r="A108" s="225" t="s">
        <v>288</v>
      </c>
      <c r="B108" s="226" t="s">
        <v>289</v>
      </c>
      <c r="C108" s="227"/>
      <c r="D108" s="228"/>
      <c r="E108" s="227"/>
      <c r="F108" s="227"/>
      <c r="G108" s="227"/>
      <c r="H108" s="227"/>
      <c r="I108" s="227"/>
      <c r="J108" s="227"/>
      <c r="K108" s="227"/>
      <c r="L108" s="227"/>
      <c r="M108" s="227"/>
      <c r="O108" s="234"/>
      <c r="P108" s="234"/>
      <c r="Q108" s="234"/>
      <c r="R108" s="219"/>
    </row>
    <row r="109" spans="1:18" ht="242.25">
      <c r="A109" s="229" t="s">
        <v>290</v>
      </c>
      <c r="B109" s="229" t="s">
        <v>291</v>
      </c>
      <c r="C109" s="227"/>
      <c r="D109" s="228"/>
      <c r="E109" s="227"/>
      <c r="F109" s="227"/>
      <c r="G109" s="227"/>
      <c r="H109" s="227"/>
      <c r="I109" s="227"/>
      <c r="J109" s="227"/>
      <c r="K109" s="227"/>
      <c r="L109" s="227"/>
      <c r="M109" s="227"/>
      <c r="O109" s="234"/>
      <c r="P109" s="234"/>
      <c r="Q109" s="234"/>
      <c r="R109" s="219"/>
    </row>
    <row r="110" spans="1:18" ht="89.25">
      <c r="A110" s="230" t="s">
        <v>292</v>
      </c>
      <c r="B110" s="231" t="s">
        <v>293</v>
      </c>
      <c r="C110" s="227"/>
      <c r="D110" s="228"/>
      <c r="E110" s="227"/>
      <c r="F110" s="227"/>
      <c r="G110" s="227"/>
      <c r="H110" s="227"/>
      <c r="I110" s="227"/>
      <c r="J110" s="227"/>
      <c r="K110" s="227"/>
      <c r="L110" s="227"/>
      <c r="M110" s="227"/>
      <c r="O110" s="234"/>
      <c r="P110" s="234"/>
      <c r="Q110" s="234"/>
      <c r="R110" s="219"/>
    </row>
    <row r="111" spans="1:18" ht="89.25">
      <c r="A111" s="232" t="s">
        <v>294</v>
      </c>
      <c r="B111" s="233" t="s">
        <v>295</v>
      </c>
      <c r="C111" s="227"/>
      <c r="D111" s="228"/>
      <c r="E111" s="227"/>
      <c r="F111" s="227"/>
      <c r="G111" s="227"/>
      <c r="H111" s="227"/>
      <c r="I111" s="227"/>
      <c r="J111" s="227"/>
      <c r="K111" s="227"/>
      <c r="L111" s="227"/>
      <c r="M111" s="227"/>
      <c r="O111" s="234"/>
      <c r="P111" s="234"/>
      <c r="Q111" s="234"/>
      <c r="R111" s="219"/>
    </row>
    <row r="112" spans="1:18" ht="127.5">
      <c r="A112" s="233" t="s">
        <v>296</v>
      </c>
      <c r="B112" s="233" t="s">
        <v>297</v>
      </c>
      <c r="C112" s="227"/>
      <c r="D112" s="228"/>
      <c r="E112" s="227"/>
      <c r="F112" s="227"/>
      <c r="G112" s="227"/>
      <c r="H112" s="227"/>
      <c r="I112" s="227"/>
      <c r="J112" s="227"/>
      <c r="K112" s="227"/>
      <c r="L112" s="227"/>
      <c r="M112" s="227"/>
      <c r="O112" s="234"/>
      <c r="P112" s="234"/>
      <c r="Q112" s="234"/>
      <c r="R112" s="219"/>
    </row>
    <row r="113" spans="1:18" ht="127.5">
      <c r="A113" s="232" t="s">
        <v>298</v>
      </c>
      <c r="B113" s="233" t="s">
        <v>299</v>
      </c>
      <c r="C113" s="227"/>
      <c r="D113" s="228"/>
      <c r="E113" s="227"/>
      <c r="F113" s="227"/>
      <c r="G113" s="227"/>
      <c r="H113" s="227"/>
      <c r="I113" s="227"/>
      <c r="J113" s="227"/>
      <c r="K113" s="227"/>
      <c r="L113" s="227"/>
      <c r="M113" s="227"/>
      <c r="O113" s="234"/>
      <c r="P113" s="234"/>
      <c r="Q113" s="234"/>
      <c r="R113" s="219"/>
    </row>
    <row r="114" spans="1:18" ht="76.5">
      <c r="A114" s="232" t="s">
        <v>300</v>
      </c>
      <c r="B114" s="233" t="s">
        <v>301</v>
      </c>
      <c r="C114" s="227"/>
      <c r="D114" s="228"/>
      <c r="E114" s="227"/>
      <c r="F114" s="227"/>
      <c r="G114" s="227"/>
      <c r="H114" s="227"/>
      <c r="I114" s="227"/>
      <c r="J114" s="227"/>
      <c r="K114" s="227"/>
      <c r="L114" s="227"/>
      <c r="M114" s="227"/>
      <c r="O114" s="187"/>
      <c r="P114" s="235"/>
      <c r="Q114" s="235"/>
      <c r="R114" s="187"/>
    </row>
    <row r="115" spans="1:18" ht="153">
      <c r="A115" s="186" t="s">
        <v>238</v>
      </c>
      <c r="B115" s="186" t="s">
        <v>239</v>
      </c>
      <c r="C115" s="187"/>
      <c r="D115" s="188"/>
      <c r="E115" s="189">
        <v>1</v>
      </c>
      <c r="F115" s="189">
        <v>3</v>
      </c>
      <c r="G115" s="189">
        <v>4</v>
      </c>
      <c r="H115" s="189">
        <v>5</v>
      </c>
      <c r="I115" s="190" t="s">
        <v>240</v>
      </c>
      <c r="J115" s="191">
        <v>0</v>
      </c>
      <c r="K115" s="191">
        <v>0</v>
      </c>
      <c r="L115" s="191">
        <v>0</v>
      </c>
      <c r="M115" s="187"/>
      <c r="O115" s="191">
        <v>0</v>
      </c>
      <c r="P115" s="191">
        <v>0</v>
      </c>
      <c r="Q115" s="191">
        <v>0</v>
      </c>
      <c r="R115" s="187"/>
    </row>
    <row r="116" spans="1:18" ht="114.75">
      <c r="A116" s="186" t="s">
        <v>241</v>
      </c>
      <c r="B116" s="186" t="s">
        <v>242</v>
      </c>
      <c r="C116" s="187"/>
      <c r="D116" s="188"/>
      <c r="E116" s="192">
        <v>1</v>
      </c>
      <c r="F116" s="192">
        <v>1</v>
      </c>
      <c r="G116" s="192">
        <v>1</v>
      </c>
      <c r="H116" s="192">
        <v>1</v>
      </c>
      <c r="I116" s="190" t="s">
        <v>243</v>
      </c>
      <c r="J116" s="193">
        <v>1</v>
      </c>
      <c r="K116" s="194">
        <v>0.9</v>
      </c>
      <c r="L116" s="194">
        <v>1</v>
      </c>
      <c r="M116" s="187"/>
      <c r="O116" s="193">
        <v>1</v>
      </c>
      <c r="P116" s="194">
        <v>0.9</v>
      </c>
      <c r="Q116" s="194">
        <v>1</v>
      </c>
      <c r="R116" s="187"/>
    </row>
    <row r="117" spans="1:18" ht="255">
      <c r="A117" s="195" t="s">
        <v>244</v>
      </c>
      <c r="B117" s="195" t="s">
        <v>245</v>
      </c>
      <c r="C117" s="196"/>
      <c r="D117" s="197"/>
      <c r="E117" s="198">
        <v>0.65</v>
      </c>
      <c r="F117" s="198">
        <v>0.75</v>
      </c>
      <c r="G117" s="198">
        <v>0.8</v>
      </c>
      <c r="H117" s="198">
        <v>0.85</v>
      </c>
      <c r="I117" s="199" t="s">
        <v>246</v>
      </c>
      <c r="J117" s="196">
        <v>7028</v>
      </c>
      <c r="K117" s="200">
        <v>0.92</v>
      </c>
      <c r="L117" s="200">
        <v>1</v>
      </c>
      <c r="M117" s="196"/>
      <c r="O117" s="196">
        <v>7028</v>
      </c>
      <c r="P117" s="200">
        <v>0.92</v>
      </c>
      <c r="Q117" s="200">
        <v>1</v>
      </c>
      <c r="R117" s="196"/>
    </row>
    <row r="118" spans="1:18" ht="15">
      <c r="A118" s="784" t="s">
        <v>247</v>
      </c>
      <c r="B118" s="785"/>
      <c r="C118" s="785"/>
      <c r="D118" s="785"/>
      <c r="E118" s="785"/>
      <c r="F118" s="785"/>
      <c r="G118" s="785"/>
      <c r="H118" s="785"/>
      <c r="I118" s="785"/>
      <c r="J118" s="785"/>
      <c r="K118" s="785"/>
      <c r="L118" s="785"/>
      <c r="M118" s="785"/>
      <c r="N118" s="785"/>
      <c r="O118" s="785"/>
      <c r="P118" s="785"/>
      <c r="Q118" s="785"/>
      <c r="R118" s="785"/>
    </row>
    <row r="119" spans="1:18" ht="114.75">
      <c r="A119" s="201" t="s">
        <v>248</v>
      </c>
      <c r="B119" s="202" t="s">
        <v>249</v>
      </c>
      <c r="C119" s="203">
        <v>0</v>
      </c>
      <c r="D119" s="204"/>
      <c r="E119" s="205">
        <v>80</v>
      </c>
      <c r="F119" s="205">
        <v>80</v>
      </c>
      <c r="G119" s="205">
        <v>80</v>
      </c>
      <c r="H119" s="205">
        <v>80</v>
      </c>
      <c r="I119" s="206" t="s">
        <v>250</v>
      </c>
      <c r="O119" s="187">
        <v>80</v>
      </c>
      <c r="P119" s="187">
        <v>0</v>
      </c>
      <c r="Q119" s="207">
        <v>80</v>
      </c>
      <c r="R119" s="187"/>
    </row>
    <row r="120" spans="1:18" ht="102">
      <c r="A120" s="201" t="s">
        <v>251</v>
      </c>
      <c r="B120" s="202" t="s">
        <v>249</v>
      </c>
      <c r="C120" s="203">
        <v>81</v>
      </c>
      <c r="D120" s="204"/>
      <c r="E120" s="205">
        <v>231</v>
      </c>
      <c r="F120" s="205">
        <v>231</v>
      </c>
      <c r="G120" s="205">
        <v>231</v>
      </c>
      <c r="H120" s="205">
        <v>231</v>
      </c>
      <c r="I120" s="206" t="s">
        <v>252</v>
      </c>
      <c r="O120" s="187">
        <v>100</v>
      </c>
      <c r="P120" s="187">
        <v>81</v>
      </c>
      <c r="Q120" s="207">
        <v>100</v>
      </c>
      <c r="R120" s="187"/>
    </row>
    <row r="121" spans="1:18" ht="102">
      <c r="A121" s="201" t="s">
        <v>253</v>
      </c>
      <c r="B121" s="202" t="s">
        <v>249</v>
      </c>
      <c r="C121" s="203">
        <v>0</v>
      </c>
      <c r="D121" s="204"/>
      <c r="E121" s="205">
        <v>50</v>
      </c>
      <c r="F121" s="205">
        <v>100</v>
      </c>
      <c r="G121" s="205">
        <v>100</v>
      </c>
      <c r="H121" s="205">
        <v>100</v>
      </c>
      <c r="I121" s="206" t="s">
        <v>254</v>
      </c>
      <c r="O121" s="187">
        <v>50</v>
      </c>
      <c r="P121" s="187">
        <v>0</v>
      </c>
      <c r="Q121" s="207">
        <v>50</v>
      </c>
      <c r="R121" s="187"/>
    </row>
    <row r="122" spans="1:18" ht="102">
      <c r="A122" s="201" t="s">
        <v>255</v>
      </c>
      <c r="B122" s="202" t="s">
        <v>249</v>
      </c>
      <c r="C122" s="203">
        <v>20</v>
      </c>
      <c r="D122" s="204"/>
      <c r="E122" s="187">
        <v>35</v>
      </c>
      <c r="F122" s="187">
        <v>50</v>
      </c>
      <c r="G122" s="187">
        <v>70</v>
      </c>
      <c r="H122" s="187">
        <v>70</v>
      </c>
      <c r="I122" s="206" t="s">
        <v>256</v>
      </c>
      <c r="O122" s="187">
        <v>1</v>
      </c>
      <c r="P122" s="187">
        <v>1</v>
      </c>
      <c r="Q122" s="207">
        <v>1</v>
      </c>
      <c r="R122" s="187"/>
    </row>
    <row r="123" spans="1:18" ht="114.75">
      <c r="A123" s="201" t="s">
        <v>257</v>
      </c>
      <c r="B123" s="202" t="s">
        <v>249</v>
      </c>
      <c r="C123" s="203">
        <v>19</v>
      </c>
      <c r="D123" s="204"/>
      <c r="E123" s="187">
        <v>19</v>
      </c>
      <c r="F123" s="187">
        <v>19</v>
      </c>
      <c r="G123" s="187">
        <v>19</v>
      </c>
      <c r="H123" s="187">
        <v>30</v>
      </c>
      <c r="I123" s="206" t="s">
        <v>258</v>
      </c>
      <c r="O123" s="187">
        <v>0</v>
      </c>
      <c r="P123" s="187">
        <v>19</v>
      </c>
      <c r="Q123" s="207">
        <v>19</v>
      </c>
      <c r="R123" s="187"/>
    </row>
    <row r="124" spans="1:18" ht="63.75">
      <c r="A124" s="208" t="s">
        <v>259</v>
      </c>
      <c r="B124" s="209" t="s">
        <v>260</v>
      </c>
      <c r="C124" s="210">
        <v>67</v>
      </c>
      <c r="D124" s="211"/>
      <c r="E124" s="196">
        <v>67</v>
      </c>
      <c r="F124" s="196">
        <v>121</v>
      </c>
      <c r="G124" s="196">
        <v>221</v>
      </c>
      <c r="H124" s="196">
        <v>317</v>
      </c>
      <c r="I124" s="212" t="s">
        <v>261</v>
      </c>
      <c r="O124" s="196">
        <v>0</v>
      </c>
      <c r="P124" s="196">
        <v>70</v>
      </c>
      <c r="Q124" s="213">
        <v>70</v>
      </c>
      <c r="R124" s="196"/>
    </row>
    <row r="125" spans="1:18" ht="15.75" thickBot="1">
      <c r="A125" s="782" t="s">
        <v>302</v>
      </c>
      <c r="B125" s="783"/>
      <c r="C125" s="783"/>
      <c r="D125" s="783"/>
      <c r="E125" s="783"/>
      <c r="F125" s="783"/>
      <c r="G125" s="783"/>
      <c r="H125" s="783"/>
      <c r="I125" s="783"/>
      <c r="J125" s="783"/>
      <c r="K125" s="783"/>
      <c r="L125" s="783"/>
      <c r="M125" s="783"/>
      <c r="N125" s="783"/>
      <c r="O125" s="783"/>
      <c r="P125" s="783"/>
      <c r="Q125" s="783"/>
      <c r="R125" s="783"/>
    </row>
    <row r="126" spans="1:18" ht="318.75">
      <c r="A126" s="236" t="s">
        <v>303</v>
      </c>
      <c r="B126" s="236" t="s">
        <v>304</v>
      </c>
      <c r="C126" s="236">
        <v>1000</v>
      </c>
      <c r="D126" s="237"/>
      <c r="E126" s="238">
        <v>1125</v>
      </c>
      <c r="F126" s="238">
        <v>1250</v>
      </c>
      <c r="G126" s="238">
        <v>1375</v>
      </c>
      <c r="H126" s="238">
        <v>1500</v>
      </c>
      <c r="I126" s="239" t="s">
        <v>305</v>
      </c>
      <c r="J126" s="240">
        <v>1600</v>
      </c>
      <c r="K126" s="240">
        <v>1000</v>
      </c>
      <c r="L126" s="240">
        <v>1700</v>
      </c>
      <c r="M126" s="241" t="s">
        <v>375</v>
      </c>
      <c r="O126" s="240">
        <v>1600</v>
      </c>
      <c r="P126" s="240">
        <v>1000</v>
      </c>
      <c r="Q126" s="240">
        <v>1700</v>
      </c>
      <c r="R126" s="241" t="s">
        <v>375</v>
      </c>
    </row>
    <row r="127" spans="1:18" ht="357">
      <c r="A127" s="236" t="s">
        <v>306</v>
      </c>
      <c r="B127" s="236" t="s">
        <v>307</v>
      </c>
      <c r="C127" s="236">
        <v>400</v>
      </c>
      <c r="D127" s="237"/>
      <c r="E127" s="238">
        <v>550</v>
      </c>
      <c r="F127" s="238">
        <v>700</v>
      </c>
      <c r="G127" s="238">
        <v>850</v>
      </c>
      <c r="H127" s="238">
        <v>1000</v>
      </c>
      <c r="I127" s="239" t="s">
        <v>308</v>
      </c>
      <c r="J127" s="191">
        <v>850</v>
      </c>
      <c r="K127" s="191">
        <v>550</v>
      </c>
      <c r="L127" s="191">
        <v>1000</v>
      </c>
      <c r="M127" s="241" t="s">
        <v>376</v>
      </c>
      <c r="O127" s="191">
        <v>850</v>
      </c>
      <c r="P127" s="191">
        <v>550</v>
      </c>
      <c r="Q127" s="191">
        <v>1000</v>
      </c>
      <c r="R127" s="241" t="s">
        <v>376</v>
      </c>
    </row>
    <row r="128" spans="1:18" ht="255">
      <c r="A128" s="236" t="s">
        <v>309</v>
      </c>
      <c r="B128" s="236" t="s">
        <v>310</v>
      </c>
      <c r="C128" s="242">
        <v>280</v>
      </c>
      <c r="D128" s="237"/>
      <c r="E128" s="243">
        <v>320</v>
      </c>
      <c r="F128" s="243">
        <v>340</v>
      </c>
      <c r="G128" s="243">
        <v>360</v>
      </c>
      <c r="H128" s="243">
        <v>380</v>
      </c>
      <c r="I128" s="239" t="s">
        <v>311</v>
      </c>
      <c r="J128" s="191">
        <v>365</v>
      </c>
      <c r="K128" s="191">
        <v>280</v>
      </c>
      <c r="L128" s="191">
        <v>400</v>
      </c>
      <c r="M128" s="241" t="s">
        <v>377</v>
      </c>
      <c r="O128" s="191">
        <v>365</v>
      </c>
      <c r="P128" s="191">
        <v>280</v>
      </c>
      <c r="Q128" s="191">
        <v>400</v>
      </c>
      <c r="R128" s="241" t="s">
        <v>377</v>
      </c>
    </row>
    <row r="129" spans="1:18" ht="165.75">
      <c r="A129" s="244" t="s">
        <v>312</v>
      </c>
      <c r="B129" s="244" t="s">
        <v>313</v>
      </c>
      <c r="C129" s="242">
        <v>80</v>
      </c>
      <c r="D129" s="237"/>
      <c r="E129" s="243">
        <v>100</v>
      </c>
      <c r="F129" s="243">
        <v>150</v>
      </c>
      <c r="G129" s="243">
        <v>160</v>
      </c>
      <c r="H129" s="243">
        <v>180</v>
      </c>
      <c r="I129" s="239" t="s">
        <v>314</v>
      </c>
      <c r="J129" s="191">
        <v>80</v>
      </c>
      <c r="K129" s="191">
        <v>80</v>
      </c>
      <c r="L129" s="191">
        <v>100</v>
      </c>
      <c r="M129" s="239" t="s">
        <v>378</v>
      </c>
      <c r="O129" s="191">
        <v>80</v>
      </c>
      <c r="P129" s="191">
        <v>80</v>
      </c>
      <c r="Q129" s="191">
        <v>100</v>
      </c>
      <c r="R129" s="239" t="s">
        <v>378</v>
      </c>
    </row>
    <row r="130" spans="1:18" ht="153">
      <c r="A130" s="244" t="s">
        <v>315</v>
      </c>
      <c r="B130" s="245" t="s">
        <v>316</v>
      </c>
      <c r="C130" s="242">
        <v>35</v>
      </c>
      <c r="D130" s="237"/>
      <c r="E130" s="243">
        <v>47</v>
      </c>
      <c r="F130" s="243">
        <v>59</v>
      </c>
      <c r="G130" s="243">
        <v>71</v>
      </c>
      <c r="H130" s="243">
        <v>85</v>
      </c>
      <c r="I130" s="239" t="s">
        <v>317</v>
      </c>
      <c r="J130" s="246">
        <v>24</v>
      </c>
      <c r="K130" s="246">
        <v>47</v>
      </c>
      <c r="L130" s="246">
        <v>71</v>
      </c>
      <c r="M130" s="241" t="s">
        <v>379</v>
      </c>
      <c r="O130" s="246">
        <v>24</v>
      </c>
      <c r="P130" s="246">
        <v>47</v>
      </c>
      <c r="Q130" s="246">
        <v>71</v>
      </c>
      <c r="R130" s="241" t="s">
        <v>379</v>
      </c>
    </row>
    <row r="131" spans="1:18" ht="357.75" thickBot="1">
      <c r="A131" s="247" t="s">
        <v>318</v>
      </c>
      <c r="B131" s="247" t="s">
        <v>319</v>
      </c>
      <c r="C131" s="242">
        <v>20</v>
      </c>
      <c r="D131" s="237"/>
      <c r="E131" s="243">
        <v>30</v>
      </c>
      <c r="F131" s="243">
        <v>35</v>
      </c>
      <c r="G131" s="243">
        <v>40</v>
      </c>
      <c r="H131" s="243">
        <v>70</v>
      </c>
      <c r="I131" s="239" t="s">
        <v>320</v>
      </c>
      <c r="J131" s="248">
        <v>40</v>
      </c>
      <c r="K131" s="248">
        <v>20</v>
      </c>
      <c r="L131" s="248">
        <v>70</v>
      </c>
      <c r="M131" s="241" t="s">
        <v>380</v>
      </c>
      <c r="O131" s="248">
        <v>40</v>
      </c>
      <c r="P131" s="248">
        <v>20</v>
      </c>
      <c r="Q131" s="248">
        <v>70</v>
      </c>
      <c r="R131" s="241" t="s">
        <v>380</v>
      </c>
    </row>
    <row r="132" spans="1:18" ht="165.75">
      <c r="A132" s="249" t="s">
        <v>321</v>
      </c>
      <c r="B132" s="249" t="s">
        <v>322</v>
      </c>
      <c r="C132" s="250">
        <v>0</v>
      </c>
      <c r="D132" s="251"/>
      <c r="E132" s="252">
        <v>40</v>
      </c>
      <c r="F132" s="252">
        <v>80</v>
      </c>
      <c r="G132" s="252">
        <v>110</v>
      </c>
      <c r="H132" s="252">
        <v>150</v>
      </c>
      <c r="I132" s="253" t="s">
        <v>323</v>
      </c>
      <c r="J132" s="246">
        <v>130</v>
      </c>
      <c r="K132" s="246">
        <v>130</v>
      </c>
      <c r="L132" s="246">
        <v>180</v>
      </c>
      <c r="M132" s="241" t="s">
        <v>381</v>
      </c>
      <c r="O132" s="246">
        <v>130</v>
      </c>
      <c r="P132" s="246">
        <v>130</v>
      </c>
      <c r="Q132" s="246">
        <v>180</v>
      </c>
      <c r="R132" s="241" t="s">
        <v>381</v>
      </c>
    </row>
    <row r="133" spans="1:18" ht="15.75" thickBot="1">
      <c r="A133" s="780" t="s">
        <v>324</v>
      </c>
      <c r="B133" s="781"/>
      <c r="C133" s="781"/>
      <c r="D133" s="781"/>
      <c r="E133" s="781"/>
      <c r="F133" s="781"/>
      <c r="G133" s="781"/>
      <c r="H133" s="781"/>
      <c r="I133" s="781"/>
      <c r="J133" s="781"/>
      <c r="K133" s="781"/>
      <c r="L133" s="781"/>
      <c r="M133" s="781"/>
      <c r="N133" s="781"/>
      <c r="O133" s="781"/>
      <c r="P133" s="781"/>
      <c r="Q133" s="781"/>
      <c r="R133" s="781"/>
    </row>
    <row r="134" spans="1:18" ht="140.25">
      <c r="A134" s="254" t="s">
        <v>325</v>
      </c>
      <c r="B134" s="254" t="s">
        <v>326</v>
      </c>
      <c r="C134" s="255" t="s">
        <v>327</v>
      </c>
      <c r="D134" s="256"/>
      <c r="E134" s="257">
        <v>3180</v>
      </c>
      <c r="F134" s="257">
        <v>4000</v>
      </c>
      <c r="G134" s="257">
        <v>4300</v>
      </c>
      <c r="H134" s="257">
        <v>4300</v>
      </c>
      <c r="I134" s="254" t="s">
        <v>328</v>
      </c>
      <c r="J134" s="258">
        <v>1800</v>
      </c>
      <c r="K134" s="258">
        <v>1800</v>
      </c>
      <c r="L134" s="258">
        <v>1800</v>
      </c>
      <c r="M134" s="187"/>
      <c r="O134" s="258">
        <v>1800</v>
      </c>
      <c r="P134" s="258">
        <v>1800</v>
      </c>
      <c r="Q134" s="258">
        <v>1800</v>
      </c>
      <c r="R134" s="187"/>
    </row>
    <row r="135" spans="1:18" ht="140.25">
      <c r="A135" s="254" t="s">
        <v>329</v>
      </c>
      <c r="B135" s="254" t="s">
        <v>330</v>
      </c>
      <c r="C135" s="255" t="s">
        <v>331</v>
      </c>
      <c r="D135" s="256"/>
      <c r="E135" s="257">
        <v>4000</v>
      </c>
      <c r="F135" s="257">
        <v>7000</v>
      </c>
      <c r="G135" s="257">
        <v>8500</v>
      </c>
      <c r="H135" s="257">
        <v>10000</v>
      </c>
      <c r="I135" s="254" t="s">
        <v>332</v>
      </c>
      <c r="J135" s="259">
        <v>4000</v>
      </c>
      <c r="K135" s="259">
        <v>1599</v>
      </c>
      <c r="L135" s="259">
        <v>4000</v>
      </c>
      <c r="M135" s="243" t="s">
        <v>333</v>
      </c>
      <c r="O135" s="259">
        <v>4000</v>
      </c>
      <c r="P135" s="259">
        <v>1599</v>
      </c>
      <c r="Q135" s="259">
        <v>4000</v>
      </c>
      <c r="R135" s="243" t="s">
        <v>333</v>
      </c>
    </row>
    <row r="136" spans="1:18" ht="102">
      <c r="A136" s="254" t="s">
        <v>334</v>
      </c>
      <c r="B136" s="254" t="s">
        <v>335</v>
      </c>
      <c r="C136" s="255" t="s">
        <v>336</v>
      </c>
      <c r="D136" s="256"/>
      <c r="E136" s="257">
        <v>500</v>
      </c>
      <c r="F136" s="257">
        <v>1000</v>
      </c>
      <c r="G136" s="257">
        <v>2000</v>
      </c>
      <c r="H136" s="257">
        <v>3000</v>
      </c>
      <c r="I136" s="254" t="s">
        <v>337</v>
      </c>
      <c r="J136" s="207">
        <v>500</v>
      </c>
      <c r="K136" s="207" t="s">
        <v>338</v>
      </c>
      <c r="L136" s="207">
        <v>500</v>
      </c>
      <c r="M136" s="187"/>
      <c r="O136" s="207">
        <v>500</v>
      </c>
      <c r="P136" s="207" t="s">
        <v>338</v>
      </c>
      <c r="Q136" s="207">
        <v>500</v>
      </c>
      <c r="R136" s="187"/>
    </row>
    <row r="137" spans="1:18" ht="102.75" thickBot="1">
      <c r="A137" s="254" t="s">
        <v>339</v>
      </c>
      <c r="B137" s="254" t="s">
        <v>340</v>
      </c>
      <c r="C137" s="260" t="s">
        <v>341</v>
      </c>
      <c r="D137" s="256"/>
      <c r="E137" s="260" t="s">
        <v>342</v>
      </c>
      <c r="F137" s="260" t="s">
        <v>343</v>
      </c>
      <c r="G137" s="260" t="s">
        <v>343</v>
      </c>
      <c r="H137" s="260" t="s">
        <v>343</v>
      </c>
      <c r="I137" s="254" t="s">
        <v>344</v>
      </c>
      <c r="J137" s="207">
        <v>1</v>
      </c>
      <c r="K137" s="261">
        <v>1</v>
      </c>
      <c r="L137" s="262">
        <v>1</v>
      </c>
      <c r="M137" s="243" t="s">
        <v>345</v>
      </c>
      <c r="O137" s="207">
        <v>1</v>
      </c>
      <c r="P137" s="261">
        <v>1</v>
      </c>
      <c r="Q137" s="262">
        <v>1</v>
      </c>
      <c r="R137" s="243" t="s">
        <v>345</v>
      </c>
    </row>
    <row r="138" spans="1:18" ht="127.5">
      <c r="A138" s="254" t="s">
        <v>346</v>
      </c>
      <c r="B138" s="254" t="s">
        <v>347</v>
      </c>
      <c r="C138" s="260" t="s">
        <v>348</v>
      </c>
      <c r="D138" s="256"/>
      <c r="E138" s="257">
        <v>35</v>
      </c>
      <c r="F138" s="257">
        <v>45</v>
      </c>
      <c r="G138" s="257">
        <v>55</v>
      </c>
      <c r="H138" s="257">
        <v>65</v>
      </c>
      <c r="I138" s="254" t="s">
        <v>349</v>
      </c>
      <c r="J138" s="258">
        <v>100</v>
      </c>
      <c r="K138" s="258">
        <v>100</v>
      </c>
      <c r="L138" s="258">
        <v>100</v>
      </c>
      <c r="M138" s="263" t="s">
        <v>350</v>
      </c>
      <c r="O138" s="258">
        <v>100</v>
      </c>
      <c r="P138" s="258">
        <v>100</v>
      </c>
      <c r="Q138" s="258">
        <v>100</v>
      </c>
      <c r="R138" s="263" t="s">
        <v>350</v>
      </c>
    </row>
    <row r="139" spans="1:18" ht="153">
      <c r="A139" s="264" t="s">
        <v>351</v>
      </c>
      <c r="B139" s="264" t="s">
        <v>352</v>
      </c>
      <c r="C139" s="265" t="s">
        <v>336</v>
      </c>
      <c r="D139" s="266"/>
      <c r="E139" s="267">
        <v>2</v>
      </c>
      <c r="F139" s="267">
        <v>4</v>
      </c>
      <c r="G139" s="267">
        <v>6</v>
      </c>
      <c r="H139" s="267">
        <v>8</v>
      </c>
      <c r="I139" s="264" t="s">
        <v>353</v>
      </c>
      <c r="J139" s="213">
        <v>100</v>
      </c>
      <c r="K139" s="213">
        <v>12</v>
      </c>
      <c r="L139" s="213">
        <v>100</v>
      </c>
      <c r="M139" s="252" t="s">
        <v>354</v>
      </c>
      <c r="O139" s="213">
        <v>100</v>
      </c>
      <c r="P139" s="213">
        <v>12</v>
      </c>
      <c r="Q139" s="213">
        <v>100</v>
      </c>
      <c r="R139" s="252" t="s">
        <v>354</v>
      </c>
    </row>
    <row r="140" spans="1:18" ht="15">
      <c r="A140" s="778" t="s">
        <v>355</v>
      </c>
      <c r="B140" s="779"/>
      <c r="C140" s="779"/>
      <c r="D140" s="779"/>
      <c r="E140" s="779"/>
      <c r="F140" s="779"/>
      <c r="G140" s="779"/>
      <c r="H140" s="779"/>
      <c r="I140" s="779"/>
      <c r="J140" s="779"/>
      <c r="K140" s="779"/>
      <c r="L140" s="779"/>
      <c r="M140" s="779"/>
      <c r="N140" s="779"/>
      <c r="O140" s="779"/>
      <c r="P140" s="779"/>
      <c r="Q140" s="779"/>
      <c r="R140" s="779"/>
    </row>
    <row r="141" spans="1:18" ht="216.75">
      <c r="A141" s="268" t="s">
        <v>356</v>
      </c>
      <c r="B141" s="268" t="s">
        <v>357</v>
      </c>
      <c r="C141" s="227"/>
      <c r="D141" s="269"/>
      <c r="E141" s="270">
        <v>250</v>
      </c>
      <c r="F141" s="271">
        <v>500</v>
      </c>
      <c r="G141" s="271">
        <v>750</v>
      </c>
      <c r="H141" s="272">
        <v>1000</v>
      </c>
      <c r="I141" s="268" t="s">
        <v>358</v>
      </c>
      <c r="J141" s="273">
        <v>755</v>
      </c>
      <c r="K141" s="273">
        <v>500</v>
      </c>
      <c r="L141" s="273">
        <v>1000</v>
      </c>
      <c r="M141" s="274" t="s">
        <v>371</v>
      </c>
      <c r="O141" s="273">
        <v>755</v>
      </c>
      <c r="P141" s="273">
        <v>500</v>
      </c>
      <c r="Q141" s="273">
        <v>1000</v>
      </c>
      <c r="R141" s="274" t="s">
        <v>371</v>
      </c>
    </row>
    <row r="142" spans="1:18" ht="178.5">
      <c r="A142" s="268" t="s">
        <v>359</v>
      </c>
      <c r="B142" s="268" t="s">
        <v>360</v>
      </c>
      <c r="C142" s="227"/>
      <c r="D142" s="269"/>
      <c r="E142" s="275">
        <v>1</v>
      </c>
      <c r="F142" s="276">
        <v>2</v>
      </c>
      <c r="G142" s="276">
        <v>3</v>
      </c>
      <c r="H142" s="277">
        <v>4</v>
      </c>
      <c r="I142" s="268" t="s">
        <v>361</v>
      </c>
      <c r="J142" s="273">
        <v>2</v>
      </c>
      <c r="K142" s="273">
        <v>1</v>
      </c>
      <c r="L142" s="273">
        <v>3</v>
      </c>
      <c r="M142" s="274" t="s">
        <v>372</v>
      </c>
      <c r="O142" s="273">
        <v>2</v>
      </c>
      <c r="P142" s="273">
        <v>1</v>
      </c>
      <c r="Q142" s="273">
        <v>3</v>
      </c>
      <c r="R142" s="274" t="s">
        <v>372</v>
      </c>
    </row>
    <row r="143" spans="1:18" ht="153">
      <c r="A143" s="278" t="s">
        <v>362</v>
      </c>
      <c r="B143" s="278" t="s">
        <v>363</v>
      </c>
      <c r="C143" s="227"/>
      <c r="D143" s="269"/>
      <c r="E143" s="279">
        <v>3</v>
      </c>
      <c r="F143" s="280">
        <v>4</v>
      </c>
      <c r="G143" s="280">
        <v>5</v>
      </c>
      <c r="H143" s="281">
        <v>6</v>
      </c>
      <c r="I143" s="278" t="s">
        <v>364</v>
      </c>
      <c r="J143" s="273">
        <v>5</v>
      </c>
      <c r="K143" s="273">
        <v>0</v>
      </c>
      <c r="L143" s="273">
        <v>5</v>
      </c>
      <c r="M143" s="274" t="s">
        <v>373</v>
      </c>
      <c r="O143" s="273">
        <v>5</v>
      </c>
      <c r="P143" s="273">
        <v>0</v>
      </c>
      <c r="Q143" s="273">
        <v>5</v>
      </c>
      <c r="R143" s="274" t="s">
        <v>373</v>
      </c>
    </row>
    <row r="144" spans="1:18" ht="157.5">
      <c r="A144" s="278" t="s">
        <v>365</v>
      </c>
      <c r="B144" s="278" t="s">
        <v>366</v>
      </c>
      <c r="C144" s="283"/>
      <c r="D144" s="284"/>
      <c r="E144" s="280"/>
      <c r="F144" s="280">
        <v>3000</v>
      </c>
      <c r="G144" s="280">
        <v>6000</v>
      </c>
      <c r="H144" s="280">
        <v>10000</v>
      </c>
      <c r="I144" s="278" t="s">
        <v>367</v>
      </c>
      <c r="J144" s="285">
        <v>5800</v>
      </c>
      <c r="K144" s="285">
        <v>200</v>
      </c>
      <c r="L144" s="285">
        <v>6000</v>
      </c>
      <c r="M144" s="286" t="s">
        <v>208</v>
      </c>
      <c r="O144" s="285">
        <v>5800</v>
      </c>
      <c r="P144" s="285">
        <v>200</v>
      </c>
      <c r="Q144" s="285">
        <v>6000</v>
      </c>
      <c r="R144" s="282" t="s">
        <v>208</v>
      </c>
    </row>
    <row r="145" spans="1:18" ht="165.75">
      <c r="A145" s="268" t="s">
        <v>368</v>
      </c>
      <c r="B145" s="268" t="s">
        <v>369</v>
      </c>
      <c r="C145" s="227"/>
      <c r="D145" s="269"/>
      <c r="E145" s="276">
        <v>0</v>
      </c>
      <c r="F145" s="276">
        <v>40</v>
      </c>
      <c r="G145" s="276">
        <v>70</v>
      </c>
      <c r="H145" s="276">
        <v>100</v>
      </c>
      <c r="I145" s="268" t="s">
        <v>370</v>
      </c>
      <c r="J145" s="273">
        <v>20</v>
      </c>
      <c r="K145" s="273">
        <v>50</v>
      </c>
      <c r="L145" s="273">
        <v>70</v>
      </c>
      <c r="M145" s="287" t="s">
        <v>374</v>
      </c>
      <c r="N145" s="288"/>
      <c r="O145" s="273">
        <v>20</v>
      </c>
      <c r="P145" s="273">
        <v>50</v>
      </c>
      <c r="Q145" s="273">
        <v>70</v>
      </c>
      <c r="R145" s="274" t="s">
        <v>374</v>
      </c>
    </row>
    <row r="146" spans="1:18" ht="15">
      <c r="A146" s="819" t="s">
        <v>382</v>
      </c>
      <c r="B146" s="820"/>
      <c r="C146" s="820"/>
      <c r="D146" s="820"/>
      <c r="E146" s="820"/>
      <c r="F146" s="820"/>
      <c r="G146" s="820"/>
      <c r="H146" s="820"/>
      <c r="I146" s="820"/>
      <c r="J146" s="820"/>
      <c r="K146" s="820"/>
      <c r="L146" s="820"/>
      <c r="M146" s="820"/>
      <c r="N146" s="820"/>
      <c r="O146" s="820"/>
      <c r="P146" s="820"/>
      <c r="Q146" s="820"/>
      <c r="R146" s="820"/>
    </row>
    <row r="147" spans="1:18" ht="153">
      <c r="A147" s="289" t="s">
        <v>383</v>
      </c>
      <c r="B147" s="289" t="s">
        <v>384</v>
      </c>
      <c r="C147" s="290">
        <v>0</v>
      </c>
      <c r="D147" s="291"/>
      <c r="E147" s="292">
        <v>0</v>
      </c>
      <c r="F147" s="293">
        <v>1</v>
      </c>
      <c r="G147" s="293">
        <v>1</v>
      </c>
      <c r="H147" s="290">
        <v>1</v>
      </c>
      <c r="I147" s="289" t="s">
        <v>385</v>
      </c>
      <c r="J147" s="294">
        <v>1</v>
      </c>
      <c r="K147" s="294">
        <v>0.63</v>
      </c>
      <c r="L147" s="294">
        <v>1</v>
      </c>
      <c r="M147" s="219"/>
      <c r="O147" s="294">
        <v>1</v>
      </c>
      <c r="P147" s="294">
        <v>0.63</v>
      </c>
      <c r="Q147" s="294">
        <v>1</v>
      </c>
      <c r="R147" s="219"/>
    </row>
    <row r="148" spans="1:18" ht="89.25">
      <c r="A148" s="289" t="s">
        <v>386</v>
      </c>
      <c r="B148" s="289" t="s">
        <v>387</v>
      </c>
      <c r="C148" s="295">
        <v>0</v>
      </c>
      <c r="D148" s="291"/>
      <c r="E148" s="296">
        <v>4</v>
      </c>
      <c r="F148" s="297">
        <v>4</v>
      </c>
      <c r="G148" s="297">
        <v>6</v>
      </c>
      <c r="H148" s="295">
        <v>6</v>
      </c>
      <c r="I148" s="289" t="s">
        <v>388</v>
      </c>
      <c r="J148" s="294">
        <v>1</v>
      </c>
      <c r="K148" s="294">
        <v>0.98</v>
      </c>
      <c r="L148" s="294">
        <v>0.98</v>
      </c>
      <c r="M148" s="219"/>
      <c r="O148" s="294">
        <v>1</v>
      </c>
      <c r="P148" s="294">
        <v>0.98</v>
      </c>
      <c r="Q148" s="294">
        <v>0.98</v>
      </c>
      <c r="R148" s="219"/>
    </row>
    <row r="149" spans="1:18" ht="114.75">
      <c r="A149" s="289" t="s">
        <v>389</v>
      </c>
      <c r="B149" s="289" t="s">
        <v>390</v>
      </c>
      <c r="C149" s="298">
        <v>0</v>
      </c>
      <c r="D149" s="291"/>
      <c r="E149" s="299">
        <v>900</v>
      </c>
      <c r="F149" s="300">
        <v>900</v>
      </c>
      <c r="G149" s="300">
        <v>1000</v>
      </c>
      <c r="H149" s="298">
        <v>1000</v>
      </c>
      <c r="I149" s="289" t="s">
        <v>391</v>
      </c>
      <c r="J149" s="294">
        <v>0</v>
      </c>
      <c r="K149" s="219">
        <v>0</v>
      </c>
      <c r="L149" s="219">
        <v>0</v>
      </c>
      <c r="M149" s="301" t="s">
        <v>392</v>
      </c>
      <c r="O149" s="294">
        <v>0</v>
      </c>
      <c r="P149" s="219">
        <v>0</v>
      </c>
      <c r="Q149" s="219">
        <v>0</v>
      </c>
      <c r="R149" s="301" t="s">
        <v>392</v>
      </c>
    </row>
    <row r="150" spans="1:18" ht="89.25">
      <c r="A150" s="302" t="s">
        <v>393</v>
      </c>
      <c r="B150" s="302" t="s">
        <v>394</v>
      </c>
      <c r="C150" s="250">
        <v>0</v>
      </c>
      <c r="D150" s="303"/>
      <c r="E150" s="304">
        <v>2473</v>
      </c>
      <c r="F150" s="252">
        <v>4198</v>
      </c>
      <c r="G150" s="252">
        <v>8335</v>
      </c>
      <c r="H150" s="250">
        <v>10000</v>
      </c>
      <c r="I150" s="302" t="s">
        <v>395</v>
      </c>
      <c r="J150" s="224"/>
      <c r="K150" s="224">
        <v>0</v>
      </c>
      <c r="L150" s="224"/>
      <c r="M150" s="224"/>
      <c r="O150" s="224"/>
      <c r="P150" s="224">
        <v>0</v>
      </c>
      <c r="Q150" s="224"/>
      <c r="R150" s="224"/>
    </row>
    <row r="151" spans="1:18" ht="38.25">
      <c r="A151" s="305" t="s">
        <v>396</v>
      </c>
      <c r="B151" s="305" t="s">
        <v>397</v>
      </c>
      <c r="C151" s="306">
        <v>0</v>
      </c>
      <c r="D151" s="291"/>
      <c r="E151" s="306">
        <v>500</v>
      </c>
      <c r="F151" s="306">
        <v>500</v>
      </c>
      <c r="G151" s="306">
        <v>1000</v>
      </c>
      <c r="H151" s="306">
        <v>2000</v>
      </c>
      <c r="I151" s="305" t="s">
        <v>398</v>
      </c>
      <c r="J151" s="219"/>
      <c r="K151" s="219">
        <v>0</v>
      </c>
      <c r="L151" s="219">
        <v>0</v>
      </c>
      <c r="M151" s="219"/>
      <c r="N151" s="288"/>
      <c r="O151" s="219"/>
      <c r="P151" s="219">
        <v>0</v>
      </c>
      <c r="Q151" s="219">
        <v>0</v>
      </c>
      <c r="R151" s="219"/>
    </row>
    <row r="152" spans="1:18" ht="15">
      <c r="A152" s="329"/>
      <c r="B152" s="329"/>
      <c r="C152" s="329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</row>
    <row r="153" spans="1:18" ht="15">
      <c r="A153" s="821" t="s">
        <v>399</v>
      </c>
      <c r="B153" s="822"/>
      <c r="C153" s="822"/>
      <c r="D153" s="822"/>
      <c r="E153" s="822"/>
      <c r="F153" s="822"/>
      <c r="G153" s="822"/>
      <c r="H153" s="822"/>
      <c r="I153" s="822"/>
      <c r="J153" s="822"/>
      <c r="K153" s="822"/>
      <c r="L153" s="822"/>
      <c r="M153" s="822"/>
      <c r="N153" s="822"/>
      <c r="O153" s="822"/>
      <c r="P153" s="822"/>
      <c r="Q153" s="822"/>
      <c r="R153" s="822"/>
    </row>
    <row r="154" spans="1:18" ht="56.25">
      <c r="A154" s="307" t="s">
        <v>400</v>
      </c>
      <c r="B154" s="307" t="s">
        <v>401</v>
      </c>
      <c r="C154" s="273"/>
      <c r="D154" s="308"/>
      <c r="E154" s="309">
        <v>25</v>
      </c>
      <c r="F154" s="310">
        <v>50</v>
      </c>
      <c r="G154" s="310">
        <v>75</v>
      </c>
      <c r="H154" s="311">
        <v>100</v>
      </c>
      <c r="I154" s="312" t="s">
        <v>402</v>
      </c>
      <c r="J154" s="313">
        <v>1</v>
      </c>
      <c r="K154" s="313">
        <v>1</v>
      </c>
      <c r="L154" s="313">
        <v>1</v>
      </c>
      <c r="M154" s="273"/>
      <c r="O154" s="313">
        <v>1</v>
      </c>
      <c r="P154" s="313">
        <v>1</v>
      </c>
      <c r="Q154" s="313">
        <v>1</v>
      </c>
      <c r="R154" s="273"/>
    </row>
    <row r="155" spans="1:18" ht="64.5" thickBot="1">
      <c r="A155" s="307" t="s">
        <v>403</v>
      </c>
      <c r="B155" s="307" t="s">
        <v>404</v>
      </c>
      <c r="C155" s="273"/>
      <c r="D155" s="308"/>
      <c r="E155" s="314">
        <v>50</v>
      </c>
      <c r="F155" s="315">
        <v>100</v>
      </c>
      <c r="G155" s="315">
        <v>100</v>
      </c>
      <c r="H155" s="316">
        <v>100</v>
      </c>
      <c r="I155" s="317" t="s">
        <v>405</v>
      </c>
      <c r="J155" s="313">
        <v>1</v>
      </c>
      <c r="K155" s="273">
        <v>0</v>
      </c>
      <c r="L155" s="273">
        <v>0</v>
      </c>
      <c r="M155" s="273"/>
      <c r="O155" s="313">
        <v>1</v>
      </c>
      <c r="P155" s="273">
        <v>0</v>
      </c>
      <c r="Q155" s="273">
        <v>0</v>
      </c>
      <c r="R155" s="273"/>
    </row>
    <row r="156" spans="1:18" ht="57" thickBot="1">
      <c r="A156" s="307" t="s">
        <v>406</v>
      </c>
      <c r="B156" s="307" t="s">
        <v>407</v>
      </c>
      <c r="C156" s="273"/>
      <c r="D156" s="308"/>
      <c r="E156" s="318">
        <v>180</v>
      </c>
      <c r="F156" s="319">
        <v>360</v>
      </c>
      <c r="G156" s="268">
        <v>540</v>
      </c>
      <c r="H156" s="320">
        <v>720</v>
      </c>
      <c r="I156" s="317" t="s">
        <v>408</v>
      </c>
      <c r="J156" s="313">
        <v>1</v>
      </c>
      <c r="K156" s="313">
        <v>0.78</v>
      </c>
      <c r="L156" s="313">
        <v>1</v>
      </c>
      <c r="M156" s="273"/>
      <c r="O156" s="313">
        <v>1</v>
      </c>
      <c r="P156" s="313">
        <v>0.78</v>
      </c>
      <c r="Q156" s="313">
        <v>1</v>
      </c>
      <c r="R156" s="273"/>
    </row>
    <row r="157" spans="1:18" ht="90" thickBot="1">
      <c r="A157" s="307" t="s">
        <v>409</v>
      </c>
      <c r="B157" s="307" t="s">
        <v>410</v>
      </c>
      <c r="C157" s="273"/>
      <c r="D157" s="308"/>
      <c r="E157" s="321">
        <v>0.5</v>
      </c>
      <c r="F157" s="322">
        <v>0.7</v>
      </c>
      <c r="G157" s="322">
        <v>0.75</v>
      </c>
      <c r="H157" s="323">
        <v>1</v>
      </c>
      <c r="I157" s="317" t="s">
        <v>411</v>
      </c>
      <c r="J157" s="273"/>
      <c r="K157" s="273"/>
      <c r="L157" s="273"/>
      <c r="M157" s="273"/>
      <c r="O157" s="273"/>
      <c r="P157" s="273"/>
      <c r="Q157" s="273"/>
      <c r="R157" s="273"/>
    </row>
    <row r="158" spans="1:18" ht="77.25" thickBot="1">
      <c r="A158" s="307" t="s">
        <v>412</v>
      </c>
      <c r="B158" s="307" t="s">
        <v>413</v>
      </c>
      <c r="C158" s="273"/>
      <c r="D158" s="308"/>
      <c r="E158" s="324"/>
      <c r="F158" s="268">
        <v>1</v>
      </c>
      <c r="G158" s="268">
        <v>2</v>
      </c>
      <c r="H158" s="320">
        <v>3</v>
      </c>
      <c r="I158" s="317" t="s">
        <v>414</v>
      </c>
      <c r="J158" s="273"/>
      <c r="K158" s="273"/>
      <c r="L158" s="273"/>
      <c r="M158" s="273"/>
      <c r="O158" s="273"/>
      <c r="P158" s="273"/>
      <c r="Q158" s="273"/>
      <c r="R158" s="273"/>
    </row>
    <row r="159" spans="1:18" ht="64.5" thickBot="1">
      <c r="A159" s="325" t="s">
        <v>415</v>
      </c>
      <c r="B159" s="325" t="s">
        <v>416</v>
      </c>
      <c r="C159" s="285"/>
      <c r="D159" s="326"/>
      <c r="E159" s="327">
        <v>2</v>
      </c>
      <c r="F159" s="278">
        <v>8</v>
      </c>
      <c r="G159" s="278">
        <v>18</v>
      </c>
      <c r="H159" s="328">
        <v>35</v>
      </c>
      <c r="I159" s="317" t="s">
        <v>417</v>
      </c>
      <c r="J159" s="285"/>
      <c r="K159" s="285"/>
      <c r="L159" s="285"/>
      <c r="M159" s="285"/>
      <c r="O159" s="285"/>
      <c r="P159" s="285"/>
      <c r="Q159" s="285"/>
      <c r="R159" s="285"/>
    </row>
  </sheetData>
  <sheetProtection/>
  <mergeCells count="36">
    <mergeCell ref="A146:R146"/>
    <mergeCell ref="A153:R153"/>
    <mergeCell ref="A71:R71"/>
    <mergeCell ref="A80:R80"/>
    <mergeCell ref="G35:G36"/>
    <mergeCell ref="H35:H36"/>
    <mergeCell ref="I35:I36"/>
    <mergeCell ref="B35:B36"/>
    <mergeCell ref="C35:C36"/>
    <mergeCell ref="D35:D36"/>
    <mergeCell ref="E35:E36"/>
    <mergeCell ref="F35:F36"/>
    <mergeCell ref="O35:O36"/>
    <mergeCell ref="P35:P36"/>
    <mergeCell ref="Q35:Q36"/>
    <mergeCell ref="A42:R42"/>
    <mergeCell ref="A53:R53"/>
    <mergeCell ref="A35:A36"/>
    <mergeCell ref="M21:R21"/>
    <mergeCell ref="O1:O2"/>
    <mergeCell ref="P1:Q1"/>
    <mergeCell ref="R1:R2"/>
    <mergeCell ref="N1:N2"/>
    <mergeCell ref="A11:R11"/>
    <mergeCell ref="M6:R6"/>
    <mergeCell ref="K1:L1"/>
    <mergeCell ref="J1:J2"/>
    <mergeCell ref="B1:C1"/>
    <mergeCell ref="D1:I1"/>
    <mergeCell ref="A1:A2"/>
    <mergeCell ref="A140:R140"/>
    <mergeCell ref="A133:R133"/>
    <mergeCell ref="A125:R125"/>
    <mergeCell ref="A118:R118"/>
    <mergeCell ref="A98:R98"/>
    <mergeCell ref="A107:R107"/>
  </mergeCells>
  <printOptions/>
  <pageMargins left="0.2362204724409449" right="0.7086614173228347" top="0.7480314960629921" bottom="0.7480314960629921" header="0.31496062992125984" footer="0.31496062992125984"/>
  <pageSetup horizontalDpi="300" verticalDpi="300" orientation="landscape" scale="56" r:id="rId1"/>
  <rowBreaks count="5" manualBreakCount="5">
    <brk id="11" max="17" man="1"/>
    <brk id="18" max="255" man="1"/>
    <brk id="25" max="255" man="1"/>
    <brk id="33" max="17" man="1"/>
    <brk id="5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tabSelected="1" zoomScale="74" zoomScaleNormal="74" zoomScalePageLayoutView="0" workbookViewId="0" topLeftCell="A1">
      <selection activeCell="A3" sqref="A3"/>
    </sheetView>
  </sheetViews>
  <sheetFormatPr defaultColWidth="11.421875" defaultRowHeight="15"/>
  <cols>
    <col min="3" max="3" width="15.140625" style="0" customWidth="1"/>
    <col min="4" max="4" width="12.28125" style="0" customWidth="1"/>
    <col min="5" max="5" width="20.00390625" style="0" customWidth="1"/>
    <col min="8" max="8" width="16.7109375" style="0" customWidth="1"/>
    <col min="9" max="9" width="20.00390625" style="0" customWidth="1"/>
    <col min="10" max="10" width="18.140625" style="0" bestFit="1" customWidth="1"/>
    <col min="12" max="13" width="20.421875" style="0" bestFit="1" customWidth="1"/>
    <col min="14" max="14" width="17.28125" style="0" bestFit="1" customWidth="1"/>
    <col min="15" max="15" width="18.421875" style="0" bestFit="1" customWidth="1"/>
    <col min="16" max="16" width="17.28125" style="0" bestFit="1" customWidth="1"/>
    <col min="17" max="17" width="20.421875" style="0" bestFit="1" customWidth="1"/>
    <col min="18" max="18" width="12.57421875" style="0" customWidth="1"/>
    <col min="19" max="19" width="17.00390625" style="0" customWidth="1"/>
    <col min="20" max="20" width="15.421875" style="0" bestFit="1" customWidth="1"/>
    <col min="21" max="21" width="14.421875" style="0" bestFit="1" customWidth="1"/>
    <col min="23" max="23" width="18.421875" style="0" bestFit="1" customWidth="1"/>
    <col min="24" max="24" width="17.28125" style="0" bestFit="1" customWidth="1"/>
    <col min="25" max="25" width="12.140625" style="0" bestFit="1" customWidth="1"/>
    <col min="26" max="26" width="18.421875" style="0" bestFit="1" customWidth="1"/>
    <col min="27" max="27" width="12.140625" style="0" bestFit="1" customWidth="1"/>
  </cols>
  <sheetData>
    <row r="1" spans="1:28" ht="15">
      <c r="A1" s="947" t="s">
        <v>418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947"/>
      <c r="AA1" s="947"/>
      <c r="AB1" s="947"/>
    </row>
    <row r="2" spans="1:28" ht="15">
      <c r="A2" s="947" t="s">
        <v>616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</row>
    <row r="3" spans="1:28" ht="15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</row>
    <row r="4" spans="1:28" ht="15.75" thickBo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</row>
    <row r="5" spans="1:28" ht="15.75" thickBot="1">
      <c r="A5" s="948" t="s">
        <v>419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50"/>
    </row>
    <row r="6" spans="1:28" ht="15.75" thickBot="1">
      <c r="A6" s="948" t="s">
        <v>420</v>
      </c>
      <c r="B6" s="951"/>
      <c r="C6" s="951"/>
      <c r="D6" s="951"/>
      <c r="E6" s="951"/>
      <c r="F6" s="951"/>
      <c r="G6" s="951"/>
      <c r="H6" s="951"/>
      <c r="I6" s="952" t="s">
        <v>421</v>
      </c>
      <c r="J6" s="955" t="s">
        <v>422</v>
      </c>
      <c r="K6" s="956"/>
      <c r="L6" s="956"/>
      <c r="M6" s="956"/>
      <c r="N6" s="956"/>
      <c r="O6" s="956"/>
      <c r="P6" s="956"/>
      <c r="Q6" s="956"/>
      <c r="R6" s="956"/>
      <c r="S6" s="956"/>
      <c r="T6" s="956"/>
      <c r="U6" s="956"/>
      <c r="V6" s="956"/>
      <c r="W6" s="956"/>
      <c r="X6" s="956"/>
      <c r="Y6" s="956"/>
      <c r="Z6" s="957"/>
      <c r="AA6" s="674"/>
      <c r="AB6" s="937" t="s">
        <v>423</v>
      </c>
    </row>
    <row r="7" spans="1:28" ht="15.75" thickBot="1">
      <c r="A7" s="331"/>
      <c r="B7" s="959" t="s">
        <v>424</v>
      </c>
      <c r="C7" s="960"/>
      <c r="D7" s="960"/>
      <c r="E7" s="961"/>
      <c r="F7" s="962" t="s">
        <v>425</v>
      </c>
      <c r="G7" s="964" t="s">
        <v>4</v>
      </c>
      <c r="H7" s="964"/>
      <c r="I7" s="953"/>
      <c r="J7" s="948" t="s">
        <v>426</v>
      </c>
      <c r="K7" s="967"/>
      <c r="L7" s="948" t="s">
        <v>427</v>
      </c>
      <c r="M7" s="951"/>
      <c r="N7" s="951"/>
      <c r="O7" s="951"/>
      <c r="P7" s="951"/>
      <c r="Q7" s="951"/>
      <c r="R7" s="951"/>
      <c r="S7" s="967"/>
      <c r="T7" s="937" t="s">
        <v>428</v>
      </c>
      <c r="U7" s="939" t="s">
        <v>429</v>
      </c>
      <c r="V7" s="937" t="s">
        <v>430</v>
      </c>
      <c r="W7" s="840" t="s">
        <v>586</v>
      </c>
      <c r="X7" s="840" t="s">
        <v>587</v>
      </c>
      <c r="Y7" s="840" t="s">
        <v>585</v>
      </c>
      <c r="Z7" s="939" t="s">
        <v>431</v>
      </c>
      <c r="AA7" s="958" t="s">
        <v>602</v>
      </c>
      <c r="AB7" s="958"/>
    </row>
    <row r="8" spans="1:28" ht="52.5" thickBot="1">
      <c r="A8" s="332" t="s">
        <v>432</v>
      </c>
      <c r="B8" s="332" t="s">
        <v>433</v>
      </c>
      <c r="C8" s="332" t="s">
        <v>434</v>
      </c>
      <c r="D8" s="332" t="s">
        <v>435</v>
      </c>
      <c r="E8" s="332" t="s">
        <v>436</v>
      </c>
      <c r="F8" s="963"/>
      <c r="G8" s="332" t="s">
        <v>13</v>
      </c>
      <c r="H8" s="333" t="s">
        <v>14</v>
      </c>
      <c r="I8" s="954"/>
      <c r="J8" s="334" t="s">
        <v>437</v>
      </c>
      <c r="K8" s="335" t="s">
        <v>438</v>
      </c>
      <c r="L8" s="336" t="s">
        <v>439</v>
      </c>
      <c r="M8" s="336" t="s">
        <v>440</v>
      </c>
      <c r="N8" s="336" t="s">
        <v>441</v>
      </c>
      <c r="O8" s="336" t="s">
        <v>575</v>
      </c>
      <c r="P8" s="336" t="s">
        <v>576</v>
      </c>
      <c r="Q8" s="336" t="s">
        <v>577</v>
      </c>
      <c r="R8" s="337" t="s">
        <v>442</v>
      </c>
      <c r="S8" s="337" t="s">
        <v>443</v>
      </c>
      <c r="T8" s="938"/>
      <c r="U8" s="940"/>
      <c r="V8" s="938"/>
      <c r="W8" s="841"/>
      <c r="X8" s="841"/>
      <c r="Y8" s="841"/>
      <c r="Z8" s="940"/>
      <c r="AA8" s="938"/>
      <c r="AB8" s="938"/>
    </row>
    <row r="9" spans="1:28" ht="15.75" thickBot="1">
      <c r="A9" s="338"/>
      <c r="B9" s="339"/>
      <c r="C9" s="339"/>
      <c r="D9" s="339"/>
      <c r="E9" s="339"/>
      <c r="F9" s="339"/>
      <c r="G9" s="339"/>
      <c r="H9" s="339"/>
      <c r="I9" s="339"/>
      <c r="J9" s="340"/>
      <c r="K9" s="340"/>
      <c r="L9" s="340"/>
      <c r="M9" s="340"/>
      <c r="N9" s="340"/>
      <c r="O9" s="340"/>
      <c r="P9" s="340"/>
      <c r="Q9" s="340"/>
      <c r="R9" s="340"/>
      <c r="S9" s="341"/>
      <c r="T9" s="342"/>
      <c r="U9" s="339"/>
      <c r="V9" s="339"/>
      <c r="W9" s="339"/>
      <c r="X9" s="339"/>
      <c r="Y9" s="341"/>
      <c r="Z9" s="339"/>
      <c r="AA9" s="675"/>
      <c r="AB9" s="343"/>
    </row>
    <row r="10" spans="1:28" ht="15">
      <c r="A10" s="839" t="s">
        <v>444</v>
      </c>
      <c r="B10" s="922" t="s">
        <v>445</v>
      </c>
      <c r="C10" s="839" t="s">
        <v>446</v>
      </c>
      <c r="D10" s="839"/>
      <c r="E10" s="944" t="s">
        <v>447</v>
      </c>
      <c r="F10" s="932">
        <v>0</v>
      </c>
      <c r="G10" s="932">
        <v>2700</v>
      </c>
      <c r="H10" s="932">
        <v>2700</v>
      </c>
      <c r="I10" s="884">
        <f>SUM(J10+K10+L10+M10+N10+O10+Q10+R10+S10+T10+U10+V10+Z10)</f>
        <v>236329.26</v>
      </c>
      <c r="J10" s="930"/>
      <c r="K10" s="930"/>
      <c r="M10" s="930"/>
      <c r="N10" s="930"/>
      <c r="O10" s="930"/>
      <c r="P10" s="566"/>
      <c r="Q10" s="930"/>
      <c r="R10" s="930"/>
      <c r="S10" s="941">
        <f>(236329260/1000)</f>
        <v>236329.26</v>
      </c>
      <c r="T10" s="930"/>
      <c r="U10" s="931"/>
      <c r="V10" s="843"/>
      <c r="W10" s="842"/>
      <c r="X10" s="653"/>
      <c r="Y10" s="842"/>
      <c r="Z10" s="932"/>
      <c r="AA10" s="965"/>
      <c r="AB10" s="933" t="s">
        <v>448</v>
      </c>
    </row>
    <row r="11" spans="1:28" ht="15">
      <c r="A11" s="839"/>
      <c r="B11" s="922"/>
      <c r="C11" s="839"/>
      <c r="D11" s="839"/>
      <c r="E11" s="945"/>
      <c r="F11" s="932"/>
      <c r="G11" s="932"/>
      <c r="H11" s="932"/>
      <c r="I11" s="884"/>
      <c r="J11" s="930"/>
      <c r="K11" s="930"/>
      <c r="L11">
        <v>0</v>
      </c>
      <c r="M11" s="930"/>
      <c r="N11" s="930"/>
      <c r="O11" s="930"/>
      <c r="P11" s="566"/>
      <c r="Q11" s="930"/>
      <c r="R11" s="930"/>
      <c r="S11" s="942"/>
      <c r="T11" s="930"/>
      <c r="U11" s="931"/>
      <c r="V11" s="843"/>
      <c r="W11" s="843"/>
      <c r="X11" s="583"/>
      <c r="Y11" s="843"/>
      <c r="Z11" s="932"/>
      <c r="AA11" s="932"/>
      <c r="AB11" s="933"/>
    </row>
    <row r="12" spans="1:28" ht="30.75" customHeight="1" thickBot="1">
      <c r="A12" s="839"/>
      <c r="B12" s="922"/>
      <c r="C12" s="839"/>
      <c r="D12" s="839"/>
      <c r="E12" s="946"/>
      <c r="F12" s="932"/>
      <c r="G12" s="932"/>
      <c r="H12" s="932"/>
      <c r="I12" s="884"/>
      <c r="J12" s="930"/>
      <c r="K12" s="930"/>
      <c r="M12" s="930"/>
      <c r="N12" s="930"/>
      <c r="O12" s="930"/>
      <c r="P12" s="566"/>
      <c r="Q12" s="930"/>
      <c r="R12" s="930"/>
      <c r="S12" s="943"/>
      <c r="T12" s="930"/>
      <c r="U12" s="931"/>
      <c r="V12" s="843"/>
      <c r="W12" s="844"/>
      <c r="X12" s="654"/>
      <c r="Y12" s="844"/>
      <c r="Z12" s="932"/>
      <c r="AA12" s="966"/>
      <c r="AB12" s="933"/>
    </row>
    <row r="13" spans="1:28" ht="15.75" thickBot="1">
      <c r="A13" s="346"/>
      <c r="B13" s="347"/>
      <c r="C13" s="348"/>
      <c r="D13" s="348"/>
      <c r="E13" s="349"/>
      <c r="F13" s="350"/>
      <c r="G13" s="350"/>
      <c r="H13" s="350"/>
      <c r="I13" s="351">
        <f>SUM(I10:I12)</f>
        <v>236329.26</v>
      </c>
      <c r="J13" s="352"/>
      <c r="K13" s="352"/>
      <c r="L13" s="353">
        <v>0</v>
      </c>
      <c r="M13" s="354"/>
      <c r="N13" s="352"/>
      <c r="O13" s="352"/>
      <c r="P13" s="352"/>
      <c r="Q13" s="352"/>
      <c r="R13" s="352"/>
      <c r="S13" s="351">
        <f>SUM(S10:S12)</f>
        <v>236329.26</v>
      </c>
      <c r="T13" s="352"/>
      <c r="U13" s="355"/>
      <c r="V13" s="355"/>
      <c r="W13" s="355"/>
      <c r="X13" s="355"/>
      <c r="Y13" s="355"/>
      <c r="Z13" s="350"/>
      <c r="AA13" s="676"/>
      <c r="AB13" s="356"/>
    </row>
    <row r="14" spans="1:28" ht="15.75" thickBot="1">
      <c r="A14" s="357"/>
      <c r="B14" s="358"/>
      <c r="C14" s="359"/>
      <c r="D14" s="359"/>
      <c r="E14" s="359"/>
      <c r="F14" s="360"/>
      <c r="G14" s="360"/>
      <c r="H14" s="360"/>
      <c r="I14" s="361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1"/>
      <c r="V14" s="361"/>
      <c r="W14" s="361"/>
      <c r="X14" s="361"/>
      <c r="Y14" s="361"/>
      <c r="Z14" s="361"/>
      <c r="AA14" s="677"/>
      <c r="AB14" s="363"/>
    </row>
    <row r="15" spans="1:28" ht="15">
      <c r="A15" s="364"/>
      <c r="B15" s="365"/>
      <c r="C15" s="364"/>
      <c r="D15" s="364"/>
      <c r="E15" s="364"/>
      <c r="F15" s="366"/>
      <c r="G15" s="367"/>
      <c r="H15" s="367"/>
      <c r="I15" s="368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8"/>
      <c r="V15" s="368"/>
      <c r="W15" s="368"/>
      <c r="X15" s="368"/>
      <c r="Y15" s="368"/>
      <c r="Z15" s="368"/>
      <c r="AA15" s="678"/>
      <c r="AB15" s="370"/>
    </row>
    <row r="16" spans="1:28" ht="90">
      <c r="A16" s="934" t="s">
        <v>449</v>
      </c>
      <c r="B16" s="936" t="s">
        <v>450</v>
      </c>
      <c r="C16" s="371" t="s">
        <v>451</v>
      </c>
      <c r="D16" s="372"/>
      <c r="E16" s="565" t="s">
        <v>453</v>
      </c>
      <c r="F16" s="373">
        <v>100</v>
      </c>
      <c r="G16" s="373">
        <v>200</v>
      </c>
      <c r="H16" s="373">
        <f>SUM(F16:G16)</f>
        <v>300</v>
      </c>
      <c r="I16" s="374">
        <f>SUM(J16+K16+L16+M16+N16+O16+Q16+R16+S16+T16+U16+V16+Z16)</f>
        <v>160000</v>
      </c>
      <c r="J16" s="375"/>
      <c r="K16" s="288"/>
      <c r="L16" s="378">
        <f>(160000000/1000)</f>
        <v>160000</v>
      </c>
      <c r="M16" s="375"/>
      <c r="N16" s="375"/>
      <c r="O16" s="375"/>
      <c r="P16" s="375"/>
      <c r="Q16" s="375"/>
      <c r="R16" s="375"/>
      <c r="S16" s="375"/>
      <c r="T16" s="375"/>
      <c r="U16" s="376"/>
      <c r="V16" s="376"/>
      <c r="W16" s="376"/>
      <c r="X16" s="376"/>
      <c r="Y16" s="376"/>
      <c r="Z16" s="375"/>
      <c r="AA16" s="375"/>
      <c r="AB16" s="377" t="s">
        <v>448</v>
      </c>
    </row>
    <row r="17" spans="1:28" ht="105">
      <c r="A17" s="935"/>
      <c r="B17" s="922"/>
      <c r="C17" s="371" t="s">
        <v>452</v>
      </c>
      <c r="D17" s="372"/>
      <c r="E17" s="565" t="s">
        <v>603</v>
      </c>
      <c r="F17" s="373">
        <v>100</v>
      </c>
      <c r="G17" s="373">
        <v>200</v>
      </c>
      <c r="H17" s="373">
        <f>SUM(F17:G17)</f>
        <v>300</v>
      </c>
      <c r="I17" s="374">
        <f>SUM(J17+K17+L17+M17+N17+O17+Q17+R17+S17+T17+U17+V17+Z17)</f>
        <v>252009</v>
      </c>
      <c r="J17" s="375"/>
      <c r="K17" s="375"/>
      <c r="L17" s="378">
        <f>(252000000/1000)</f>
        <v>252000</v>
      </c>
      <c r="M17" s="375"/>
      <c r="N17" s="375"/>
      <c r="O17" s="375"/>
      <c r="P17" s="375"/>
      <c r="Q17" s="375"/>
      <c r="R17" s="375"/>
      <c r="S17" s="375"/>
      <c r="T17" s="375"/>
      <c r="U17" s="376"/>
      <c r="V17" s="376"/>
      <c r="W17" s="376"/>
      <c r="X17" s="376"/>
      <c r="Y17" s="376"/>
      <c r="Z17" s="376">
        <f>9000/1000</f>
        <v>9</v>
      </c>
      <c r="AA17" s="376"/>
      <c r="AB17" s="377" t="s">
        <v>448</v>
      </c>
    </row>
    <row r="18" spans="1:28" ht="105">
      <c r="A18" s="935"/>
      <c r="B18" s="922"/>
      <c r="C18" s="372"/>
      <c r="D18" s="372"/>
      <c r="E18" s="584" t="s">
        <v>604</v>
      </c>
      <c r="F18" s="376">
        <v>5</v>
      </c>
      <c r="G18" s="376">
        <v>5</v>
      </c>
      <c r="H18" s="376">
        <f>F18</f>
        <v>5</v>
      </c>
      <c r="I18" s="374">
        <f>SUM(J18+L18+M18+N18+O18+Q18+R18+S18+T18+U18+V18+Z18)</f>
        <v>210000</v>
      </c>
      <c r="J18" s="375"/>
      <c r="K18" s="288"/>
      <c r="L18" s="378">
        <f>(210000000/1000)</f>
        <v>210000</v>
      </c>
      <c r="M18" s="375"/>
      <c r="N18" s="375"/>
      <c r="O18" s="375"/>
      <c r="P18" s="375"/>
      <c r="Q18" s="375"/>
      <c r="R18" s="375"/>
      <c r="S18" s="375"/>
      <c r="T18" s="375"/>
      <c r="U18" s="376"/>
      <c r="V18" s="376"/>
      <c r="W18" s="376"/>
      <c r="X18" s="376"/>
      <c r="Y18" s="376"/>
      <c r="Z18" s="375"/>
      <c r="AA18" s="375"/>
      <c r="AB18" s="377" t="s">
        <v>448</v>
      </c>
    </row>
    <row r="19" spans="1:28" ht="38.25">
      <c r="A19" s="935"/>
      <c r="B19" s="922"/>
      <c r="C19" s="372"/>
      <c r="D19" s="372"/>
      <c r="E19" s="584" t="s">
        <v>605</v>
      </c>
      <c r="F19" s="19">
        <v>5</v>
      </c>
      <c r="G19" s="376">
        <v>5</v>
      </c>
      <c r="H19" s="376">
        <v>5</v>
      </c>
      <c r="I19" s="374">
        <f>SUM(J19+K19+L19+M19+N19+O19+Q19+R19+S19+T19+U19+V19+Z19)</f>
        <v>285712</v>
      </c>
      <c r="J19" s="375"/>
      <c r="K19" s="376"/>
      <c r="L19" s="378">
        <f>(285712000/1000)</f>
        <v>285712</v>
      </c>
      <c r="M19" s="375"/>
      <c r="N19" s="375"/>
      <c r="O19" s="375"/>
      <c r="P19" s="375"/>
      <c r="Q19" s="375"/>
      <c r="R19" s="375"/>
      <c r="S19" s="375"/>
      <c r="T19" s="375"/>
      <c r="U19" s="376"/>
      <c r="V19" s="376"/>
      <c r="W19" s="376"/>
      <c r="X19" s="376"/>
      <c r="Y19" s="376"/>
      <c r="Z19" s="557"/>
      <c r="AA19" s="557"/>
      <c r="AB19" s="377" t="s">
        <v>448</v>
      </c>
    </row>
    <row r="20" spans="1:28" ht="76.5" customHeight="1">
      <c r="A20" s="935"/>
      <c r="B20" s="922"/>
      <c r="C20" s="371" t="s">
        <v>454</v>
      </c>
      <c r="D20" s="379"/>
      <c r="E20" s="584" t="s">
        <v>606</v>
      </c>
      <c r="F20" s="376">
        <v>25</v>
      </c>
      <c r="G20" s="376">
        <v>150</v>
      </c>
      <c r="H20" s="376">
        <f>SUM(F20:G20)</f>
        <v>175</v>
      </c>
      <c r="I20" s="374">
        <f>SUM(J20+K20+L20+M20+N20+O20+Q20+R20+S20+T20+U20+V20+Z20)</f>
        <v>90715.966</v>
      </c>
      <c r="J20" s="375"/>
      <c r="K20" s="288"/>
      <c r="L20" s="378">
        <f>(90715966/1000)</f>
        <v>90715.966</v>
      </c>
      <c r="M20" s="375"/>
      <c r="N20" s="375"/>
      <c r="O20" s="375"/>
      <c r="P20" s="375"/>
      <c r="Q20" s="375"/>
      <c r="R20" s="375"/>
      <c r="S20" s="375"/>
      <c r="T20" s="375"/>
      <c r="U20" s="376"/>
      <c r="V20" s="376"/>
      <c r="W20" s="376"/>
      <c r="X20" s="376"/>
      <c r="Y20" s="376"/>
      <c r="Z20" s="375"/>
      <c r="AA20" s="375">
        <v>1</v>
      </c>
      <c r="AB20" s="377"/>
    </row>
    <row r="21" spans="1:28" ht="60">
      <c r="A21" s="935"/>
      <c r="B21" s="922"/>
      <c r="C21" s="371"/>
      <c r="D21" s="379"/>
      <c r="E21" s="584" t="s">
        <v>607</v>
      </c>
      <c r="F21" s="376">
        <v>40</v>
      </c>
      <c r="G21" s="376">
        <v>120</v>
      </c>
      <c r="H21" s="376">
        <f>SUM(F21:G21)</f>
        <v>160</v>
      </c>
      <c r="I21" s="374">
        <f>SUM(J21+K21+L21+M21+N21+O21+Q21+R21+S21+T21+U21+V21+Z21)</f>
        <v>80437.5</v>
      </c>
      <c r="J21" s="375"/>
      <c r="K21" s="376">
        <f>(80437500/1000)</f>
        <v>80437.5</v>
      </c>
      <c r="L21" s="376"/>
      <c r="M21" s="375"/>
      <c r="N21" s="375"/>
      <c r="O21" s="375"/>
      <c r="P21" s="375"/>
      <c r="Q21" s="375"/>
      <c r="R21" s="375"/>
      <c r="S21" s="375"/>
      <c r="T21" s="375"/>
      <c r="U21" s="376"/>
      <c r="V21" s="376"/>
      <c r="W21" s="376"/>
      <c r="X21" s="376"/>
      <c r="Y21" s="376"/>
      <c r="Z21" s="376"/>
      <c r="AA21" s="376"/>
      <c r="AB21" s="377"/>
    </row>
    <row r="22" spans="1:28" ht="89.25" customHeight="1">
      <c r="A22" s="564"/>
      <c r="B22" s="560"/>
      <c r="C22" s="556"/>
      <c r="D22" s="558"/>
      <c r="E22" s="584" t="s">
        <v>569</v>
      </c>
      <c r="F22" s="376"/>
      <c r="G22" s="376"/>
      <c r="H22" s="376"/>
      <c r="I22" s="374">
        <f>SUM(J22+K22+L22+M22+N22+O22+Q22+R22+S22+T22+U22+V22+Z22)</f>
        <v>16000</v>
      </c>
      <c r="J22" s="375"/>
      <c r="K22" s="376"/>
      <c r="L22" s="561">
        <v>16000</v>
      </c>
      <c r="M22" s="562"/>
      <c r="N22" s="562"/>
      <c r="O22" s="562"/>
      <c r="P22" s="562"/>
      <c r="Q22" s="562"/>
      <c r="R22" s="562"/>
      <c r="S22" s="562"/>
      <c r="T22" s="562"/>
      <c r="U22" s="561"/>
      <c r="V22" s="561"/>
      <c r="W22" s="561"/>
      <c r="X22" s="561"/>
      <c r="Y22" s="561"/>
      <c r="Z22" s="561"/>
      <c r="AA22" s="679"/>
      <c r="AB22" s="563"/>
    </row>
    <row r="23" spans="1:28" ht="89.25" customHeight="1">
      <c r="A23" s="564"/>
      <c r="B23" s="560"/>
      <c r="C23" s="556"/>
      <c r="D23" s="558"/>
      <c r="E23" s="601" t="s">
        <v>570</v>
      </c>
      <c r="F23" s="561"/>
      <c r="G23" s="561"/>
      <c r="H23" s="561"/>
      <c r="I23" s="438">
        <f>SUM(J23+K23+L23+M23+N23+O23+Q23+R23+S23+T23+U23+V23+Z23)</f>
        <v>225694.46</v>
      </c>
      <c r="J23" s="562"/>
      <c r="K23" s="562"/>
      <c r="L23" s="378">
        <f>(225694460/1000)</f>
        <v>225694.46</v>
      </c>
      <c r="M23" s="562"/>
      <c r="N23" s="562"/>
      <c r="O23" s="562"/>
      <c r="P23" s="562"/>
      <c r="Q23" s="562"/>
      <c r="R23" s="562"/>
      <c r="S23" s="562"/>
      <c r="T23" s="562"/>
      <c r="U23" s="561"/>
      <c r="V23" s="561"/>
      <c r="W23" s="561"/>
      <c r="X23" s="561"/>
      <c r="Y23" s="561"/>
      <c r="Z23" s="561"/>
      <c r="AA23" s="679"/>
      <c r="AB23" s="563"/>
    </row>
    <row r="24" spans="1:28" ht="15.75" thickBot="1">
      <c r="A24" s="425"/>
      <c r="B24" s="381"/>
      <c r="C24" s="381"/>
      <c r="D24" s="381"/>
      <c r="E24" s="602"/>
      <c r="F24" s="381"/>
      <c r="G24" s="381"/>
      <c r="H24" s="381"/>
      <c r="I24" s="381">
        <f>SUM(I16:I23)</f>
        <v>1320568.926</v>
      </c>
      <c r="J24" s="381"/>
      <c r="K24" s="381">
        <f>K21</f>
        <v>80437.5</v>
      </c>
      <c r="L24" s="381">
        <f>SUM(L16:L23)</f>
        <v>1240122.426</v>
      </c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>
        <f>SUM(Z16:Z23)</f>
        <v>9</v>
      </c>
      <c r="AA24" s="680">
        <f>AA20</f>
        <v>1</v>
      </c>
      <c r="AB24" s="382"/>
    </row>
    <row r="25" spans="1:28" ht="15.75" thickBot="1">
      <c r="A25" s="383"/>
      <c r="B25" s="383"/>
      <c r="C25" s="384"/>
      <c r="D25" s="385"/>
      <c r="E25" s="585"/>
      <c r="F25" s="361"/>
      <c r="G25" s="361"/>
      <c r="H25" s="361"/>
      <c r="I25" s="386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61"/>
      <c r="V25" s="361"/>
      <c r="W25" s="361"/>
      <c r="X25" s="361"/>
      <c r="Y25" s="361"/>
      <c r="Z25" s="361"/>
      <c r="AA25" s="681"/>
      <c r="AB25" s="388"/>
    </row>
    <row r="26" spans="1:28" ht="15.75" thickBot="1">
      <c r="A26" s="339"/>
      <c r="B26" s="339"/>
      <c r="C26" s="341"/>
      <c r="D26" s="339"/>
      <c r="E26" s="586"/>
      <c r="F26" s="342"/>
      <c r="G26" s="342"/>
      <c r="H26" s="342"/>
      <c r="I26" s="342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42"/>
      <c r="V26" s="342"/>
      <c r="W26" s="342"/>
      <c r="X26" s="757"/>
      <c r="Y26" s="342"/>
      <c r="Z26" s="342"/>
      <c r="AA26" s="390"/>
      <c r="AB26" s="390"/>
    </row>
    <row r="27" spans="1:28" ht="108" customHeight="1">
      <c r="A27" s="922" t="s">
        <v>455</v>
      </c>
      <c r="B27" s="922" t="s">
        <v>456</v>
      </c>
      <c r="C27" s="847" t="s">
        <v>94</v>
      </c>
      <c r="D27" s="924"/>
      <c r="E27" s="603" t="s">
        <v>457</v>
      </c>
      <c r="F27" s="376">
        <v>26789</v>
      </c>
      <c r="G27" s="376">
        <v>26789</v>
      </c>
      <c r="H27" s="376">
        <v>26789</v>
      </c>
      <c r="I27" s="374">
        <f>SUM(J27+K27+L27+M27+N27+O27+P27+Q27+R27+S27+T27+U27+V27+X27+Y27+W27+Z27)</f>
        <v>8182133.87</v>
      </c>
      <c r="J27" s="392"/>
      <c r="K27" s="376">
        <v>29890</v>
      </c>
      <c r="L27" s="392"/>
      <c r="M27" s="392"/>
      <c r="N27" s="376">
        <f>5046662347/1000</f>
        <v>5046662.347</v>
      </c>
      <c r="O27" s="392"/>
      <c r="P27" s="392"/>
      <c r="Q27" s="392"/>
      <c r="R27" s="392"/>
      <c r="S27" s="392"/>
      <c r="T27" s="376">
        <f>2787865523/1000</f>
        <v>2787865.523</v>
      </c>
      <c r="U27" s="392"/>
      <c r="W27" s="655">
        <v>249716</v>
      </c>
      <c r="X27" s="655">
        <v>65000</v>
      </c>
      <c r="Y27" s="392"/>
      <c r="Z27" s="656">
        <v>3000</v>
      </c>
      <c r="AA27" s="656"/>
      <c r="AB27" s="393" t="s">
        <v>458</v>
      </c>
    </row>
    <row r="28" spans="1:28" ht="117.75" customHeight="1">
      <c r="A28" s="922"/>
      <c r="B28" s="922"/>
      <c r="C28" s="839"/>
      <c r="D28" s="925"/>
      <c r="E28" s="603" t="s">
        <v>459</v>
      </c>
      <c r="F28" s="376">
        <v>0</v>
      </c>
      <c r="G28" s="376">
        <v>5004</v>
      </c>
      <c r="H28" s="376">
        <v>5004</v>
      </c>
      <c r="I28" s="374">
        <f aca="true" t="shared" si="0" ref="I28:I42">SUM(J28+K28+L28+M28+N28+O28+Q28+R28+S28+T28+U28+V28+Z28)</f>
        <v>1</v>
      </c>
      <c r="J28" s="394"/>
      <c r="K28" s="394">
        <v>1</v>
      </c>
      <c r="L28" s="394"/>
      <c r="M28" s="394"/>
      <c r="N28" s="376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5" t="s">
        <v>458</v>
      </c>
    </row>
    <row r="29" spans="1:28" ht="26.25">
      <c r="A29" s="922"/>
      <c r="B29" s="922"/>
      <c r="C29" s="839"/>
      <c r="D29" s="925"/>
      <c r="E29" s="605" t="s">
        <v>574</v>
      </c>
      <c r="F29" s="376">
        <v>1</v>
      </c>
      <c r="G29" s="376">
        <v>0</v>
      </c>
      <c r="H29" s="376">
        <v>1</v>
      </c>
      <c r="I29" s="374">
        <f t="shared" si="0"/>
        <v>1</v>
      </c>
      <c r="J29" s="394"/>
      <c r="K29" s="394">
        <v>1</v>
      </c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2"/>
      <c r="AB29" s="393" t="s">
        <v>458</v>
      </c>
    </row>
    <row r="30" spans="1:28" ht="30">
      <c r="A30" s="922"/>
      <c r="B30" s="922"/>
      <c r="C30" s="839"/>
      <c r="D30" s="926"/>
      <c r="E30" s="603" t="s">
        <v>460</v>
      </c>
      <c r="F30" s="376">
        <v>1</v>
      </c>
      <c r="G30" s="376">
        <v>1</v>
      </c>
      <c r="H30" s="376">
        <v>1</v>
      </c>
      <c r="I30" s="374">
        <f t="shared" si="0"/>
        <v>0</v>
      </c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2"/>
      <c r="AB30" s="393" t="s">
        <v>458</v>
      </c>
    </row>
    <row r="31" spans="1:28" ht="56.25" customHeight="1">
      <c r="A31" s="922"/>
      <c r="B31" s="922"/>
      <c r="C31" s="371"/>
      <c r="D31" s="398"/>
      <c r="E31" s="606" t="s">
        <v>571</v>
      </c>
      <c r="F31" s="376"/>
      <c r="G31" s="376"/>
      <c r="H31" s="376"/>
      <c r="I31" s="374">
        <f t="shared" si="0"/>
        <v>16364</v>
      </c>
      <c r="J31" s="394"/>
      <c r="K31" s="394">
        <v>16364</v>
      </c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2"/>
      <c r="AB31" s="393" t="s">
        <v>458</v>
      </c>
    </row>
    <row r="32" spans="1:28" ht="56.25" customHeight="1">
      <c r="A32" s="922"/>
      <c r="B32" s="922"/>
      <c r="C32" s="399"/>
      <c r="D32" s="559"/>
      <c r="E32" s="607" t="s">
        <v>572</v>
      </c>
      <c r="F32" s="376"/>
      <c r="G32" s="376"/>
      <c r="H32" s="376"/>
      <c r="I32" s="374">
        <f t="shared" si="0"/>
        <v>32728</v>
      </c>
      <c r="J32" s="394"/>
      <c r="K32" s="394">
        <v>32728</v>
      </c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2"/>
      <c r="AB32" s="393" t="s">
        <v>458</v>
      </c>
    </row>
    <row r="33" spans="1:28" ht="105">
      <c r="A33" s="922"/>
      <c r="B33" s="922"/>
      <c r="C33" s="556"/>
      <c r="D33" s="722"/>
      <c r="E33" s="604" t="s">
        <v>183</v>
      </c>
      <c r="F33" s="376">
        <v>1</v>
      </c>
      <c r="G33" s="376">
        <v>0</v>
      </c>
      <c r="H33" s="376">
        <f>SUM(F33:G33)</f>
        <v>1</v>
      </c>
      <c r="I33" s="374">
        <f t="shared" si="0"/>
        <v>1250</v>
      </c>
      <c r="J33" s="394"/>
      <c r="K33" s="376">
        <f>1250000/1000</f>
        <v>1250</v>
      </c>
      <c r="L33" s="376"/>
      <c r="M33" s="376"/>
      <c r="N33" s="376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5" t="s">
        <v>458</v>
      </c>
    </row>
    <row r="34" spans="1:28" ht="45">
      <c r="A34" s="922"/>
      <c r="B34" s="922"/>
      <c r="C34" s="927" t="s">
        <v>102</v>
      </c>
      <c r="D34" s="927"/>
      <c r="E34" s="608" t="s">
        <v>461</v>
      </c>
      <c r="F34" s="376">
        <v>28</v>
      </c>
      <c r="G34" s="376">
        <v>51.8</v>
      </c>
      <c r="H34" s="376">
        <v>80</v>
      </c>
      <c r="I34" s="374">
        <f t="shared" si="0"/>
        <v>26200.848</v>
      </c>
      <c r="J34" s="394"/>
      <c r="K34" s="376"/>
      <c r="L34" s="376"/>
      <c r="M34" s="376"/>
      <c r="N34" s="376">
        <v>26000</v>
      </c>
      <c r="O34" s="394"/>
      <c r="P34" s="394"/>
      <c r="Q34" s="394"/>
      <c r="R34" s="394"/>
      <c r="S34" s="394"/>
      <c r="T34" s="394"/>
      <c r="U34" s="394">
        <f>200848/1000</f>
        <v>200.848</v>
      </c>
      <c r="V34" s="394"/>
      <c r="W34" s="394"/>
      <c r="X34" s="394"/>
      <c r="Y34" s="394"/>
      <c r="Z34" s="394"/>
      <c r="AA34" s="394"/>
      <c r="AB34" s="395" t="s">
        <v>458</v>
      </c>
    </row>
    <row r="35" spans="1:28" ht="30">
      <c r="A35" s="922"/>
      <c r="B35" s="922"/>
      <c r="C35" s="928"/>
      <c r="D35" s="928"/>
      <c r="E35" s="608" t="s">
        <v>462</v>
      </c>
      <c r="F35" s="376">
        <v>21</v>
      </c>
      <c r="G35" s="376">
        <v>38.5</v>
      </c>
      <c r="H35" s="376">
        <v>60</v>
      </c>
      <c r="I35" s="374">
        <f t="shared" si="0"/>
        <v>30000</v>
      </c>
      <c r="J35" s="394"/>
      <c r="K35" s="376"/>
      <c r="L35" s="376"/>
      <c r="M35" s="376"/>
      <c r="N35" s="376">
        <v>30000</v>
      </c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5" t="s">
        <v>458</v>
      </c>
    </row>
    <row r="36" spans="1:28" ht="90">
      <c r="A36" s="922"/>
      <c r="B36" s="922"/>
      <c r="C36" s="928"/>
      <c r="D36" s="928"/>
      <c r="E36" s="603" t="s">
        <v>463</v>
      </c>
      <c r="F36" s="376">
        <v>20</v>
      </c>
      <c r="G36" s="376">
        <v>40</v>
      </c>
      <c r="H36" s="376">
        <f aca="true" t="shared" si="1" ref="H36:H41">SUM(F36:G36)</f>
        <v>60</v>
      </c>
      <c r="I36" s="374">
        <f t="shared" si="0"/>
        <v>28351</v>
      </c>
      <c r="J36" s="394"/>
      <c r="K36" s="376"/>
      <c r="L36" s="376"/>
      <c r="M36" s="376"/>
      <c r="N36" s="376">
        <v>28351</v>
      </c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5" t="s">
        <v>458</v>
      </c>
    </row>
    <row r="37" spans="1:28" ht="45">
      <c r="A37" s="922"/>
      <c r="B37" s="922"/>
      <c r="C37" s="928"/>
      <c r="D37" s="928"/>
      <c r="E37" s="604" t="s">
        <v>464</v>
      </c>
      <c r="F37" s="376">
        <v>4</v>
      </c>
      <c r="G37" s="376">
        <v>0</v>
      </c>
      <c r="H37" s="376">
        <v>4</v>
      </c>
      <c r="I37" s="374">
        <f t="shared" si="0"/>
        <v>12500</v>
      </c>
      <c r="J37" s="394"/>
      <c r="K37" s="394"/>
      <c r="L37" s="394"/>
      <c r="M37" s="394"/>
      <c r="N37" s="376">
        <v>12500</v>
      </c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5" t="s">
        <v>458</v>
      </c>
    </row>
    <row r="38" spans="1:28" ht="45">
      <c r="A38" s="922"/>
      <c r="B38" s="922"/>
      <c r="C38" s="928"/>
      <c r="D38" s="928"/>
      <c r="E38" s="604" t="s">
        <v>465</v>
      </c>
      <c r="F38" s="376">
        <v>12</v>
      </c>
      <c r="G38" s="376">
        <v>68</v>
      </c>
      <c r="H38" s="376">
        <v>80</v>
      </c>
      <c r="I38" s="374">
        <f t="shared" si="0"/>
        <v>45000</v>
      </c>
      <c r="J38" s="394"/>
      <c r="K38" s="394"/>
      <c r="L38" s="394"/>
      <c r="M38" s="394"/>
      <c r="N38" s="376">
        <v>45000</v>
      </c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5" t="s">
        <v>458</v>
      </c>
    </row>
    <row r="39" spans="1:28" ht="45">
      <c r="A39" s="922"/>
      <c r="B39" s="922"/>
      <c r="C39" s="928"/>
      <c r="D39" s="928"/>
      <c r="E39" s="604" t="s">
        <v>466</v>
      </c>
      <c r="F39" s="376">
        <v>150</v>
      </c>
      <c r="G39" s="376">
        <v>300</v>
      </c>
      <c r="H39" s="376">
        <f t="shared" si="1"/>
        <v>450</v>
      </c>
      <c r="I39" s="374">
        <f t="shared" si="0"/>
        <v>23500</v>
      </c>
      <c r="J39" s="394"/>
      <c r="K39" s="394"/>
      <c r="L39" s="394"/>
      <c r="M39" s="394"/>
      <c r="N39" s="376">
        <f>23500000/1000</f>
        <v>23500</v>
      </c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5" t="s">
        <v>458</v>
      </c>
    </row>
    <row r="40" spans="1:28" ht="30">
      <c r="A40" s="922"/>
      <c r="B40" s="922"/>
      <c r="C40" s="928"/>
      <c r="D40" s="928"/>
      <c r="E40" s="603" t="s">
        <v>467</v>
      </c>
      <c r="F40" s="376">
        <v>500</v>
      </c>
      <c r="G40" s="376">
        <v>1000</v>
      </c>
      <c r="H40" s="376">
        <f t="shared" si="1"/>
        <v>1500</v>
      </c>
      <c r="I40" s="374">
        <f t="shared" si="0"/>
        <v>48500</v>
      </c>
      <c r="J40" s="394"/>
      <c r="K40" s="394"/>
      <c r="L40" s="394"/>
      <c r="M40" s="394"/>
      <c r="N40" s="376">
        <f>48500000/1000</f>
        <v>48500</v>
      </c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5" t="s">
        <v>458</v>
      </c>
    </row>
    <row r="41" spans="1:28" ht="60">
      <c r="A41" s="922"/>
      <c r="B41" s="922"/>
      <c r="C41" s="928"/>
      <c r="D41" s="928"/>
      <c r="E41" s="603" t="s">
        <v>468</v>
      </c>
      <c r="F41" s="376">
        <v>3</v>
      </c>
      <c r="G41" s="376">
        <v>6</v>
      </c>
      <c r="H41" s="376">
        <f t="shared" si="1"/>
        <v>9</v>
      </c>
      <c r="I41" s="374">
        <f t="shared" si="0"/>
        <v>49200</v>
      </c>
      <c r="J41" s="394"/>
      <c r="K41" s="394"/>
      <c r="L41" s="394"/>
      <c r="M41" s="394"/>
      <c r="N41" s="376">
        <v>49200</v>
      </c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5" t="s">
        <v>458</v>
      </c>
    </row>
    <row r="42" spans="1:28" ht="60">
      <c r="A42" s="922"/>
      <c r="B42" s="922"/>
      <c r="C42" s="929"/>
      <c r="D42" s="929"/>
      <c r="E42" s="603" t="s">
        <v>469</v>
      </c>
      <c r="F42" s="376">
        <v>0.95</v>
      </c>
      <c r="G42" s="376">
        <v>0.95</v>
      </c>
      <c r="H42" s="376">
        <v>0.95</v>
      </c>
      <c r="I42" s="374">
        <f t="shared" si="0"/>
        <v>47523</v>
      </c>
      <c r="J42" s="394"/>
      <c r="K42" s="394"/>
      <c r="L42" s="394"/>
      <c r="M42" s="394"/>
      <c r="N42" s="376">
        <v>47523</v>
      </c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5" t="s">
        <v>458</v>
      </c>
    </row>
    <row r="43" spans="1:28" ht="15">
      <c r="A43" s="922"/>
      <c r="B43" s="922"/>
      <c r="C43" s="371"/>
      <c r="D43" s="400"/>
      <c r="E43" s="587"/>
      <c r="F43" s="376"/>
      <c r="G43" s="376"/>
      <c r="H43" s="376"/>
      <c r="I43" s="731"/>
      <c r="J43" s="394"/>
      <c r="K43" s="394"/>
      <c r="L43" s="394"/>
      <c r="M43" s="394"/>
      <c r="N43" s="376">
        <f>N42+N41+N40+N39+N38+N37+N36+N35+N34</f>
        <v>310574</v>
      </c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5"/>
    </row>
    <row r="44" spans="1:28" ht="70.5" customHeight="1">
      <c r="A44" s="922"/>
      <c r="B44" s="922"/>
      <c r="C44" s="573"/>
      <c r="D44" s="574"/>
      <c r="E44" s="588" t="s">
        <v>573</v>
      </c>
      <c r="F44" s="376"/>
      <c r="G44" s="376"/>
      <c r="H44" s="376"/>
      <c r="I44" s="374">
        <f>SUM(J44+K44+L44+M44+N44+O44+Q44+R44+S44+T44+U44+V44+Z44)</f>
        <v>38360</v>
      </c>
      <c r="J44" s="457"/>
      <c r="K44" s="457"/>
      <c r="L44" s="457"/>
      <c r="M44" s="457"/>
      <c r="N44" s="376">
        <v>38360</v>
      </c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7"/>
      <c r="AA44" s="457"/>
      <c r="AB44" s="393" t="s">
        <v>458</v>
      </c>
    </row>
    <row r="45" spans="1:28" ht="45.75" thickBot="1">
      <c r="A45" s="923"/>
      <c r="B45" s="923"/>
      <c r="C45" s="401"/>
      <c r="D45" s="402"/>
      <c r="E45" s="609" t="s">
        <v>470</v>
      </c>
      <c r="F45" s="376">
        <v>1</v>
      </c>
      <c r="G45" s="376">
        <v>1</v>
      </c>
      <c r="H45" s="376">
        <v>1</v>
      </c>
      <c r="I45" s="374">
        <f>SUM(J45+K45+L45+M45+N45+O45+Q45+R45+S45+T45+U45+V45+Z45)</f>
        <v>270181</v>
      </c>
      <c r="J45" s="403"/>
      <c r="K45" s="403"/>
      <c r="L45" s="403"/>
      <c r="M45" s="403"/>
      <c r="N45" s="376">
        <v>270181</v>
      </c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4" t="s">
        <v>458</v>
      </c>
    </row>
    <row r="46" spans="1:28" ht="15.75" thickBot="1">
      <c r="A46" s="380"/>
      <c r="B46" s="351"/>
      <c r="C46" s="351"/>
      <c r="D46" s="351"/>
      <c r="E46" s="610"/>
      <c r="F46" s="351"/>
      <c r="G46" s="351"/>
      <c r="H46" s="351"/>
      <c r="I46" s="351">
        <f>K46+U46+N46+T46+W46+X46+Z46</f>
        <v>8851793.718</v>
      </c>
      <c r="J46" s="351"/>
      <c r="K46" s="351">
        <f>SUM(K27:K45)</f>
        <v>80234</v>
      </c>
      <c r="L46" s="351"/>
      <c r="M46" s="351"/>
      <c r="N46" s="351">
        <f>N27+N43+N44+N45</f>
        <v>5665777.347</v>
      </c>
      <c r="O46" s="351"/>
      <c r="P46" s="351"/>
      <c r="Q46" s="351"/>
      <c r="R46" s="351"/>
      <c r="S46" s="351"/>
      <c r="T46" s="351">
        <f>T27</f>
        <v>2787865.523</v>
      </c>
      <c r="U46" s="351">
        <f>U34</f>
        <v>200.848</v>
      </c>
      <c r="V46" s="351"/>
      <c r="W46" s="351">
        <f>W27</f>
        <v>249716</v>
      </c>
      <c r="X46" s="351">
        <f>X27</f>
        <v>65000</v>
      </c>
      <c r="Y46" s="351"/>
      <c r="Z46" s="351">
        <f>SUM(Z27)</f>
        <v>3000</v>
      </c>
      <c r="AA46" s="682"/>
      <c r="AB46" s="405"/>
    </row>
    <row r="47" spans="1:28" ht="15.75" thickBot="1">
      <c r="A47" s="383"/>
      <c r="B47" s="383"/>
      <c r="C47" s="406"/>
      <c r="D47" s="407"/>
      <c r="E47" s="589"/>
      <c r="F47" s="408"/>
      <c r="G47" s="408"/>
      <c r="H47" s="408"/>
      <c r="I47" s="409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1"/>
    </row>
    <row r="48" spans="1:28" ht="15.75" thickBot="1">
      <c r="A48" s="339"/>
      <c r="B48" s="339"/>
      <c r="C48" s="412"/>
      <c r="D48" s="340"/>
      <c r="E48" s="590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  <c r="U48" s="413"/>
      <c r="V48" s="413"/>
      <c r="W48" s="413"/>
      <c r="X48" s="413"/>
      <c r="Y48" s="413"/>
      <c r="Z48" s="413"/>
      <c r="AA48" s="413"/>
      <c r="AB48" s="414"/>
    </row>
    <row r="49" spans="1:28" ht="150">
      <c r="A49" s="847" t="s">
        <v>471</v>
      </c>
      <c r="B49" s="893" t="s">
        <v>472</v>
      </c>
      <c r="C49" s="920" t="s">
        <v>473</v>
      </c>
      <c r="D49" s="847"/>
      <c r="E49" s="611" t="s">
        <v>189</v>
      </c>
      <c r="F49" s="376">
        <v>948</v>
      </c>
      <c r="G49" s="376">
        <v>2975</v>
      </c>
      <c r="H49" s="376">
        <v>3923</v>
      </c>
      <c r="I49" s="374">
        <f>SUM(J49+K49+L49+M49+N49+O49+Q49+R49+S49+T49+U49+V49+Z49)</f>
        <v>531272.4155</v>
      </c>
      <c r="J49" s="415"/>
      <c r="K49" s="415"/>
      <c r="L49" s="415"/>
      <c r="M49" s="657">
        <f>1494544831*50%/1000-216000</f>
        <v>531272.4155</v>
      </c>
      <c r="N49" s="415"/>
      <c r="O49" s="415"/>
      <c r="P49" s="415"/>
      <c r="Q49" s="416"/>
      <c r="R49" s="416"/>
      <c r="S49" s="415"/>
      <c r="T49" s="415"/>
      <c r="U49" s="415"/>
      <c r="V49" s="415"/>
      <c r="W49" s="415"/>
      <c r="X49" s="415"/>
      <c r="Y49" s="415"/>
      <c r="Z49" s="415"/>
      <c r="AA49" s="415"/>
      <c r="AB49" s="417" t="s">
        <v>474</v>
      </c>
    </row>
    <row r="50" spans="1:28" ht="64.5">
      <c r="A50" s="839"/>
      <c r="B50" s="850"/>
      <c r="C50" s="921"/>
      <c r="D50" s="839"/>
      <c r="E50" s="612" t="s">
        <v>192</v>
      </c>
      <c r="F50" s="376">
        <v>2857</v>
      </c>
      <c r="G50" s="376">
        <v>2986</v>
      </c>
      <c r="H50" s="376">
        <v>2986</v>
      </c>
      <c r="I50" s="374">
        <f>SUM(J50+K50+L50+M50+N50+O50+Q50+R50+S50+T50+U50+V50+Z50)</f>
        <v>216000</v>
      </c>
      <c r="J50" s="418"/>
      <c r="K50" s="418"/>
      <c r="L50" s="418"/>
      <c r="M50" s="376">
        <v>216000</v>
      </c>
      <c r="N50" s="418"/>
      <c r="O50" s="418"/>
      <c r="P50" s="418"/>
      <c r="Q50" s="394"/>
      <c r="R50" s="394"/>
      <c r="S50" s="418"/>
      <c r="T50" s="418"/>
      <c r="U50" s="418"/>
      <c r="V50" s="418"/>
      <c r="W50" s="418"/>
      <c r="X50" s="418"/>
      <c r="Y50" s="418"/>
      <c r="Z50" s="418"/>
      <c r="AA50" s="418"/>
      <c r="AB50" s="395" t="s">
        <v>474</v>
      </c>
    </row>
    <row r="51" spans="1:28" ht="64.5">
      <c r="A51" s="839"/>
      <c r="B51" s="850"/>
      <c r="C51" s="921"/>
      <c r="D51" s="839"/>
      <c r="E51" s="613" t="s">
        <v>200</v>
      </c>
      <c r="F51" s="420">
        <v>346</v>
      </c>
      <c r="G51" s="420">
        <v>346</v>
      </c>
      <c r="H51" s="420">
        <v>346</v>
      </c>
      <c r="I51" s="374">
        <f>SUM(J51+K51+L51+M51+N51+O51+Q51+R51+S51+T51+U51+V51+Z51)</f>
        <v>40000</v>
      </c>
      <c r="J51" s="418"/>
      <c r="K51" s="418"/>
      <c r="L51" s="418"/>
      <c r="M51" s="376">
        <v>40000</v>
      </c>
      <c r="N51" s="418"/>
      <c r="O51" s="418"/>
      <c r="P51" s="418"/>
      <c r="Q51" s="376"/>
      <c r="R51" s="394"/>
      <c r="S51" s="418"/>
      <c r="T51" s="418"/>
      <c r="U51" s="418"/>
      <c r="V51" s="418"/>
      <c r="W51" s="418"/>
      <c r="X51" s="418"/>
      <c r="Y51" s="418"/>
      <c r="Z51" s="418"/>
      <c r="AA51" s="418"/>
      <c r="AB51" s="395" t="s">
        <v>474</v>
      </c>
    </row>
    <row r="52" spans="1:28" ht="75">
      <c r="A52" s="839"/>
      <c r="B52" s="850"/>
      <c r="C52" s="921"/>
      <c r="D52" s="839"/>
      <c r="E52" s="613" t="s">
        <v>203</v>
      </c>
      <c r="F52" s="376">
        <v>100</v>
      </c>
      <c r="G52" s="376">
        <v>100</v>
      </c>
      <c r="H52" s="376">
        <v>100</v>
      </c>
      <c r="I52" s="374">
        <f>SUM(J52+K52+L52+M52+N52+O52+Q52+R52+S52+T52+U52+V52+Z52)</f>
        <v>145718</v>
      </c>
      <c r="J52" s="418"/>
      <c r="K52" s="418"/>
      <c r="L52" s="418"/>
      <c r="M52" s="376">
        <v>145718</v>
      </c>
      <c r="N52" s="418"/>
      <c r="O52" s="418"/>
      <c r="P52" s="418"/>
      <c r="Q52" s="394"/>
      <c r="R52" s="394"/>
      <c r="S52" s="418"/>
      <c r="T52" s="418"/>
      <c r="U52" s="418"/>
      <c r="V52" s="418"/>
      <c r="W52" s="418"/>
      <c r="X52" s="418"/>
      <c r="Y52" s="418"/>
      <c r="Z52" s="418"/>
      <c r="AA52" s="418"/>
      <c r="AB52" s="395" t="s">
        <v>474</v>
      </c>
    </row>
    <row r="53" spans="1:28" ht="75">
      <c r="A53" s="839"/>
      <c r="B53" s="850"/>
      <c r="C53" s="838" t="s">
        <v>475</v>
      </c>
      <c r="D53" s="845"/>
      <c r="E53" s="603" t="s">
        <v>225</v>
      </c>
      <c r="F53" s="376">
        <v>10</v>
      </c>
      <c r="G53" s="376">
        <v>10</v>
      </c>
      <c r="H53" s="376">
        <v>10</v>
      </c>
      <c r="I53" s="374">
        <f>SUM(J53+K53+L53+M53+N53+O53+Q53+R53+S53+T53+U53+V53+X53+Y53+Z53)</f>
        <v>10003</v>
      </c>
      <c r="J53" s="421"/>
      <c r="K53" s="421"/>
      <c r="L53" s="421"/>
      <c r="M53" s="376">
        <v>10000</v>
      </c>
      <c r="N53" s="421"/>
      <c r="O53" s="421"/>
      <c r="P53" s="421"/>
      <c r="Q53" s="422"/>
      <c r="R53" s="422"/>
      <c r="S53" s="422"/>
      <c r="T53" s="422"/>
      <c r="U53" s="422"/>
      <c r="V53" s="376">
        <v>1</v>
      </c>
      <c r="W53" s="376"/>
      <c r="X53" s="376"/>
      <c r="Y53" s="376">
        <v>2</v>
      </c>
      <c r="Z53" s="422"/>
      <c r="AA53" s="422"/>
      <c r="AB53" s="422"/>
    </row>
    <row r="54" spans="1:28" ht="60">
      <c r="A54" s="839"/>
      <c r="B54" s="850"/>
      <c r="C54" s="839"/>
      <c r="D54" s="897"/>
      <c r="E54" s="603" t="s">
        <v>228</v>
      </c>
      <c r="F54" s="376">
        <v>0</v>
      </c>
      <c r="G54" s="376">
        <v>1000</v>
      </c>
      <c r="H54" s="376">
        <v>1100</v>
      </c>
      <c r="I54" s="374">
        <f>SUM(J54+K54+L54+M54+N54+O54+Q54+R54+S54+T54+U54+V54+Z54)</f>
        <v>14725</v>
      </c>
      <c r="J54" s="421"/>
      <c r="K54" s="421"/>
      <c r="L54" s="421"/>
      <c r="M54" s="376">
        <v>14725</v>
      </c>
      <c r="N54" s="421"/>
      <c r="O54" s="421"/>
      <c r="P54" s="421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</row>
    <row r="55" spans="1:28" ht="75">
      <c r="A55" s="839"/>
      <c r="B55" s="850"/>
      <c r="C55" s="839"/>
      <c r="D55" s="897"/>
      <c r="E55" s="603" t="s">
        <v>231</v>
      </c>
      <c r="F55" s="376">
        <v>250</v>
      </c>
      <c r="G55" s="376">
        <v>250</v>
      </c>
      <c r="H55" s="376">
        <v>250</v>
      </c>
      <c r="I55" s="374">
        <f>SUM(J55+K55+L55+M55+N55+O55+Q55+R55+S55+T55+U55+V55+Z55)</f>
        <v>15000</v>
      </c>
      <c r="J55" s="421"/>
      <c r="K55" s="421"/>
      <c r="L55" s="421"/>
      <c r="M55" s="376">
        <v>15000</v>
      </c>
      <c r="N55" s="421"/>
      <c r="O55" s="421"/>
      <c r="P55" s="421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</row>
    <row r="56" spans="1:28" ht="75">
      <c r="A56" s="839"/>
      <c r="B56" s="850"/>
      <c r="C56" s="839"/>
      <c r="D56" s="897"/>
      <c r="E56" s="603" t="s">
        <v>234</v>
      </c>
      <c r="F56" s="376">
        <v>55</v>
      </c>
      <c r="G56" s="376">
        <v>55</v>
      </c>
      <c r="H56" s="376">
        <v>55</v>
      </c>
      <c r="I56" s="374">
        <f>SUM(J56+K56+L56+M56+N56+O56+Q56+R56+S56+T56+U56+V56+Z56)</f>
        <v>11000</v>
      </c>
      <c r="J56" s="421"/>
      <c r="K56" s="421"/>
      <c r="L56" s="421"/>
      <c r="M56" s="376">
        <v>11000</v>
      </c>
      <c r="N56" s="421"/>
      <c r="O56" s="421"/>
      <c r="P56" s="421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</row>
    <row r="57" spans="1:28" ht="60">
      <c r="A57" s="839"/>
      <c r="B57" s="850"/>
      <c r="C57" s="839"/>
      <c r="D57" s="897"/>
      <c r="E57" s="603" t="s">
        <v>237</v>
      </c>
      <c r="F57" s="376">
        <v>0</v>
      </c>
      <c r="G57" s="376">
        <v>0</v>
      </c>
      <c r="H57" s="376">
        <v>0</v>
      </c>
      <c r="I57" s="374">
        <f>SUM(J57+K57+L57+M57+N57+O57+Q57+R57+S57+T57+U57+V57+Z57)</f>
        <v>8000</v>
      </c>
      <c r="J57" s="421"/>
      <c r="K57" s="421"/>
      <c r="L57" s="421"/>
      <c r="M57" s="376">
        <v>8000</v>
      </c>
      <c r="N57" s="421"/>
      <c r="O57" s="421"/>
      <c r="P57" s="421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</row>
    <row r="58" spans="1:28" ht="45.75" thickBot="1">
      <c r="A58" s="895"/>
      <c r="B58" s="894"/>
      <c r="C58" s="895"/>
      <c r="D58" s="898"/>
      <c r="E58" s="614" t="s">
        <v>476</v>
      </c>
      <c r="F58" s="376"/>
      <c r="G58" s="376"/>
      <c r="H58" s="376"/>
      <c r="I58" s="345">
        <f>SUM(J58+K58+L58+M58+N58+O58+Q58+R58+S58+T58+U58+V58+Z58)</f>
        <v>483187</v>
      </c>
      <c r="J58" s="423"/>
      <c r="K58" s="423"/>
      <c r="L58" s="423"/>
      <c r="M58" s="658">
        <v>483187</v>
      </c>
      <c r="N58" s="423"/>
      <c r="O58" s="423"/>
      <c r="P58" s="423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</row>
    <row r="59" spans="1:28" ht="15.75" thickBot="1">
      <c r="A59" s="425"/>
      <c r="B59" s="381"/>
      <c r="C59" s="351"/>
      <c r="D59" s="351"/>
      <c r="E59" s="610"/>
      <c r="F59" s="351"/>
      <c r="G59" s="351"/>
      <c r="H59" s="351"/>
      <c r="I59" s="381">
        <f>SUM(I49:I58)</f>
        <v>1474905.4155000001</v>
      </c>
      <c r="J59" s="381"/>
      <c r="K59" s="381"/>
      <c r="L59" s="381"/>
      <c r="M59" s="381">
        <f>SUM(M49:M58)</f>
        <v>1474902.4155000001</v>
      </c>
      <c r="N59" s="381"/>
      <c r="O59" s="381"/>
      <c r="P59" s="381"/>
      <c r="Q59" s="381"/>
      <c r="R59" s="381"/>
      <c r="S59" s="381"/>
      <c r="T59" s="381"/>
      <c r="U59" s="381"/>
      <c r="V59" s="381">
        <f>V53</f>
        <v>1</v>
      </c>
      <c r="W59" s="381"/>
      <c r="X59" s="381"/>
      <c r="Y59" s="381">
        <f>SUM(Y53)</f>
        <v>2</v>
      </c>
      <c r="Z59" s="381"/>
      <c r="AA59" s="680"/>
      <c r="AB59" s="382"/>
    </row>
    <row r="60" spans="1:28" ht="15.75" thickBot="1">
      <c r="A60" s="341"/>
      <c r="B60" s="339"/>
      <c r="C60" s="426"/>
      <c r="D60" s="427"/>
      <c r="E60" s="615"/>
      <c r="F60" s="414"/>
      <c r="G60" s="414"/>
      <c r="H60" s="414"/>
      <c r="I60" s="413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</row>
    <row r="61" spans="1:28" ht="75">
      <c r="A61" s="892" t="s">
        <v>477</v>
      </c>
      <c r="B61" s="850" t="s">
        <v>478</v>
      </c>
      <c r="C61" s="839" t="s">
        <v>479</v>
      </c>
      <c r="D61" s="897"/>
      <c r="E61" s="616" t="s">
        <v>265</v>
      </c>
      <c r="F61" s="428">
        <v>2</v>
      </c>
      <c r="G61" s="428">
        <v>6</v>
      </c>
      <c r="H61" s="428">
        <v>8</v>
      </c>
      <c r="I61" s="374">
        <f aca="true" t="shared" si="2" ref="I61:I68">SUM(J61+K61+L61+M61+N61+O61+Q61+R61+S61+T61+U61+V61+Z61)</f>
        <v>0</v>
      </c>
      <c r="J61" s="429"/>
      <c r="K61" s="429"/>
      <c r="L61" s="429"/>
      <c r="M61" s="429"/>
      <c r="N61" s="429"/>
      <c r="O61" s="429"/>
      <c r="P61" s="429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</row>
    <row r="62" spans="1:28" ht="75">
      <c r="A62" s="892"/>
      <c r="B62" s="850"/>
      <c r="C62" s="839"/>
      <c r="D62" s="897"/>
      <c r="E62" s="617" t="s">
        <v>268</v>
      </c>
      <c r="F62" s="431">
        <v>2</v>
      </c>
      <c r="G62" s="431">
        <v>6</v>
      </c>
      <c r="H62" s="431">
        <v>8</v>
      </c>
      <c r="I62" s="374">
        <f t="shared" si="2"/>
        <v>0</v>
      </c>
      <c r="J62" s="421"/>
      <c r="K62" s="421"/>
      <c r="L62" s="421"/>
      <c r="M62" s="421"/>
      <c r="N62" s="421"/>
      <c r="O62" s="421"/>
      <c r="P62" s="421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</row>
    <row r="63" spans="1:28" ht="105">
      <c r="A63" s="892"/>
      <c r="B63" s="850"/>
      <c r="C63" s="839"/>
      <c r="D63" s="897"/>
      <c r="E63" s="617" t="s">
        <v>271</v>
      </c>
      <c r="F63" s="431">
        <v>10</v>
      </c>
      <c r="G63" s="431">
        <v>35</v>
      </c>
      <c r="H63" s="431">
        <v>45</v>
      </c>
      <c r="I63" s="374">
        <f t="shared" si="2"/>
        <v>0</v>
      </c>
      <c r="J63" s="421"/>
      <c r="K63" s="421"/>
      <c r="L63" s="421"/>
      <c r="M63" s="421"/>
      <c r="N63" s="421"/>
      <c r="O63" s="421"/>
      <c r="P63" s="421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</row>
    <row r="64" spans="1:28" ht="75">
      <c r="A64" s="892"/>
      <c r="B64" s="850"/>
      <c r="C64" s="839"/>
      <c r="D64" s="897"/>
      <c r="E64" s="617" t="s">
        <v>274</v>
      </c>
      <c r="F64" s="431">
        <v>20</v>
      </c>
      <c r="G64" s="431">
        <v>40</v>
      </c>
      <c r="H64" s="431">
        <v>60</v>
      </c>
      <c r="I64" s="374">
        <f t="shared" si="2"/>
        <v>104798</v>
      </c>
      <c r="J64" s="421"/>
      <c r="K64" s="421"/>
      <c r="L64" s="421"/>
      <c r="M64" s="421"/>
      <c r="N64" s="421"/>
      <c r="O64" s="659">
        <v>104798</v>
      </c>
      <c r="P64" s="421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</row>
    <row r="65" spans="1:28" ht="60">
      <c r="A65" s="892"/>
      <c r="B65" s="850"/>
      <c r="C65" s="839"/>
      <c r="D65" s="897"/>
      <c r="E65" s="617" t="s">
        <v>277</v>
      </c>
      <c r="F65" s="431">
        <v>10</v>
      </c>
      <c r="G65" s="431">
        <v>30</v>
      </c>
      <c r="H65" s="431">
        <v>40</v>
      </c>
      <c r="I65" s="374">
        <f t="shared" si="2"/>
        <v>0</v>
      </c>
      <c r="J65" s="421"/>
      <c r="K65" s="421"/>
      <c r="L65" s="421"/>
      <c r="M65" s="421"/>
      <c r="N65" s="421"/>
      <c r="O65" s="421"/>
      <c r="P65" s="421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</row>
    <row r="66" spans="1:28" ht="90">
      <c r="A66" s="892"/>
      <c r="B66" s="850"/>
      <c r="C66" s="839"/>
      <c r="D66" s="897"/>
      <c r="E66" s="618" t="s">
        <v>280</v>
      </c>
      <c r="F66" s="431">
        <v>200</v>
      </c>
      <c r="G66" s="431">
        <v>400</v>
      </c>
      <c r="H66" s="431">
        <v>600</v>
      </c>
      <c r="I66" s="374">
        <f t="shared" si="2"/>
        <v>0</v>
      </c>
      <c r="J66" s="418"/>
      <c r="K66" s="418"/>
      <c r="L66" s="418"/>
      <c r="M66" s="418"/>
      <c r="N66" s="418"/>
      <c r="O66" s="418"/>
      <c r="P66" s="418"/>
      <c r="Q66" s="394"/>
      <c r="R66" s="394"/>
      <c r="S66" s="418"/>
      <c r="T66" s="418"/>
      <c r="U66" s="418"/>
      <c r="V66" s="418"/>
      <c r="W66" s="418"/>
      <c r="X66" s="418"/>
      <c r="Y66" s="418"/>
      <c r="Z66" s="418"/>
      <c r="AA66" s="418"/>
      <c r="AB66" s="418" t="s">
        <v>480</v>
      </c>
    </row>
    <row r="67" spans="1:28" ht="60">
      <c r="A67" s="892"/>
      <c r="B67" s="850"/>
      <c r="C67" s="839"/>
      <c r="D67" s="897"/>
      <c r="E67" s="619" t="s">
        <v>283</v>
      </c>
      <c r="F67" s="431">
        <v>3</v>
      </c>
      <c r="G67" s="431">
        <v>0</v>
      </c>
      <c r="H67" s="431">
        <v>3</v>
      </c>
      <c r="I67" s="374">
        <f t="shared" si="2"/>
        <v>0</v>
      </c>
      <c r="J67" s="421"/>
      <c r="K67" s="421"/>
      <c r="L67" s="421"/>
      <c r="M67" s="421"/>
      <c r="N67" s="421"/>
      <c r="O67" s="421"/>
      <c r="P67" s="421"/>
      <c r="Q67" s="432"/>
      <c r="R67" s="432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</row>
    <row r="68" spans="1:28" ht="45.75" thickBot="1">
      <c r="A68" s="911"/>
      <c r="B68" s="894"/>
      <c r="C68" s="895"/>
      <c r="D68" s="898"/>
      <c r="E68" s="620" t="s">
        <v>481</v>
      </c>
      <c r="F68" s="433">
        <v>4</v>
      </c>
      <c r="G68" s="433">
        <v>8</v>
      </c>
      <c r="H68" s="433">
        <v>12</v>
      </c>
      <c r="I68" s="374">
        <f t="shared" si="2"/>
        <v>0</v>
      </c>
      <c r="J68" s="434"/>
      <c r="K68" s="434"/>
      <c r="L68" s="434"/>
      <c r="M68" s="434"/>
      <c r="N68" s="434"/>
      <c r="O68" s="434"/>
      <c r="P68" s="434"/>
      <c r="Q68" s="435"/>
      <c r="R68" s="435"/>
      <c r="S68" s="434"/>
      <c r="T68" s="434"/>
      <c r="U68" s="434"/>
      <c r="V68" s="434"/>
      <c r="W68" s="434"/>
      <c r="X68" s="434"/>
      <c r="Y68" s="434"/>
      <c r="Z68" s="434"/>
      <c r="AA68" s="434"/>
      <c r="AB68" s="434"/>
    </row>
    <row r="69" spans="1:28" ht="15.75" thickBot="1">
      <c r="A69" s="380"/>
      <c r="B69" s="351"/>
      <c r="C69" s="351"/>
      <c r="D69" s="351"/>
      <c r="E69" s="610"/>
      <c r="F69" s="351"/>
      <c r="G69" s="351"/>
      <c r="H69" s="351"/>
      <c r="I69" s="351">
        <f>SUM(I61:I68)</f>
        <v>104798</v>
      </c>
      <c r="J69" s="351"/>
      <c r="K69" s="351"/>
      <c r="L69" s="351"/>
      <c r="M69" s="351"/>
      <c r="N69" s="351"/>
      <c r="O69" s="351">
        <f>O64</f>
        <v>104798</v>
      </c>
      <c r="P69" s="351"/>
      <c r="Q69" s="351">
        <f>SUM(Q61:Q68)</f>
        <v>0</v>
      </c>
      <c r="R69" s="351"/>
      <c r="S69" s="351"/>
      <c r="T69" s="351"/>
      <c r="U69" s="351"/>
      <c r="V69" s="351"/>
      <c r="W69" s="351"/>
      <c r="X69" s="351"/>
      <c r="Y69" s="351"/>
      <c r="Z69" s="351"/>
      <c r="AA69" s="682"/>
      <c r="AB69" s="405"/>
    </row>
    <row r="70" spans="1:28" ht="15.75" thickBot="1">
      <c r="A70" s="436"/>
      <c r="B70" s="339"/>
      <c r="C70" s="427"/>
      <c r="D70" s="427"/>
      <c r="E70" s="621"/>
      <c r="F70" s="414"/>
      <c r="G70" s="414"/>
      <c r="H70" s="414"/>
      <c r="I70" s="413"/>
      <c r="J70" s="414"/>
      <c r="K70" s="414"/>
      <c r="L70" s="414"/>
      <c r="M70" s="414"/>
      <c r="N70" s="414"/>
      <c r="O70" s="414"/>
      <c r="P70" s="414"/>
      <c r="Q70" s="413"/>
      <c r="R70" s="413"/>
      <c r="S70" s="414"/>
      <c r="T70" s="414"/>
      <c r="U70" s="414"/>
      <c r="V70" s="414"/>
      <c r="W70" s="414"/>
      <c r="X70" s="414"/>
      <c r="Y70" s="414"/>
      <c r="Z70" s="414"/>
      <c r="AA70" s="683"/>
      <c r="AB70" s="437"/>
    </row>
    <row r="71" spans="1:28" ht="105.75" thickBot="1">
      <c r="A71" s="915"/>
      <c r="B71" s="837"/>
      <c r="C71" s="918" t="s">
        <v>482</v>
      </c>
      <c r="D71" s="897"/>
      <c r="E71" s="622" t="s">
        <v>483</v>
      </c>
      <c r="F71" s="429"/>
      <c r="G71" s="429"/>
      <c r="H71" s="429"/>
      <c r="I71" s="438">
        <f>SUM(J71+K71+L71+M71+N71+O71+P71+R71+S71+T71+U71+V71+Z71)</f>
        <v>78598</v>
      </c>
      <c r="J71" s="429"/>
      <c r="K71" s="429"/>
      <c r="L71" s="429"/>
      <c r="M71" s="429"/>
      <c r="N71" s="429"/>
      <c r="O71" s="429"/>
      <c r="P71" s="439">
        <v>78598</v>
      </c>
      <c r="R71" s="440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</row>
    <row r="72" spans="1:28" ht="75">
      <c r="A72" s="915"/>
      <c r="B72" s="837"/>
      <c r="C72" s="918"/>
      <c r="D72" s="897"/>
      <c r="E72" s="623" t="s">
        <v>484</v>
      </c>
      <c r="F72" s="421"/>
      <c r="G72" s="421"/>
      <c r="H72" s="421"/>
      <c r="I72" s="374">
        <f aca="true" t="shared" si="3" ref="I72:I77">SUM(J72+K72+L72+M72+N72+O72+Q72+R72+S72+T72+U72+V72+Z72)</f>
        <v>0</v>
      </c>
      <c r="J72" s="421"/>
      <c r="K72" s="421"/>
      <c r="L72" s="421"/>
      <c r="M72" s="421"/>
      <c r="N72" s="421"/>
      <c r="O72" s="421"/>
      <c r="P72" s="421"/>
      <c r="Q72" s="432"/>
      <c r="R72" s="432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</row>
    <row r="73" spans="1:28" ht="30">
      <c r="A73" s="915"/>
      <c r="B73" s="837"/>
      <c r="C73" s="918"/>
      <c r="D73" s="897"/>
      <c r="E73" s="624" t="s">
        <v>485</v>
      </c>
      <c r="F73" s="421"/>
      <c r="G73" s="421"/>
      <c r="H73" s="421"/>
      <c r="I73" s="374">
        <f t="shared" si="3"/>
        <v>0</v>
      </c>
      <c r="J73" s="421"/>
      <c r="K73" s="421"/>
      <c r="L73" s="421"/>
      <c r="M73" s="421"/>
      <c r="N73" s="421"/>
      <c r="O73" s="421"/>
      <c r="P73" s="421"/>
      <c r="Q73" s="432"/>
      <c r="R73" s="432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</row>
    <row r="74" spans="1:28" ht="60">
      <c r="A74" s="915"/>
      <c r="B74" s="837"/>
      <c r="C74" s="918"/>
      <c r="D74" s="897"/>
      <c r="E74" s="624" t="s">
        <v>486</v>
      </c>
      <c r="F74" s="421"/>
      <c r="G74" s="421"/>
      <c r="H74" s="421"/>
      <c r="I74" s="374">
        <f t="shared" si="3"/>
        <v>0</v>
      </c>
      <c r="J74" s="421"/>
      <c r="K74" s="421"/>
      <c r="L74" s="421"/>
      <c r="M74" s="421"/>
      <c r="N74" s="421"/>
      <c r="O74" s="421"/>
      <c r="P74" s="421"/>
      <c r="Q74" s="432"/>
      <c r="R74" s="432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</row>
    <row r="75" spans="1:28" ht="105">
      <c r="A75" s="915"/>
      <c r="B75" s="837"/>
      <c r="C75" s="918"/>
      <c r="D75" s="897"/>
      <c r="E75" s="624" t="s">
        <v>487</v>
      </c>
      <c r="F75" s="421"/>
      <c r="G75" s="421"/>
      <c r="H75" s="421"/>
      <c r="I75" s="374">
        <f t="shared" si="3"/>
        <v>0</v>
      </c>
      <c r="J75" s="421"/>
      <c r="K75" s="422"/>
      <c r="L75" s="422"/>
      <c r="M75" s="422"/>
      <c r="N75" s="422"/>
      <c r="O75" s="422"/>
      <c r="P75" s="422"/>
      <c r="Q75" s="397"/>
      <c r="R75" s="397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</row>
    <row r="76" spans="1:28" ht="90">
      <c r="A76" s="915"/>
      <c r="B76" s="837"/>
      <c r="C76" s="918"/>
      <c r="D76" s="897"/>
      <c r="E76" s="624" t="s">
        <v>488</v>
      </c>
      <c r="F76" s="421"/>
      <c r="G76" s="421"/>
      <c r="H76" s="421"/>
      <c r="I76" s="374">
        <f t="shared" si="3"/>
        <v>0</v>
      </c>
      <c r="J76" s="421"/>
      <c r="K76" s="422"/>
      <c r="L76" s="422"/>
      <c r="M76" s="422"/>
      <c r="N76" s="422"/>
      <c r="O76" s="422"/>
      <c r="P76" s="422"/>
      <c r="Q76" s="397"/>
      <c r="R76" s="397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</row>
    <row r="77" spans="1:28" ht="45.75" thickBot="1">
      <c r="A77" s="916"/>
      <c r="B77" s="917"/>
      <c r="C77" s="919"/>
      <c r="D77" s="898"/>
      <c r="E77" s="625" t="s">
        <v>489</v>
      </c>
      <c r="F77" s="441"/>
      <c r="G77" s="441"/>
      <c r="H77" s="441"/>
      <c r="I77" s="374">
        <f t="shared" si="3"/>
        <v>0</v>
      </c>
      <c r="J77" s="441"/>
      <c r="K77" s="442"/>
      <c r="L77" s="442"/>
      <c r="M77" s="442"/>
      <c r="N77" s="442"/>
      <c r="O77" s="442"/>
      <c r="P77" s="442"/>
      <c r="Q77" s="443"/>
      <c r="R77" s="443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</row>
    <row r="78" spans="1:28" ht="15.75" thickBot="1">
      <c r="A78" s="380"/>
      <c r="B78" s="351"/>
      <c r="C78" s="351"/>
      <c r="D78" s="351"/>
      <c r="E78" s="610"/>
      <c r="F78" s="351"/>
      <c r="G78" s="351"/>
      <c r="H78" s="351"/>
      <c r="I78" s="351">
        <f>SUM(I71:I77)</f>
        <v>78598</v>
      </c>
      <c r="J78" s="351"/>
      <c r="K78" s="351"/>
      <c r="L78" s="351"/>
      <c r="M78" s="351"/>
      <c r="N78" s="351"/>
      <c r="O78" s="351"/>
      <c r="P78" s="351">
        <f>P71</f>
        <v>78598</v>
      </c>
      <c r="Q78" s="351">
        <f>SUM(Q71:Q77)</f>
        <v>0</v>
      </c>
      <c r="R78" s="351"/>
      <c r="S78" s="351"/>
      <c r="T78" s="351"/>
      <c r="U78" s="351"/>
      <c r="V78" s="351"/>
      <c r="W78" s="351"/>
      <c r="X78" s="351"/>
      <c r="Y78" s="351"/>
      <c r="Z78" s="351"/>
      <c r="AA78" s="682"/>
      <c r="AB78" s="405"/>
    </row>
    <row r="79" spans="1:28" ht="15.75" thickBot="1">
      <c r="A79" s="338"/>
      <c r="B79" s="339"/>
      <c r="C79" s="427"/>
      <c r="D79" s="444"/>
      <c r="E79" s="591"/>
      <c r="F79" s="414"/>
      <c r="G79" s="414"/>
      <c r="H79" s="414"/>
      <c r="I79" s="413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</row>
    <row r="80" spans="1:28" ht="90">
      <c r="A80" s="892" t="s">
        <v>490</v>
      </c>
      <c r="B80" s="850" t="s">
        <v>491</v>
      </c>
      <c r="C80" s="839" t="s">
        <v>492</v>
      </c>
      <c r="D80" s="892"/>
      <c r="E80" s="626" t="s">
        <v>240</v>
      </c>
      <c r="F80" s="445">
        <v>0</v>
      </c>
      <c r="G80" s="445">
        <v>0</v>
      </c>
      <c r="H80" s="445">
        <v>0</v>
      </c>
      <c r="I80" s="374">
        <f>SUM(J80+K80+L80+M80+N80+O80+Q80+R80+S80+T80+U80+V80+Z80)</f>
        <v>4500</v>
      </c>
      <c r="J80" s="446"/>
      <c r="K80" s="446"/>
      <c r="L80" s="446"/>
      <c r="M80" s="446"/>
      <c r="N80" s="446"/>
      <c r="O80" s="446"/>
      <c r="P80" s="446"/>
      <c r="Q80" s="447">
        <v>4500</v>
      </c>
      <c r="R80" s="392"/>
      <c r="S80" s="446"/>
      <c r="T80" s="446"/>
      <c r="U80" s="446"/>
      <c r="V80" s="446"/>
      <c r="W80" s="446"/>
      <c r="X80" s="446"/>
      <c r="Y80" s="446"/>
      <c r="Z80" s="392"/>
      <c r="AA80" s="392"/>
      <c r="AB80" s="448" t="s">
        <v>493</v>
      </c>
    </row>
    <row r="81" spans="1:28" ht="75">
      <c r="A81" s="892"/>
      <c r="B81" s="850"/>
      <c r="C81" s="839"/>
      <c r="D81" s="892"/>
      <c r="E81" s="627" t="s">
        <v>243</v>
      </c>
      <c r="F81" s="449">
        <v>1</v>
      </c>
      <c r="G81" s="445">
        <v>100</v>
      </c>
      <c r="H81" s="450">
        <v>1</v>
      </c>
      <c r="I81" s="374">
        <f>SUM(J81+K81+L81+M81+N81+O81+Q81+R81+S81+T81+U81+V81+Z81)</f>
        <v>10000</v>
      </c>
      <c r="J81" s="446"/>
      <c r="K81" s="446"/>
      <c r="L81" s="446"/>
      <c r="M81" s="446"/>
      <c r="N81" s="446"/>
      <c r="O81" s="446"/>
      <c r="P81" s="446"/>
      <c r="Q81" s="451">
        <v>10000</v>
      </c>
      <c r="R81" s="392"/>
      <c r="S81" s="446"/>
      <c r="T81" s="446"/>
      <c r="U81" s="446"/>
      <c r="V81" s="446"/>
      <c r="W81" s="446"/>
      <c r="X81" s="446"/>
      <c r="Y81" s="446"/>
      <c r="Z81" s="392"/>
      <c r="AA81" s="392"/>
      <c r="AB81" s="448"/>
    </row>
    <row r="82" spans="1:28" ht="90">
      <c r="A82" s="910"/>
      <c r="B82" s="912"/>
      <c r="C82" s="899"/>
      <c r="D82" s="910"/>
      <c r="E82" s="627" t="s">
        <v>246</v>
      </c>
      <c r="F82" s="449">
        <v>1</v>
      </c>
      <c r="G82" s="449">
        <v>1</v>
      </c>
      <c r="H82" s="449">
        <v>1</v>
      </c>
      <c r="I82" s="374">
        <f>SUM(J82+K82+L82+M82+N82+O82+Q82+R82+S82+T82+U82+V82+Z82)</f>
        <v>222073</v>
      </c>
      <c r="J82" s="418"/>
      <c r="K82" s="418"/>
      <c r="L82" s="418"/>
      <c r="M82" s="418"/>
      <c r="N82" s="418"/>
      <c r="O82" s="418"/>
      <c r="P82" s="418"/>
      <c r="Q82" s="447">
        <v>222073</v>
      </c>
      <c r="R82" s="394"/>
      <c r="S82" s="418"/>
      <c r="T82" s="418"/>
      <c r="U82" s="418"/>
      <c r="V82" s="418"/>
      <c r="W82" s="418"/>
      <c r="X82" s="418"/>
      <c r="Y82" s="418"/>
      <c r="Z82" s="418"/>
      <c r="AA82" s="418"/>
      <c r="AB82" s="377" t="s">
        <v>493</v>
      </c>
    </row>
    <row r="83" spans="1:28" ht="45.75" thickBot="1">
      <c r="A83" s="452"/>
      <c r="B83" s="453"/>
      <c r="C83" s="344"/>
      <c r="D83" s="454"/>
      <c r="E83" s="628" t="s">
        <v>494</v>
      </c>
      <c r="F83" s="449">
        <v>1</v>
      </c>
      <c r="G83" s="455">
        <v>1</v>
      </c>
      <c r="H83" s="449">
        <v>1</v>
      </c>
      <c r="I83" s="345">
        <f>Z83</f>
        <v>381109</v>
      </c>
      <c r="J83" s="456"/>
      <c r="K83" s="456"/>
      <c r="L83" s="456"/>
      <c r="M83" s="456"/>
      <c r="N83" s="456"/>
      <c r="O83" s="456"/>
      <c r="P83" s="456"/>
      <c r="Q83" s="457"/>
      <c r="R83" s="457"/>
      <c r="S83" s="456"/>
      <c r="T83" s="456"/>
      <c r="U83" s="456"/>
      <c r="V83" s="456"/>
      <c r="W83" s="456"/>
      <c r="X83" s="456"/>
      <c r="Y83" s="456"/>
      <c r="Z83" s="447">
        <v>381109</v>
      </c>
      <c r="AA83" s="503"/>
      <c r="AB83" s="458"/>
    </row>
    <row r="84" spans="1:28" ht="15.75" thickBot="1">
      <c r="A84" s="380"/>
      <c r="B84" s="351"/>
      <c r="C84" s="351"/>
      <c r="D84" s="351"/>
      <c r="E84" s="610"/>
      <c r="F84" s="351"/>
      <c r="G84" s="351"/>
      <c r="H84" s="351"/>
      <c r="I84" s="351">
        <f>SUM(I80:I83)</f>
        <v>617682</v>
      </c>
      <c r="J84" s="351"/>
      <c r="K84" s="351"/>
      <c r="L84" s="351"/>
      <c r="M84" s="351"/>
      <c r="N84" s="351"/>
      <c r="O84" s="351"/>
      <c r="P84" s="351"/>
      <c r="Q84" s="351">
        <f>SUM(Q80:Q83)</f>
        <v>236573</v>
      </c>
      <c r="R84" s="351"/>
      <c r="S84" s="351"/>
      <c r="T84" s="351"/>
      <c r="U84" s="351"/>
      <c r="V84" s="351"/>
      <c r="W84" s="351"/>
      <c r="X84" s="351"/>
      <c r="Y84" s="351"/>
      <c r="Z84" s="351">
        <f>SUM(Z83)</f>
        <v>381109</v>
      </c>
      <c r="AA84" s="682"/>
      <c r="AB84" s="405"/>
    </row>
    <row r="85" spans="1:28" ht="15">
      <c r="A85" s="459"/>
      <c r="B85" s="460"/>
      <c r="C85" s="461"/>
      <c r="D85" s="364"/>
      <c r="E85" s="592"/>
      <c r="F85" s="462"/>
      <c r="G85" s="462"/>
      <c r="H85" s="462"/>
      <c r="I85" s="463"/>
      <c r="J85" s="462"/>
      <c r="K85" s="462"/>
      <c r="L85" s="462"/>
      <c r="M85" s="462"/>
      <c r="N85" s="462"/>
      <c r="O85" s="462"/>
      <c r="P85" s="462"/>
      <c r="Q85" s="464"/>
      <c r="R85" s="464"/>
      <c r="S85" s="462"/>
      <c r="T85" s="462"/>
      <c r="U85" s="462"/>
      <c r="V85" s="462"/>
      <c r="W85" s="462"/>
      <c r="X85" s="462"/>
      <c r="Y85" s="462"/>
      <c r="Z85" s="462"/>
      <c r="AA85" s="462"/>
      <c r="AB85" s="465"/>
    </row>
    <row r="86" spans="1:28" ht="15">
      <c r="A86" s="466"/>
      <c r="B86" s="467"/>
      <c r="C86" s="468"/>
      <c r="D86" s="468"/>
      <c r="E86" s="593"/>
      <c r="F86" s="462"/>
      <c r="G86" s="462"/>
      <c r="H86" s="462"/>
      <c r="I86" s="464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</row>
    <row r="87" spans="1:28" ht="45">
      <c r="A87" s="892"/>
      <c r="B87" s="892"/>
      <c r="C87" s="839"/>
      <c r="D87" s="913"/>
      <c r="E87" s="629" t="s">
        <v>608</v>
      </c>
      <c r="F87" s="469">
        <v>150</v>
      </c>
      <c r="G87" s="469">
        <v>81</v>
      </c>
      <c r="H87" s="447">
        <v>231</v>
      </c>
      <c r="I87" s="374">
        <f>SUM(J87+K87+L87+M87+N87+O87+Q87+R87+S87+T87+U87+V87+Z87)</f>
        <v>5000</v>
      </c>
      <c r="J87" s="418"/>
      <c r="K87" s="418"/>
      <c r="L87" s="418"/>
      <c r="M87" s="418"/>
      <c r="N87" s="418"/>
      <c r="O87" s="418"/>
      <c r="P87" s="418"/>
      <c r="Q87" s="394">
        <v>5000</v>
      </c>
      <c r="R87" s="394"/>
      <c r="S87" s="418"/>
      <c r="T87" s="418"/>
      <c r="U87" s="418"/>
      <c r="V87" s="418"/>
      <c r="W87" s="418"/>
      <c r="X87" s="418"/>
      <c r="Y87" s="418"/>
      <c r="Z87" s="418"/>
      <c r="AA87" s="418"/>
      <c r="AB87" s="395"/>
    </row>
    <row r="88" spans="1:28" ht="45.75" thickBot="1">
      <c r="A88" s="892"/>
      <c r="B88" s="892"/>
      <c r="C88" s="839"/>
      <c r="D88" s="914"/>
      <c r="E88" s="630" t="s">
        <v>609</v>
      </c>
      <c r="F88" s="420">
        <v>59</v>
      </c>
      <c r="G88" s="420">
        <v>162</v>
      </c>
      <c r="H88" s="470">
        <v>221</v>
      </c>
      <c r="I88" s="374">
        <f>SUM(J88+K88+L88+M88+N88+O88+Q88+R88+S88+T88+U88+V88+Z88)</f>
        <v>5000</v>
      </c>
      <c r="J88" s="418"/>
      <c r="K88" s="418"/>
      <c r="L88" s="418"/>
      <c r="M88" s="418"/>
      <c r="N88" s="418"/>
      <c r="O88" s="418"/>
      <c r="P88" s="418"/>
      <c r="Q88" s="447">
        <v>5000</v>
      </c>
      <c r="R88" s="394"/>
      <c r="S88" s="418"/>
      <c r="T88" s="418"/>
      <c r="U88" s="418"/>
      <c r="V88" s="418"/>
      <c r="W88" s="418"/>
      <c r="X88" s="418"/>
      <c r="Y88" s="418"/>
      <c r="Z88" s="418"/>
      <c r="AA88" s="418"/>
      <c r="AB88" s="377" t="s">
        <v>493</v>
      </c>
    </row>
    <row r="89" spans="1:28" ht="15.75" thickBot="1">
      <c r="A89" s="380"/>
      <c r="B89" s="351"/>
      <c r="C89" s="351"/>
      <c r="D89" s="351"/>
      <c r="E89" s="610"/>
      <c r="F89" s="351"/>
      <c r="G89" s="351"/>
      <c r="H89" s="351"/>
      <c r="I89" s="351">
        <f>SUM(I87:I88)</f>
        <v>10000</v>
      </c>
      <c r="J89" s="351"/>
      <c r="K89" s="351"/>
      <c r="L89" s="351"/>
      <c r="M89" s="351"/>
      <c r="N89" s="351"/>
      <c r="O89" s="351"/>
      <c r="P89" s="351"/>
      <c r="Q89" s="351">
        <f>SUM(Q87:Q88)</f>
        <v>10000</v>
      </c>
      <c r="R89" s="351"/>
      <c r="S89" s="351"/>
      <c r="T89" s="351"/>
      <c r="U89" s="351"/>
      <c r="V89" s="351"/>
      <c r="W89" s="351"/>
      <c r="X89" s="351"/>
      <c r="Y89" s="351"/>
      <c r="Z89" s="351"/>
      <c r="AA89" s="682"/>
      <c r="AB89" s="405"/>
    </row>
    <row r="90" spans="1:28" ht="15.75" thickBot="1">
      <c r="A90" s="364"/>
      <c r="B90" s="364"/>
      <c r="C90" s="461"/>
      <c r="D90" s="471"/>
      <c r="E90" s="594"/>
      <c r="F90" s="472"/>
      <c r="G90" s="472"/>
      <c r="H90" s="473"/>
      <c r="I90" s="474"/>
      <c r="J90" s="472"/>
      <c r="K90" s="472"/>
      <c r="L90" s="472"/>
      <c r="M90" s="472"/>
      <c r="N90" s="472"/>
      <c r="O90" s="472"/>
      <c r="P90" s="472"/>
      <c r="Q90" s="473"/>
      <c r="R90" s="473"/>
      <c r="S90" s="472"/>
      <c r="T90" s="472"/>
      <c r="U90" s="472"/>
      <c r="V90" s="472"/>
      <c r="W90" s="472"/>
      <c r="X90" s="472"/>
      <c r="Y90" s="472"/>
      <c r="Z90" s="472"/>
      <c r="AA90" s="472"/>
      <c r="AB90" s="475"/>
    </row>
    <row r="91" spans="1:28" ht="15.75" thickBot="1">
      <c r="A91" s="341"/>
      <c r="B91" s="341"/>
      <c r="C91" s="427"/>
      <c r="D91" s="427"/>
      <c r="E91" s="595"/>
      <c r="F91" s="414"/>
      <c r="G91" s="414"/>
      <c r="H91" s="414"/>
      <c r="I91" s="413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</row>
    <row r="92" spans="1:28" ht="60">
      <c r="A92" s="891" t="s">
        <v>495</v>
      </c>
      <c r="B92" s="891" t="s">
        <v>496</v>
      </c>
      <c r="C92" s="847" t="s">
        <v>497</v>
      </c>
      <c r="D92" s="891"/>
      <c r="E92" s="631" t="s">
        <v>305</v>
      </c>
      <c r="F92" s="476">
        <v>125</v>
      </c>
      <c r="G92" s="476">
        <v>1250</v>
      </c>
      <c r="H92" s="476">
        <v>1375</v>
      </c>
      <c r="I92" s="374">
        <f>SUM(J92+K92+L92+M92+N92+O92+Q92+R92+S92+T92+U92+V92+Z92)</f>
        <v>28400</v>
      </c>
      <c r="J92" s="477"/>
      <c r="K92" s="477"/>
      <c r="L92" s="477"/>
      <c r="M92" s="477"/>
      <c r="N92" s="477"/>
      <c r="O92" s="477"/>
      <c r="P92" s="446"/>
      <c r="Q92" s="447">
        <f>28400000/1000</f>
        <v>28400</v>
      </c>
      <c r="R92" s="478"/>
      <c r="S92" s="477"/>
      <c r="T92" s="477"/>
      <c r="U92" s="477"/>
      <c r="V92" s="477"/>
      <c r="W92" s="477"/>
      <c r="X92" s="477"/>
      <c r="Y92" s="477"/>
      <c r="Z92" s="477"/>
      <c r="AA92" s="477"/>
      <c r="AB92" s="479" t="s">
        <v>498</v>
      </c>
    </row>
    <row r="93" spans="1:28" ht="135">
      <c r="A93" s="892"/>
      <c r="B93" s="892"/>
      <c r="C93" s="839"/>
      <c r="D93" s="892"/>
      <c r="E93" s="632" t="s">
        <v>308</v>
      </c>
      <c r="F93" s="480">
        <v>280</v>
      </c>
      <c r="G93" s="480">
        <v>500</v>
      </c>
      <c r="H93" s="480">
        <v>780</v>
      </c>
      <c r="I93" s="374">
        <f>SUM(J93+K93+L93+M93+N93+O93+Q93+R93+S93+T93+U93+V93+Z93)</f>
        <v>10000</v>
      </c>
      <c r="J93" s="446"/>
      <c r="K93" s="446"/>
      <c r="L93" s="446"/>
      <c r="M93" s="446"/>
      <c r="N93" s="446"/>
      <c r="O93" s="446"/>
      <c r="P93" s="446"/>
      <c r="Q93" s="447">
        <v>10000</v>
      </c>
      <c r="R93" s="392"/>
      <c r="S93" s="446"/>
      <c r="T93" s="446"/>
      <c r="U93" s="446"/>
      <c r="V93" s="446"/>
      <c r="W93" s="446"/>
      <c r="X93" s="446"/>
      <c r="Y93" s="446"/>
      <c r="Z93" s="446"/>
      <c r="AA93" s="446"/>
      <c r="AB93" s="448" t="s">
        <v>498</v>
      </c>
    </row>
    <row r="94" spans="1:28" ht="45">
      <c r="A94" s="892"/>
      <c r="B94" s="892"/>
      <c r="C94" s="839"/>
      <c r="D94" s="892"/>
      <c r="E94" s="633" t="s">
        <v>311</v>
      </c>
      <c r="F94" s="481">
        <v>40</v>
      </c>
      <c r="G94" s="481">
        <v>320</v>
      </c>
      <c r="H94" s="481">
        <v>360</v>
      </c>
      <c r="I94" s="374">
        <f>SUM(J94+L94+M94+N94+O94+Q94+R94+S94+T94+U94+V94+Z94)</f>
        <v>10000</v>
      </c>
      <c r="J94" s="446"/>
      <c r="K94" s="446"/>
      <c r="L94" s="446"/>
      <c r="M94" s="446"/>
      <c r="N94" s="446"/>
      <c r="O94" s="446"/>
      <c r="P94" s="446"/>
      <c r="Q94" s="447">
        <v>10000</v>
      </c>
      <c r="R94" s="392"/>
      <c r="S94" s="446"/>
      <c r="T94" s="446"/>
      <c r="U94" s="446"/>
      <c r="V94" s="446"/>
      <c r="W94" s="446"/>
      <c r="X94" s="446"/>
      <c r="Y94" s="446"/>
      <c r="Z94" s="446"/>
      <c r="AA94" s="446"/>
      <c r="AB94" s="448" t="s">
        <v>498</v>
      </c>
    </row>
    <row r="95" spans="1:28" ht="135">
      <c r="A95" s="892"/>
      <c r="B95" s="892"/>
      <c r="C95" s="839"/>
      <c r="D95" s="892"/>
      <c r="E95" s="634" t="s">
        <v>314</v>
      </c>
      <c r="F95" s="480">
        <v>80</v>
      </c>
      <c r="G95" s="480">
        <v>80</v>
      </c>
      <c r="H95" s="480">
        <v>160</v>
      </c>
      <c r="I95" s="374">
        <f>SUM(J95+K95+L95+M95+N95+O95+Q95+R95+S95+T95+U95+V95+Z95)</f>
        <v>16000</v>
      </c>
      <c r="J95" s="446"/>
      <c r="K95" s="446"/>
      <c r="L95" s="446"/>
      <c r="M95" s="446"/>
      <c r="N95" s="446"/>
      <c r="O95" s="446"/>
      <c r="P95" s="446"/>
      <c r="Q95" s="447">
        <v>16000</v>
      </c>
      <c r="R95" s="447"/>
      <c r="S95" s="446"/>
      <c r="T95" s="446"/>
      <c r="U95" s="446"/>
      <c r="V95" s="446"/>
      <c r="W95" s="446"/>
      <c r="X95" s="446"/>
      <c r="Y95" s="446"/>
      <c r="Z95" s="446"/>
      <c r="AA95" s="446"/>
      <c r="AB95" s="448" t="s">
        <v>498</v>
      </c>
    </row>
    <row r="96" spans="1:28" ht="120">
      <c r="A96" s="892"/>
      <c r="B96" s="892"/>
      <c r="C96" s="839"/>
      <c r="D96" s="892"/>
      <c r="E96" s="634" t="s">
        <v>317</v>
      </c>
      <c r="F96" s="482">
        <v>24</v>
      </c>
      <c r="G96" s="482">
        <v>35</v>
      </c>
      <c r="H96" s="482">
        <v>59</v>
      </c>
      <c r="I96" s="374">
        <f>SUM(J96+K96+L96+M96+N96+O96+Q96+R96+S96+T96+U96+V96+Z96)</f>
        <v>10000</v>
      </c>
      <c r="J96" s="418"/>
      <c r="K96" s="418"/>
      <c r="L96" s="418"/>
      <c r="M96" s="418"/>
      <c r="N96" s="418"/>
      <c r="O96" s="418"/>
      <c r="P96" s="418"/>
      <c r="Q96" s="447">
        <v>10000</v>
      </c>
      <c r="R96" s="394"/>
      <c r="S96" s="418"/>
      <c r="T96" s="418"/>
      <c r="U96" s="418"/>
      <c r="V96" s="418"/>
      <c r="W96" s="418"/>
      <c r="X96" s="418"/>
      <c r="Y96" s="418"/>
      <c r="Z96" s="418"/>
      <c r="AA96" s="418"/>
      <c r="AB96" s="377"/>
    </row>
    <row r="97" spans="1:28" ht="45">
      <c r="A97" s="892"/>
      <c r="B97" s="892"/>
      <c r="C97" s="839"/>
      <c r="D97" s="892"/>
      <c r="E97" s="635" t="s">
        <v>320</v>
      </c>
      <c r="F97" s="482">
        <v>20</v>
      </c>
      <c r="G97" s="482">
        <v>20</v>
      </c>
      <c r="H97" s="482">
        <v>40</v>
      </c>
      <c r="I97" s="374">
        <f>SUM(J97+K97+L97+M97+N97+O97+Q97+R97+S97+T97+U97+V97+Z97)</f>
        <v>8000</v>
      </c>
      <c r="J97" s="418"/>
      <c r="K97" s="418"/>
      <c r="L97" s="418"/>
      <c r="M97" s="418"/>
      <c r="N97" s="418"/>
      <c r="O97" s="418"/>
      <c r="P97" s="418"/>
      <c r="Q97" s="447">
        <f>8000000/1000</f>
        <v>8000</v>
      </c>
      <c r="R97" s="394"/>
      <c r="S97" s="418"/>
      <c r="T97" s="418"/>
      <c r="U97" s="418"/>
      <c r="V97" s="418"/>
      <c r="W97" s="418"/>
      <c r="X97" s="418"/>
      <c r="Y97" s="418"/>
      <c r="Z97" s="418"/>
      <c r="AA97" s="418"/>
      <c r="AB97" s="377" t="s">
        <v>498</v>
      </c>
    </row>
    <row r="98" spans="1:28" ht="150.75" thickBot="1">
      <c r="A98" s="892"/>
      <c r="B98" s="892"/>
      <c r="C98" s="839"/>
      <c r="D98" s="911"/>
      <c r="E98" s="632" t="s">
        <v>499</v>
      </c>
      <c r="F98" s="480">
        <v>80</v>
      </c>
      <c r="G98" s="480">
        <v>30</v>
      </c>
      <c r="H98" s="480">
        <v>110</v>
      </c>
      <c r="I98" s="438">
        <f>SUM(J98+K98+L98+M98+N98+O98+Q98+R98+S98+T98+U98+V98+Z98)</f>
        <v>8990</v>
      </c>
      <c r="J98" s="446"/>
      <c r="K98" s="446"/>
      <c r="L98" s="446"/>
      <c r="M98" s="446"/>
      <c r="N98" s="446"/>
      <c r="O98" s="446"/>
      <c r="P98" s="446"/>
      <c r="Q98" s="447">
        <f>8990000/1000</f>
        <v>8990</v>
      </c>
      <c r="R98" s="392"/>
      <c r="S98" s="446"/>
      <c r="T98" s="446"/>
      <c r="U98" s="446"/>
      <c r="V98" s="446"/>
      <c r="W98" s="446"/>
      <c r="X98" s="446"/>
      <c r="Y98" s="446"/>
      <c r="Z98" s="446"/>
      <c r="AA98" s="446"/>
      <c r="AB98" s="448" t="s">
        <v>498</v>
      </c>
    </row>
    <row r="99" spans="1:28" ht="15.75" thickBot="1">
      <c r="A99" s="380"/>
      <c r="B99" s="351"/>
      <c r="C99" s="351"/>
      <c r="D99" s="351"/>
      <c r="E99" s="610"/>
      <c r="F99" s="351"/>
      <c r="G99" s="351"/>
      <c r="H99" s="351"/>
      <c r="I99" s="351">
        <f>SUM(I92:I98)</f>
        <v>91390</v>
      </c>
      <c r="J99" s="351"/>
      <c r="K99" s="351"/>
      <c r="L99" s="351"/>
      <c r="M99" s="351"/>
      <c r="N99" s="351"/>
      <c r="O99" s="351"/>
      <c r="P99" s="351"/>
      <c r="Q99" s="351">
        <f>SUM(Q92:Q98)</f>
        <v>91390</v>
      </c>
      <c r="R99" s="351"/>
      <c r="S99" s="351"/>
      <c r="T99" s="351"/>
      <c r="U99" s="351"/>
      <c r="V99" s="351"/>
      <c r="W99" s="351"/>
      <c r="X99" s="351"/>
      <c r="Y99" s="351"/>
      <c r="Z99" s="351"/>
      <c r="AA99" s="682"/>
      <c r="AB99" s="405"/>
    </row>
    <row r="100" spans="1:28" ht="15">
      <c r="A100" s="364"/>
      <c r="B100" s="364"/>
      <c r="C100" s="461"/>
      <c r="D100" s="483"/>
      <c r="E100" s="596"/>
      <c r="F100" s="472"/>
      <c r="G100" s="472"/>
      <c r="H100" s="472"/>
      <c r="I100" s="474"/>
      <c r="J100" s="472"/>
      <c r="K100" s="472"/>
      <c r="L100" s="472"/>
      <c r="M100" s="472"/>
      <c r="N100" s="472"/>
      <c r="O100" s="472"/>
      <c r="P100" s="472"/>
      <c r="Q100" s="473"/>
      <c r="R100" s="473"/>
      <c r="S100" s="472"/>
      <c r="T100" s="472"/>
      <c r="U100" s="472"/>
      <c r="V100" s="472"/>
      <c r="W100" s="472"/>
      <c r="X100" s="472"/>
      <c r="Y100" s="472"/>
      <c r="Z100" s="472"/>
      <c r="AA100" s="472"/>
      <c r="AB100" s="475"/>
    </row>
    <row r="101" spans="1:28" ht="15.75" thickBot="1">
      <c r="A101" s="364"/>
      <c r="B101" s="364"/>
      <c r="C101" s="461"/>
      <c r="D101" s="483"/>
      <c r="E101" s="596"/>
      <c r="F101" s="472"/>
      <c r="G101" s="472"/>
      <c r="H101" s="472"/>
      <c r="I101" s="474"/>
      <c r="J101" s="472"/>
      <c r="K101" s="472"/>
      <c r="L101" s="472"/>
      <c r="M101" s="472"/>
      <c r="N101" s="472"/>
      <c r="O101" s="472"/>
      <c r="P101" s="472"/>
      <c r="Q101" s="473"/>
      <c r="R101" s="473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5"/>
    </row>
    <row r="102" spans="1:28" ht="90">
      <c r="A102" s="869"/>
      <c r="B102" s="869"/>
      <c r="C102" s="847" t="s">
        <v>500</v>
      </c>
      <c r="D102" s="869"/>
      <c r="E102" s="597" t="s">
        <v>610</v>
      </c>
      <c r="F102" s="484"/>
      <c r="G102" s="484"/>
      <c r="H102" s="484"/>
      <c r="I102" s="485">
        <f>SUM(J102+K102+L102+M102+N102+O102+Q102+R102+S102+T102+U102+V102+Z102)</f>
        <v>45000</v>
      </c>
      <c r="J102" s="484"/>
      <c r="K102" s="484"/>
      <c r="L102" s="484"/>
      <c r="M102" s="484"/>
      <c r="N102" s="484"/>
      <c r="O102" s="484"/>
      <c r="P102" s="424"/>
      <c r="Q102" s="486">
        <f>45000000/1000</f>
        <v>45000</v>
      </c>
      <c r="R102" s="487"/>
      <c r="S102" s="487"/>
      <c r="T102" s="487"/>
      <c r="U102" s="487"/>
      <c r="V102" s="484"/>
      <c r="W102" s="484"/>
      <c r="X102" s="484"/>
      <c r="Y102" s="484"/>
      <c r="Z102" s="484"/>
      <c r="AA102" s="424"/>
      <c r="AB102" s="488" t="s">
        <v>493</v>
      </c>
    </row>
    <row r="103" spans="1:28" ht="90">
      <c r="A103" s="870"/>
      <c r="B103" s="870"/>
      <c r="C103" s="839"/>
      <c r="D103" s="870"/>
      <c r="E103" s="634" t="s">
        <v>611</v>
      </c>
      <c r="F103" s="447">
        <v>4000</v>
      </c>
      <c r="G103" s="447">
        <v>0</v>
      </c>
      <c r="H103" s="447">
        <v>4000</v>
      </c>
      <c r="I103" s="374">
        <f>SUM(J103+K103+L103+M103+N103+O103+Q103+R103+S103+T103+U103+V103+Z103)</f>
        <v>45000</v>
      </c>
      <c r="J103" s="418"/>
      <c r="K103" s="418"/>
      <c r="L103" s="418"/>
      <c r="M103" s="418"/>
      <c r="N103" s="418"/>
      <c r="O103" s="418"/>
      <c r="P103" s="418"/>
      <c r="Q103" s="486">
        <f>45000000/1000</f>
        <v>45000</v>
      </c>
      <c r="R103" s="447"/>
      <c r="S103" s="469"/>
      <c r="T103" s="469"/>
      <c r="U103" s="469"/>
      <c r="V103" s="447"/>
      <c r="W103" s="447"/>
      <c r="X103" s="447"/>
      <c r="Y103" s="447"/>
      <c r="Z103" s="418"/>
      <c r="AA103" s="418"/>
      <c r="AB103" s="377" t="s">
        <v>493</v>
      </c>
    </row>
    <row r="104" spans="1:28" ht="105.75" thickBot="1">
      <c r="A104" s="871"/>
      <c r="B104" s="871"/>
      <c r="C104" s="895"/>
      <c r="D104" s="871"/>
      <c r="E104" s="634" t="s">
        <v>353</v>
      </c>
      <c r="F104" s="447">
        <v>10</v>
      </c>
      <c r="G104" s="447">
        <v>45</v>
      </c>
      <c r="H104" s="447">
        <v>55</v>
      </c>
      <c r="I104" s="374">
        <f>SUM(J104+K104+L104+M104+N104+O104+Q104+R104+S104+T104+U104+V104+Z104)</f>
        <v>15300</v>
      </c>
      <c r="J104" s="418"/>
      <c r="K104" s="418"/>
      <c r="L104" s="418"/>
      <c r="M104" s="418"/>
      <c r="N104" s="418"/>
      <c r="O104" s="418"/>
      <c r="P104" s="418"/>
      <c r="Q104" s="447">
        <f>15300000/1000</f>
        <v>15300</v>
      </c>
      <c r="R104" s="447"/>
      <c r="S104" s="469"/>
      <c r="T104" s="469"/>
      <c r="U104" s="469"/>
      <c r="V104" s="418"/>
      <c r="W104" s="418"/>
      <c r="X104" s="418"/>
      <c r="Y104" s="418"/>
      <c r="Z104" s="418"/>
      <c r="AA104" s="418"/>
      <c r="AB104" s="377" t="s">
        <v>493</v>
      </c>
    </row>
    <row r="105" spans="1:28" ht="15.75" thickBot="1">
      <c r="A105" s="380"/>
      <c r="B105" s="351"/>
      <c r="C105" s="351"/>
      <c r="D105" s="351"/>
      <c r="E105" s="610"/>
      <c r="F105" s="351"/>
      <c r="G105" s="351"/>
      <c r="H105" s="351"/>
      <c r="I105" s="351">
        <f>SUM(I102:I104)</f>
        <v>105300</v>
      </c>
      <c r="J105" s="351"/>
      <c r="K105" s="351"/>
      <c r="L105" s="351"/>
      <c r="M105" s="351"/>
      <c r="N105" s="351"/>
      <c r="O105" s="351"/>
      <c r="P105" s="351"/>
      <c r="Q105" s="351">
        <f>SUM(Q102:Q104)</f>
        <v>105300</v>
      </c>
      <c r="R105" s="351"/>
      <c r="S105" s="351"/>
      <c r="T105" s="351"/>
      <c r="U105" s="351"/>
      <c r="V105" s="351"/>
      <c r="W105" s="351"/>
      <c r="X105" s="351"/>
      <c r="Y105" s="351"/>
      <c r="Z105" s="351"/>
      <c r="AA105" s="682"/>
      <c r="AB105" s="405"/>
    </row>
    <row r="106" spans="1:28" ht="15.75" thickBot="1">
      <c r="A106" s="358"/>
      <c r="B106" s="358"/>
      <c r="C106" s="384"/>
      <c r="D106" s="489"/>
      <c r="E106" s="589"/>
      <c r="F106" s="410"/>
      <c r="G106" s="410"/>
      <c r="H106" s="410"/>
      <c r="I106" s="409"/>
      <c r="J106" s="490"/>
      <c r="K106" s="490"/>
      <c r="L106" s="490"/>
      <c r="M106" s="490"/>
      <c r="N106" s="490"/>
      <c r="O106" s="490"/>
      <c r="P106" s="490"/>
      <c r="Q106" s="410"/>
      <c r="R106" s="410"/>
      <c r="S106" s="490"/>
      <c r="T106" s="490"/>
      <c r="U106" s="490"/>
      <c r="V106" s="490"/>
      <c r="W106" s="490"/>
      <c r="X106" s="490"/>
      <c r="Y106" s="490"/>
      <c r="Z106" s="490"/>
      <c r="AA106" s="490"/>
      <c r="AB106" s="491"/>
    </row>
    <row r="107" spans="1:28" ht="15.75" thickBot="1">
      <c r="A107" s="427"/>
      <c r="B107" s="492"/>
      <c r="C107" s="427"/>
      <c r="D107" s="427"/>
      <c r="E107" s="595"/>
      <c r="F107" s="414"/>
      <c r="G107" s="414"/>
      <c r="H107" s="414"/>
      <c r="I107" s="493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</row>
    <row r="108" spans="1:28" ht="90">
      <c r="A108" s="891" t="s">
        <v>501</v>
      </c>
      <c r="B108" s="893" t="s">
        <v>502</v>
      </c>
      <c r="C108" s="847" t="s">
        <v>503</v>
      </c>
      <c r="D108" s="891"/>
      <c r="E108" s="636" t="s">
        <v>358</v>
      </c>
      <c r="F108" s="469"/>
      <c r="G108" s="469"/>
      <c r="H108" s="469">
        <f>SUM(F108:G108)</f>
        <v>0</v>
      </c>
      <c r="I108" s="374">
        <f>SUM(J108+K108+L108+M108+N108+O108+Q108+R108+S108+T108+U108+V108+Z108)</f>
        <v>5003</v>
      </c>
      <c r="J108" s="477"/>
      <c r="K108" s="477"/>
      <c r="L108" s="477"/>
      <c r="M108" s="477"/>
      <c r="N108" s="477"/>
      <c r="O108" s="477"/>
      <c r="P108" s="446"/>
      <c r="Q108" s="447">
        <f>5000000/1000</f>
        <v>5000</v>
      </c>
      <c r="R108" s="494"/>
      <c r="S108" s="494"/>
      <c r="T108" s="494"/>
      <c r="U108" s="494"/>
      <c r="V108" s="494"/>
      <c r="W108" s="494"/>
      <c r="X108" s="494"/>
      <c r="Y108" s="494"/>
      <c r="Z108" s="494">
        <v>3</v>
      </c>
      <c r="AA108" s="494"/>
      <c r="AB108" s="479" t="s">
        <v>504</v>
      </c>
    </row>
    <row r="109" spans="1:28" ht="60">
      <c r="A109" s="892"/>
      <c r="B109" s="850"/>
      <c r="C109" s="839"/>
      <c r="D109" s="892"/>
      <c r="E109" s="636" t="s">
        <v>361</v>
      </c>
      <c r="F109" s="469"/>
      <c r="G109" s="469"/>
      <c r="H109" s="469"/>
      <c r="I109" s="374">
        <f>SUM(J109+K109+L109+M109+N109+O109+Q109+R109+S109+T109+U109+V109+Z109)</f>
        <v>5000</v>
      </c>
      <c r="J109" s="418"/>
      <c r="K109" s="418"/>
      <c r="L109" s="418"/>
      <c r="M109" s="418"/>
      <c r="N109" s="418"/>
      <c r="O109" s="418"/>
      <c r="P109" s="418"/>
      <c r="Q109" s="447">
        <f>5000000/1000</f>
        <v>5000</v>
      </c>
      <c r="R109" s="469"/>
      <c r="S109" s="469"/>
      <c r="T109" s="469"/>
      <c r="U109" s="469"/>
      <c r="V109" s="469"/>
      <c r="W109" s="469"/>
      <c r="X109" s="469"/>
      <c r="Y109" s="469"/>
      <c r="Z109" s="469"/>
      <c r="AA109" s="469"/>
      <c r="AB109" s="377" t="s">
        <v>504</v>
      </c>
    </row>
    <row r="110" spans="1:28" ht="60">
      <c r="A110" s="892"/>
      <c r="B110" s="850"/>
      <c r="C110" s="839"/>
      <c r="D110" s="892"/>
      <c r="E110" s="636" t="s">
        <v>364</v>
      </c>
      <c r="F110" s="469"/>
      <c r="G110" s="469"/>
      <c r="H110" s="469"/>
      <c r="I110" s="374">
        <f>SUM(J110+K110+L110+M110+N110+O110+Q110+R110+S110+T110+U110+V110+Z110)</f>
        <v>8002</v>
      </c>
      <c r="J110" s="418"/>
      <c r="K110" s="418"/>
      <c r="L110" s="418"/>
      <c r="M110" s="418"/>
      <c r="N110" s="418"/>
      <c r="O110" s="394"/>
      <c r="P110" s="394"/>
      <c r="Q110" s="447">
        <v>8000</v>
      </c>
      <c r="R110" s="469"/>
      <c r="S110" s="469"/>
      <c r="T110" s="469"/>
      <c r="U110" s="469"/>
      <c r="V110" s="469"/>
      <c r="W110" s="469"/>
      <c r="X110" s="469"/>
      <c r="Y110" s="469"/>
      <c r="Z110" s="469">
        <v>2</v>
      </c>
      <c r="AA110" s="469"/>
      <c r="AB110" s="377" t="s">
        <v>504</v>
      </c>
    </row>
    <row r="111" spans="1:28" ht="135">
      <c r="A111" s="892"/>
      <c r="B111" s="850"/>
      <c r="C111" s="899"/>
      <c r="D111" s="910"/>
      <c r="E111" s="636" t="s">
        <v>367</v>
      </c>
      <c r="F111" s="495"/>
      <c r="G111" s="495"/>
      <c r="H111" s="495"/>
      <c r="I111" s="374">
        <f>SUM(J111+K111+L111+M111+N111+O111+Q111+R111+S111+T111+U111+V111+Z111)</f>
        <v>5001</v>
      </c>
      <c r="J111" s="418"/>
      <c r="K111" s="418"/>
      <c r="L111" s="418"/>
      <c r="M111" s="418"/>
      <c r="N111" s="418"/>
      <c r="O111" s="394"/>
      <c r="P111" s="394"/>
      <c r="Q111" s="447">
        <f>5000000/1000</f>
        <v>5000</v>
      </c>
      <c r="R111" s="447"/>
      <c r="S111" s="469"/>
      <c r="T111" s="469"/>
      <c r="U111" s="469"/>
      <c r="V111" s="469">
        <v>1</v>
      </c>
      <c r="W111" s="469"/>
      <c r="X111" s="469"/>
      <c r="Y111" s="469"/>
      <c r="Z111" s="469"/>
      <c r="AA111" s="469"/>
      <c r="AB111" s="377" t="s">
        <v>504</v>
      </c>
    </row>
    <row r="112" spans="1:28" ht="135.75" thickBot="1">
      <c r="A112" s="892"/>
      <c r="B112" s="850"/>
      <c r="C112" s="399" t="s">
        <v>505</v>
      </c>
      <c r="D112" s="496"/>
      <c r="E112" s="634" t="s">
        <v>370</v>
      </c>
      <c r="F112" s="449">
        <v>0.3</v>
      </c>
      <c r="G112" s="449">
        <v>0.4</v>
      </c>
      <c r="H112" s="449">
        <v>0.7</v>
      </c>
      <c r="I112" s="374">
        <f>SUM(J112+K112+L112+M112+N112+O112+Q112+R112+S112+T112+U112+V112+Z112)</f>
        <v>4001</v>
      </c>
      <c r="J112" s="418"/>
      <c r="K112" s="418"/>
      <c r="L112" s="418"/>
      <c r="M112" s="418"/>
      <c r="N112" s="418"/>
      <c r="O112" s="394"/>
      <c r="P112" s="394"/>
      <c r="Q112" s="447">
        <f>4000000/1000</f>
        <v>4000</v>
      </c>
      <c r="R112" s="447"/>
      <c r="S112" s="469"/>
      <c r="T112" s="469"/>
      <c r="U112" s="469"/>
      <c r="V112" s="469">
        <v>1</v>
      </c>
      <c r="W112" s="469"/>
      <c r="X112" s="469"/>
      <c r="Y112" s="469"/>
      <c r="Z112" s="469"/>
      <c r="AA112" s="469"/>
      <c r="AB112" s="377" t="s">
        <v>504</v>
      </c>
    </row>
    <row r="113" spans="1:28" ht="15.75" thickBot="1">
      <c r="A113" s="380"/>
      <c r="B113" s="351"/>
      <c r="C113" s="351"/>
      <c r="D113" s="351"/>
      <c r="E113" s="610"/>
      <c r="F113" s="351"/>
      <c r="G113" s="351"/>
      <c r="H113" s="351"/>
      <c r="I113" s="351">
        <f>SUM(I108:I112)</f>
        <v>27007</v>
      </c>
      <c r="J113" s="351"/>
      <c r="K113" s="351"/>
      <c r="L113" s="351"/>
      <c r="M113" s="351"/>
      <c r="N113" s="351"/>
      <c r="O113" s="351"/>
      <c r="P113" s="351"/>
      <c r="Q113" s="351">
        <f>SUM(Q108:Q112)</f>
        <v>27000</v>
      </c>
      <c r="R113" s="351"/>
      <c r="S113" s="351"/>
      <c r="T113" s="351"/>
      <c r="U113" s="351"/>
      <c r="V113" s="351">
        <f>SUM(V108:V112)</f>
        <v>2</v>
      </c>
      <c r="W113" s="351"/>
      <c r="X113" s="351"/>
      <c r="Y113" s="351"/>
      <c r="Z113" s="351">
        <f>SUM(Z108:Z112)</f>
        <v>5</v>
      </c>
      <c r="AA113" s="682"/>
      <c r="AB113" s="405"/>
    </row>
    <row r="114" spans="1:28" ht="15.75" thickBot="1">
      <c r="A114" s="359"/>
      <c r="B114" s="358"/>
      <c r="C114" s="384"/>
      <c r="D114" s="359"/>
      <c r="E114" s="589"/>
      <c r="F114" s="408"/>
      <c r="G114" s="490"/>
      <c r="H114" s="408"/>
      <c r="I114" s="409"/>
      <c r="J114" s="490"/>
      <c r="K114" s="490"/>
      <c r="L114" s="490"/>
      <c r="M114" s="490"/>
      <c r="N114" s="490"/>
      <c r="O114" s="410"/>
      <c r="P114" s="410"/>
      <c r="Q114" s="410"/>
      <c r="R114" s="410"/>
      <c r="S114" s="490"/>
      <c r="T114" s="490"/>
      <c r="U114" s="490"/>
      <c r="V114" s="490"/>
      <c r="W114" s="490"/>
      <c r="X114" s="490"/>
      <c r="Y114" s="490"/>
      <c r="Z114" s="490"/>
      <c r="AA114" s="490"/>
      <c r="AB114" s="491"/>
    </row>
    <row r="115" spans="1:28" ht="15.75" thickBot="1">
      <c r="A115" s="340"/>
      <c r="B115" s="339"/>
      <c r="C115" s="427"/>
      <c r="D115" s="427"/>
      <c r="E115" s="595"/>
      <c r="F115" s="414"/>
      <c r="G115" s="414"/>
      <c r="H115" s="414"/>
      <c r="I115" s="493"/>
      <c r="J115" s="414"/>
      <c r="K115" s="414"/>
      <c r="L115" s="414"/>
      <c r="M115" s="414"/>
      <c r="N115" s="414"/>
      <c r="O115" s="413"/>
      <c r="P115" s="413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</row>
    <row r="116" spans="1:28" ht="75">
      <c r="A116" s="891" t="s">
        <v>506</v>
      </c>
      <c r="B116" s="893" t="s">
        <v>507</v>
      </c>
      <c r="C116" s="847" t="s">
        <v>508</v>
      </c>
      <c r="D116" s="848"/>
      <c r="E116" s="637" t="s">
        <v>509</v>
      </c>
      <c r="F116" s="469">
        <v>2</v>
      </c>
      <c r="G116" s="469">
        <v>4</v>
      </c>
      <c r="H116" s="469">
        <f>SUM(F116:G116)</f>
        <v>6</v>
      </c>
      <c r="I116" s="498">
        <f aca="true" t="shared" si="4" ref="I116:I121">SUM(J116:Z116)</f>
        <v>5000</v>
      </c>
      <c r="J116" s="477"/>
      <c r="L116" s="477"/>
      <c r="M116" s="477"/>
      <c r="N116" s="477"/>
      <c r="O116" s="478"/>
      <c r="P116" s="478"/>
      <c r="Q116" s="499">
        <v>5000</v>
      </c>
      <c r="R116" s="500"/>
      <c r="S116" s="494"/>
      <c r="T116" s="494"/>
      <c r="U116" s="494"/>
      <c r="V116" s="494"/>
      <c r="W116" s="494"/>
      <c r="X116" s="494"/>
      <c r="Y116" s="494"/>
      <c r="Z116" s="494"/>
      <c r="AA116" s="494"/>
      <c r="AB116" s="479" t="s">
        <v>493</v>
      </c>
    </row>
    <row r="117" spans="1:28" ht="75">
      <c r="A117" s="892"/>
      <c r="B117" s="850"/>
      <c r="C117" s="839"/>
      <c r="D117" s="849"/>
      <c r="E117" s="637" t="s">
        <v>510</v>
      </c>
      <c r="F117" s="420">
        <v>2</v>
      </c>
      <c r="G117" s="420">
        <v>2</v>
      </c>
      <c r="H117" s="420">
        <f>SUM(F117:G117)</f>
        <v>4</v>
      </c>
      <c r="I117" s="374">
        <f t="shared" si="4"/>
        <v>1000</v>
      </c>
      <c r="J117" s="418"/>
      <c r="K117" s="288"/>
      <c r="L117" s="418"/>
      <c r="M117" s="418"/>
      <c r="N117" s="418"/>
      <c r="O117" s="394"/>
      <c r="P117" s="394"/>
      <c r="Q117" s="495">
        <v>1000</v>
      </c>
      <c r="R117" s="447"/>
      <c r="S117" s="469"/>
      <c r="T117" s="469"/>
      <c r="U117" s="469"/>
      <c r="V117" s="469"/>
      <c r="W117" s="469"/>
      <c r="X117" s="469"/>
      <c r="Y117" s="469"/>
      <c r="Z117" s="469"/>
      <c r="AA117" s="469"/>
      <c r="AB117" s="377" t="s">
        <v>493</v>
      </c>
    </row>
    <row r="118" spans="1:28" ht="30">
      <c r="A118" s="892"/>
      <c r="B118" s="850"/>
      <c r="C118" s="839"/>
      <c r="D118" s="849"/>
      <c r="E118" s="638" t="s">
        <v>511</v>
      </c>
      <c r="F118" s="420">
        <v>5</v>
      </c>
      <c r="G118" s="420">
        <v>5</v>
      </c>
      <c r="H118" s="420">
        <v>10</v>
      </c>
      <c r="I118" s="374">
        <f t="shared" si="4"/>
        <v>1500</v>
      </c>
      <c r="J118" s="418"/>
      <c r="K118" s="288"/>
      <c r="L118" s="418"/>
      <c r="M118" s="418"/>
      <c r="N118" s="418"/>
      <c r="O118" s="394"/>
      <c r="P118" s="394"/>
      <c r="Q118" s="495">
        <v>1500</v>
      </c>
      <c r="R118" s="447"/>
      <c r="S118" s="469"/>
      <c r="T118" s="469"/>
      <c r="U118" s="469"/>
      <c r="V118" s="469"/>
      <c r="W118" s="469"/>
      <c r="X118" s="469"/>
      <c r="Y118" s="469"/>
      <c r="Z118" s="469"/>
      <c r="AA118" s="469"/>
      <c r="AB118" s="377"/>
    </row>
    <row r="119" spans="1:28" ht="38.25">
      <c r="A119" s="892"/>
      <c r="B119" s="850"/>
      <c r="C119" s="839"/>
      <c r="D119" s="849"/>
      <c r="E119" s="638" t="s">
        <v>512</v>
      </c>
      <c r="F119" s="420">
        <v>1</v>
      </c>
      <c r="G119" s="420">
        <v>0</v>
      </c>
      <c r="H119" s="420">
        <v>1</v>
      </c>
      <c r="I119" s="374">
        <f t="shared" si="4"/>
        <v>1000</v>
      </c>
      <c r="J119" s="418"/>
      <c r="K119" s="288"/>
      <c r="L119" s="418"/>
      <c r="M119" s="418"/>
      <c r="N119" s="418"/>
      <c r="O119" s="394"/>
      <c r="P119" s="394"/>
      <c r="Q119" s="495">
        <v>1000</v>
      </c>
      <c r="R119" s="447"/>
      <c r="S119" s="469"/>
      <c r="T119" s="469"/>
      <c r="U119" s="469"/>
      <c r="V119" s="469"/>
      <c r="W119" s="469"/>
      <c r="X119" s="469"/>
      <c r="Y119" s="469"/>
      <c r="Z119" s="469"/>
      <c r="AA119" s="469"/>
      <c r="AB119" s="377" t="s">
        <v>493</v>
      </c>
    </row>
    <row r="120" spans="1:28" ht="60">
      <c r="A120" s="892"/>
      <c r="B120" s="850"/>
      <c r="C120" s="839"/>
      <c r="D120" s="849"/>
      <c r="E120" s="639" t="s">
        <v>513</v>
      </c>
      <c r="F120" s="469">
        <v>3</v>
      </c>
      <c r="G120" s="469">
        <v>3</v>
      </c>
      <c r="H120" s="469">
        <f>SUM(F120:G120)</f>
        <v>6</v>
      </c>
      <c r="I120" s="374">
        <f t="shared" si="4"/>
        <v>67457</v>
      </c>
      <c r="J120" s="418"/>
      <c r="K120" s="418"/>
      <c r="L120" s="418"/>
      <c r="M120" s="418"/>
      <c r="N120" s="418"/>
      <c r="O120" s="394"/>
      <c r="P120" s="394"/>
      <c r="Q120" s="447"/>
      <c r="R120" s="447">
        <v>67457</v>
      </c>
      <c r="S120" s="469"/>
      <c r="T120" s="469"/>
      <c r="U120" s="469"/>
      <c r="V120" s="469"/>
      <c r="W120" s="469"/>
      <c r="X120" s="469"/>
      <c r="Y120" s="469"/>
      <c r="Z120" s="469"/>
      <c r="AA120" s="469"/>
      <c r="AB120" s="377" t="s">
        <v>493</v>
      </c>
    </row>
    <row r="121" spans="1:28" ht="60">
      <c r="A121" s="892"/>
      <c r="B121" s="850"/>
      <c r="C121" s="839"/>
      <c r="D121" s="849"/>
      <c r="E121" s="640" t="s">
        <v>514</v>
      </c>
      <c r="F121" s="501">
        <v>0</v>
      </c>
      <c r="G121" s="501">
        <v>0</v>
      </c>
      <c r="H121" s="501">
        <v>1</v>
      </c>
      <c r="I121" s="485">
        <f t="shared" si="4"/>
        <v>0</v>
      </c>
      <c r="J121" s="502"/>
      <c r="K121" s="502"/>
      <c r="L121" s="502"/>
      <c r="M121" s="502"/>
      <c r="N121" s="502"/>
      <c r="O121" s="396"/>
      <c r="P121" s="396"/>
      <c r="Q121" s="503"/>
      <c r="R121" s="503"/>
      <c r="S121" s="501"/>
      <c r="T121" s="501"/>
      <c r="U121" s="501"/>
      <c r="V121" s="501">
        <v>0</v>
      </c>
      <c r="W121" s="501"/>
      <c r="X121" s="501"/>
      <c r="Y121" s="501"/>
      <c r="Z121" s="501"/>
      <c r="AA121" s="501"/>
      <c r="AB121" s="488" t="s">
        <v>493</v>
      </c>
    </row>
    <row r="122" spans="1:28" ht="30.75" thickBot="1">
      <c r="A122" s="504"/>
      <c r="B122" s="505"/>
      <c r="C122" s="506"/>
      <c r="D122" s="507"/>
      <c r="E122" s="641" t="s">
        <v>515</v>
      </c>
      <c r="F122" s="508"/>
      <c r="G122" s="508"/>
      <c r="H122" s="508"/>
      <c r="I122" s="509">
        <f>Z122</f>
        <v>5000</v>
      </c>
      <c r="J122" s="510"/>
      <c r="K122" s="510"/>
      <c r="L122" s="510"/>
      <c r="M122" s="510"/>
      <c r="N122" s="510"/>
      <c r="O122" s="511"/>
      <c r="P122" s="511"/>
      <c r="Q122" s="512"/>
      <c r="R122" s="512"/>
      <c r="S122" s="508"/>
      <c r="T122" s="508"/>
      <c r="U122" s="508"/>
      <c r="V122" s="508"/>
      <c r="W122" s="508"/>
      <c r="X122" s="508"/>
      <c r="Y122" s="508"/>
      <c r="Z122" s="513">
        <v>5000</v>
      </c>
      <c r="AA122" s="513"/>
      <c r="AB122" s="458"/>
    </row>
    <row r="123" spans="1:28" ht="15.75" thickBot="1">
      <c r="A123" s="425"/>
      <c r="B123" s="381"/>
      <c r="C123" s="381"/>
      <c r="D123" s="381"/>
      <c r="E123" s="602"/>
      <c r="F123" s="381"/>
      <c r="G123" s="381"/>
      <c r="H123" s="381"/>
      <c r="I123" s="381">
        <f>I116+I117+I118+I119+I120+I121+I122</f>
        <v>80957</v>
      </c>
      <c r="J123" s="381"/>
      <c r="K123" s="381"/>
      <c r="L123" s="381"/>
      <c r="M123" s="381"/>
      <c r="N123" s="381"/>
      <c r="O123" s="381"/>
      <c r="P123" s="381"/>
      <c r="Q123" s="381">
        <f>SUM(Q116:Q122)</f>
        <v>8500</v>
      </c>
      <c r="R123" s="381">
        <f>R120</f>
        <v>67457</v>
      </c>
      <c r="S123" s="381"/>
      <c r="T123" s="381"/>
      <c r="U123" s="381"/>
      <c r="V123" s="381">
        <f>SUM(V116:V122)</f>
        <v>0</v>
      </c>
      <c r="W123" s="381"/>
      <c r="X123" s="381"/>
      <c r="Y123" s="381"/>
      <c r="Z123" s="381">
        <f>Z122</f>
        <v>5000</v>
      </c>
      <c r="AA123" s="680"/>
      <c r="AB123" s="382"/>
    </row>
    <row r="124" spans="1:28" ht="15.75" thickBot="1">
      <c r="A124" s="359"/>
      <c r="B124" s="358"/>
      <c r="C124" s="384"/>
      <c r="D124" s="489"/>
      <c r="E124" s="589"/>
      <c r="F124" s="408"/>
      <c r="G124" s="490"/>
      <c r="H124" s="408"/>
      <c r="I124" s="409"/>
      <c r="J124" s="490"/>
      <c r="K124" s="490"/>
      <c r="L124" s="490"/>
      <c r="M124" s="490"/>
      <c r="N124" s="490"/>
      <c r="O124" s="410"/>
      <c r="P124" s="410"/>
      <c r="Q124" s="410"/>
      <c r="R124" s="410"/>
      <c r="S124" s="490"/>
      <c r="T124" s="490"/>
      <c r="U124" s="490"/>
      <c r="V124" s="490"/>
      <c r="W124" s="490"/>
      <c r="X124" s="490"/>
      <c r="Y124" s="490"/>
      <c r="Z124" s="490"/>
      <c r="AA124" s="490"/>
      <c r="AB124" s="491"/>
    </row>
    <row r="125" spans="1:28" ht="15.75" thickBot="1">
      <c r="A125" s="340"/>
      <c r="B125" s="339"/>
      <c r="C125" s="427"/>
      <c r="D125" s="427"/>
      <c r="E125" s="595"/>
      <c r="F125" s="414"/>
      <c r="G125" s="414"/>
      <c r="H125" s="414"/>
      <c r="I125" s="493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  <c r="AA125" s="414"/>
      <c r="AB125" s="414"/>
    </row>
    <row r="126" spans="1:28" ht="90.75" thickBot="1">
      <c r="A126" s="514" t="s">
        <v>516</v>
      </c>
      <c r="B126" s="515" t="s">
        <v>517</v>
      </c>
      <c r="C126" s="391" t="s">
        <v>518</v>
      </c>
      <c r="D126" s="516"/>
      <c r="E126" s="629" t="s">
        <v>519</v>
      </c>
      <c r="F126" s="494">
        <v>2</v>
      </c>
      <c r="G126" s="494">
        <v>2</v>
      </c>
      <c r="H126" s="494">
        <v>4</v>
      </c>
      <c r="I126" s="517">
        <f>SUM(J126:Z126)</f>
        <v>4000</v>
      </c>
      <c r="J126" s="477"/>
      <c r="K126" s="477"/>
      <c r="L126" s="477"/>
      <c r="M126" s="477"/>
      <c r="N126" s="477"/>
      <c r="O126" s="477"/>
      <c r="P126" s="456"/>
      <c r="Q126" s="513">
        <f>4000000/1000</f>
        <v>4000</v>
      </c>
      <c r="R126" s="478"/>
      <c r="S126" s="477"/>
      <c r="T126" s="477"/>
      <c r="U126" s="477"/>
      <c r="V126" s="477"/>
      <c r="W126" s="477"/>
      <c r="X126" s="477"/>
      <c r="Y126" s="477"/>
      <c r="Z126" s="477"/>
      <c r="AA126" s="477"/>
      <c r="AB126" s="479" t="s">
        <v>520</v>
      </c>
    </row>
    <row r="127" spans="1:28" ht="15.75" thickBot="1">
      <c r="A127" s="380"/>
      <c r="B127" s="351"/>
      <c r="C127" s="351"/>
      <c r="D127" s="351"/>
      <c r="E127" s="610"/>
      <c r="F127" s="351"/>
      <c r="G127" s="351"/>
      <c r="H127" s="351"/>
      <c r="I127" s="351">
        <f>I126</f>
        <v>4000</v>
      </c>
      <c r="J127" s="351"/>
      <c r="K127" s="351"/>
      <c r="L127" s="351"/>
      <c r="M127" s="351"/>
      <c r="N127" s="351"/>
      <c r="O127" s="351"/>
      <c r="P127" s="351"/>
      <c r="Q127" s="351">
        <f>SUM(Q126)</f>
        <v>4000</v>
      </c>
      <c r="R127" s="351"/>
      <c r="S127" s="351"/>
      <c r="T127" s="351"/>
      <c r="U127" s="351"/>
      <c r="V127" s="351"/>
      <c r="W127" s="351"/>
      <c r="X127" s="351"/>
      <c r="Y127" s="351"/>
      <c r="Z127" s="351"/>
      <c r="AA127" s="682"/>
      <c r="AB127" s="405"/>
    </row>
    <row r="128" spans="1:28" ht="15.75" thickBot="1">
      <c r="A128" s="436"/>
      <c r="B128" s="339"/>
      <c r="C128" s="518"/>
      <c r="D128" s="519"/>
      <c r="E128" s="660"/>
      <c r="F128" s="472"/>
      <c r="G128" s="472"/>
      <c r="H128" s="472"/>
      <c r="I128" s="474"/>
      <c r="J128" s="472"/>
      <c r="K128" s="472"/>
      <c r="L128" s="472"/>
      <c r="M128" s="472"/>
      <c r="N128" s="472"/>
      <c r="O128" s="472"/>
      <c r="P128" s="472"/>
      <c r="Q128" s="473"/>
      <c r="R128" s="473"/>
      <c r="S128" s="472"/>
      <c r="T128" s="472"/>
      <c r="U128" s="472"/>
      <c r="V128" s="472"/>
      <c r="W128" s="472"/>
      <c r="X128" s="472"/>
      <c r="Y128" s="472"/>
      <c r="Z128" s="472"/>
      <c r="AA128" s="472"/>
      <c r="AB128" s="475"/>
    </row>
    <row r="129" spans="1:28" ht="26.25">
      <c r="A129" s="572"/>
      <c r="B129" s="567"/>
      <c r="C129" s="568"/>
      <c r="D129" s="650"/>
      <c r="E129" s="651" t="s">
        <v>578</v>
      </c>
      <c r="F129" s="421"/>
      <c r="G129" s="421"/>
      <c r="H129" s="421"/>
      <c r="I129" s="374">
        <f aca="true" t="shared" si="5" ref="I129:I134">SUM(J129:Z129)</f>
        <v>8000</v>
      </c>
      <c r="J129" s="421"/>
      <c r="K129" s="421"/>
      <c r="L129" s="421"/>
      <c r="M129" s="421"/>
      <c r="N129" s="421"/>
      <c r="O129" s="421"/>
      <c r="P129" s="421"/>
      <c r="Q129" s="432">
        <v>8000</v>
      </c>
      <c r="R129" s="713"/>
      <c r="S129" s="707"/>
      <c r="T129" s="707"/>
      <c r="U129" s="707"/>
      <c r="V129" s="707"/>
      <c r="W129" s="707"/>
      <c r="X129" s="707"/>
      <c r="Y129" s="707"/>
      <c r="Z129" s="421"/>
      <c r="AA129" s="421"/>
      <c r="AB129" s="652"/>
    </row>
    <row r="130" spans="1:28" ht="45.75" customHeight="1">
      <c r="A130" s="851" t="s">
        <v>521</v>
      </c>
      <c r="B130" s="915" t="s">
        <v>522</v>
      </c>
      <c r="C130" s="835" t="s">
        <v>584</v>
      </c>
      <c r="D130" s="897"/>
      <c r="E130" s="497" t="s">
        <v>579</v>
      </c>
      <c r="F130" s="421"/>
      <c r="G130" s="421"/>
      <c r="H130" s="421"/>
      <c r="I130" s="374">
        <f t="shared" si="5"/>
        <v>8000</v>
      </c>
      <c r="J130" s="421"/>
      <c r="K130" s="421"/>
      <c r="L130" s="421"/>
      <c r="M130" s="421"/>
      <c r="N130" s="421"/>
      <c r="O130" s="421"/>
      <c r="P130" s="421"/>
      <c r="Q130" s="432">
        <v>8000</v>
      </c>
      <c r="R130" s="713"/>
      <c r="S130" s="707"/>
      <c r="T130" s="707"/>
      <c r="U130" s="707"/>
      <c r="V130" s="707"/>
      <c r="W130" s="707"/>
      <c r="X130" s="707"/>
      <c r="Y130" s="707"/>
      <c r="Z130" s="421"/>
      <c r="AA130" s="421"/>
      <c r="AB130" s="652"/>
    </row>
    <row r="131" spans="1:28" ht="15">
      <c r="A131" s="851"/>
      <c r="B131" s="915"/>
      <c r="C131" s="835"/>
      <c r="D131" s="897"/>
      <c r="E131" s="652" t="s">
        <v>580</v>
      </c>
      <c r="F131" s="421"/>
      <c r="G131" s="421"/>
      <c r="H131" s="421"/>
      <c r="I131" s="374">
        <f t="shared" si="5"/>
        <v>9000</v>
      </c>
      <c r="J131" s="421"/>
      <c r="K131" s="421">
        <v>4000</v>
      </c>
      <c r="L131" s="421"/>
      <c r="M131" s="421"/>
      <c r="N131" s="421"/>
      <c r="O131" s="421"/>
      <c r="P131" s="421"/>
      <c r="Q131" s="432">
        <v>5000</v>
      </c>
      <c r="R131" s="713"/>
      <c r="S131" s="707"/>
      <c r="T131" s="707"/>
      <c r="U131" s="707"/>
      <c r="V131" s="707"/>
      <c r="W131" s="707"/>
      <c r="X131" s="707"/>
      <c r="Y131" s="707"/>
      <c r="Z131" s="421"/>
      <c r="AA131" s="421"/>
      <c r="AB131" s="652"/>
    </row>
    <row r="132" spans="1:28" ht="31.5" customHeight="1">
      <c r="A132" s="851"/>
      <c r="B132" s="915"/>
      <c r="C132" s="835"/>
      <c r="D132" s="897"/>
      <c r="E132" s="652" t="s">
        <v>581</v>
      </c>
      <c r="F132" s="421"/>
      <c r="G132" s="421"/>
      <c r="H132" s="421"/>
      <c r="I132" s="374">
        <f t="shared" si="5"/>
        <v>8000</v>
      </c>
      <c r="J132" s="421"/>
      <c r="K132" s="421"/>
      <c r="L132" s="421"/>
      <c r="M132" s="421"/>
      <c r="N132" s="421"/>
      <c r="O132" s="421"/>
      <c r="P132" s="421"/>
      <c r="Q132" s="432">
        <v>8000</v>
      </c>
      <c r="R132" s="713"/>
      <c r="S132" s="707"/>
      <c r="T132" s="707"/>
      <c r="U132" s="707"/>
      <c r="V132" s="707"/>
      <c r="W132" s="707"/>
      <c r="X132" s="707"/>
      <c r="Y132" s="707"/>
      <c r="Z132" s="421"/>
      <c r="AA132" s="421"/>
      <c r="AB132" s="652"/>
    </row>
    <row r="133" spans="1:28" ht="15">
      <c r="A133" s="851"/>
      <c r="B133" s="915"/>
      <c r="C133" s="835"/>
      <c r="D133" s="897"/>
      <c r="E133" s="652" t="s">
        <v>582</v>
      </c>
      <c r="F133" s="421"/>
      <c r="G133" s="421"/>
      <c r="H133" s="421"/>
      <c r="I133" s="374">
        <f t="shared" si="5"/>
        <v>8000</v>
      </c>
      <c r="J133" s="421"/>
      <c r="K133" s="421"/>
      <c r="L133" s="421"/>
      <c r="M133" s="421"/>
      <c r="N133" s="421"/>
      <c r="O133" s="421"/>
      <c r="P133" s="421"/>
      <c r="Q133" s="432">
        <v>8000</v>
      </c>
      <c r="R133" s="713"/>
      <c r="S133" s="707"/>
      <c r="T133" s="707"/>
      <c r="U133" s="707"/>
      <c r="V133" s="707"/>
      <c r="W133" s="707"/>
      <c r="X133" s="707"/>
      <c r="Y133" s="707"/>
      <c r="Z133" s="421"/>
      <c r="AA133" s="421"/>
      <c r="AB133" s="652"/>
    </row>
    <row r="134" spans="1:28" ht="25.5">
      <c r="A134" s="851"/>
      <c r="B134" s="915"/>
      <c r="C134" s="835"/>
      <c r="D134" s="897"/>
      <c r="E134" s="652" t="s">
        <v>583</v>
      </c>
      <c r="F134" s="421"/>
      <c r="G134" s="421"/>
      <c r="H134" s="421"/>
      <c r="I134" s="374">
        <f t="shared" si="5"/>
        <v>15000</v>
      </c>
      <c r="J134" s="421"/>
      <c r="K134" s="421"/>
      <c r="L134" s="421"/>
      <c r="M134" s="421"/>
      <c r="N134" s="421"/>
      <c r="O134" s="421"/>
      <c r="P134" s="421"/>
      <c r="Q134" s="432">
        <v>15000</v>
      </c>
      <c r="R134" s="713"/>
      <c r="S134" s="707"/>
      <c r="T134" s="707"/>
      <c r="U134" s="707"/>
      <c r="V134" s="707"/>
      <c r="W134" s="707"/>
      <c r="X134" s="707"/>
      <c r="Y134" s="707"/>
      <c r="Z134" s="421"/>
      <c r="AA134" s="421"/>
      <c r="AB134" s="652"/>
    </row>
    <row r="135" spans="1:28" ht="38.25">
      <c r="A135" s="851"/>
      <c r="B135" s="850" t="s">
        <v>522</v>
      </c>
      <c r="C135" s="839" t="s">
        <v>523</v>
      </c>
      <c r="D135" s="849"/>
      <c r="E135" s="661" t="s">
        <v>524</v>
      </c>
      <c r="F135" s="445">
        <v>1</v>
      </c>
      <c r="G135" s="445">
        <v>1</v>
      </c>
      <c r="H135" s="445">
        <v>1</v>
      </c>
      <c r="I135" s="345">
        <f aca="true" t="shared" si="6" ref="I135:I142">SUM(J135:Z135)</f>
        <v>4120</v>
      </c>
      <c r="J135" s="446"/>
      <c r="K135" s="392"/>
      <c r="L135" s="446"/>
      <c r="M135" s="446"/>
      <c r="N135" s="446"/>
      <c r="O135" s="446"/>
      <c r="P135" s="456"/>
      <c r="Q135" s="495">
        <f>412000/100</f>
        <v>4120</v>
      </c>
      <c r="R135" s="714"/>
      <c r="S135" s="714"/>
      <c r="T135" s="714"/>
      <c r="U135" s="714"/>
      <c r="V135" s="714"/>
      <c r="W135" s="714"/>
      <c r="X135" s="714"/>
      <c r="Y135" s="714"/>
      <c r="Z135" s="495"/>
      <c r="AA135" s="495"/>
      <c r="AB135" s="377" t="s">
        <v>525</v>
      </c>
    </row>
    <row r="136" spans="1:28" ht="38.25">
      <c r="A136" s="851"/>
      <c r="B136" s="850"/>
      <c r="C136" s="839"/>
      <c r="D136" s="849"/>
      <c r="E136" s="639" t="s">
        <v>526</v>
      </c>
      <c r="F136" s="445">
        <v>25</v>
      </c>
      <c r="G136" s="445">
        <v>50</v>
      </c>
      <c r="H136" s="445">
        <v>75</v>
      </c>
      <c r="I136" s="374">
        <f t="shared" si="6"/>
        <v>6482</v>
      </c>
      <c r="J136" s="446"/>
      <c r="K136" s="446"/>
      <c r="L136" s="446"/>
      <c r="M136" s="446"/>
      <c r="N136" s="446"/>
      <c r="O136" s="446"/>
      <c r="P136" s="456"/>
      <c r="Q136" s="495">
        <f>6482000/1000</f>
        <v>6482</v>
      </c>
      <c r="R136" s="714"/>
      <c r="S136" s="714"/>
      <c r="T136" s="714"/>
      <c r="U136" s="714"/>
      <c r="V136" s="714"/>
      <c r="W136" s="714"/>
      <c r="X136" s="714"/>
      <c r="Y136" s="714"/>
      <c r="Z136" s="495"/>
      <c r="AA136" s="495"/>
      <c r="AB136" s="377" t="s">
        <v>525</v>
      </c>
    </row>
    <row r="137" spans="1:28" ht="38.25">
      <c r="A137" s="851"/>
      <c r="B137" s="850"/>
      <c r="C137" s="839"/>
      <c r="D137" s="849"/>
      <c r="E137" s="639" t="s">
        <v>527</v>
      </c>
      <c r="F137" s="469"/>
      <c r="G137" s="469"/>
      <c r="H137" s="469"/>
      <c r="I137" s="374">
        <f t="shared" si="6"/>
        <v>100000</v>
      </c>
      <c r="J137" s="418"/>
      <c r="K137" s="418"/>
      <c r="L137" s="418"/>
      <c r="M137" s="418"/>
      <c r="N137" s="418"/>
      <c r="O137" s="418"/>
      <c r="P137" s="502"/>
      <c r="Q137" s="495"/>
      <c r="R137" s="714"/>
      <c r="S137" s="714"/>
      <c r="T137" s="714"/>
      <c r="U137" s="714"/>
      <c r="V137" s="714"/>
      <c r="W137" s="714"/>
      <c r="X137" s="714"/>
      <c r="Y137" s="714"/>
      <c r="Z137" s="495">
        <f>100000000/1000</f>
        <v>100000</v>
      </c>
      <c r="AA137" s="495"/>
      <c r="AB137" s="377" t="s">
        <v>525</v>
      </c>
    </row>
    <row r="138" spans="1:28" ht="45">
      <c r="A138" s="851"/>
      <c r="B138" s="850"/>
      <c r="C138" s="839"/>
      <c r="D138" s="849"/>
      <c r="E138" s="640" t="s">
        <v>528</v>
      </c>
      <c r="F138" s="501"/>
      <c r="G138" s="501"/>
      <c r="H138" s="501"/>
      <c r="I138" s="485">
        <f t="shared" si="6"/>
        <v>10000</v>
      </c>
      <c r="J138" s="502"/>
      <c r="K138" s="502"/>
      <c r="L138" s="502"/>
      <c r="M138" s="502"/>
      <c r="N138" s="502"/>
      <c r="O138" s="502"/>
      <c r="P138" s="502"/>
      <c r="Q138" s="495">
        <f>10000000/1000</f>
        <v>10000</v>
      </c>
      <c r="R138" s="714"/>
      <c r="S138" s="714"/>
      <c r="T138" s="714"/>
      <c r="U138" s="714"/>
      <c r="V138" s="714"/>
      <c r="W138" s="714"/>
      <c r="X138" s="714"/>
      <c r="Y138" s="714"/>
      <c r="Z138" s="495"/>
      <c r="AA138" s="495"/>
      <c r="AB138" s="377" t="s">
        <v>525</v>
      </c>
    </row>
    <row r="139" spans="1:28" ht="38.25">
      <c r="A139" s="851"/>
      <c r="B139" s="850"/>
      <c r="C139" s="839"/>
      <c r="D139" s="849"/>
      <c r="E139" s="598" t="s">
        <v>529</v>
      </c>
      <c r="F139" s="431"/>
      <c r="G139" s="431"/>
      <c r="H139" s="431"/>
      <c r="I139" s="374">
        <f t="shared" si="6"/>
        <v>2000</v>
      </c>
      <c r="J139" s="421"/>
      <c r="K139" s="421"/>
      <c r="L139" s="421"/>
      <c r="M139" s="421"/>
      <c r="N139" s="421"/>
      <c r="O139" s="421"/>
      <c r="P139" s="441"/>
      <c r="Q139" s="495">
        <f>2000000/1000</f>
        <v>2000</v>
      </c>
      <c r="R139" s="714"/>
      <c r="S139" s="714"/>
      <c r="T139" s="714"/>
      <c r="U139" s="714"/>
      <c r="V139" s="714"/>
      <c r="W139" s="714"/>
      <c r="X139" s="714"/>
      <c r="Y139" s="714"/>
      <c r="Z139" s="495"/>
      <c r="AA139" s="495"/>
      <c r="AB139" s="377" t="s">
        <v>525</v>
      </c>
    </row>
    <row r="140" spans="1:28" ht="45.75" thickBot="1">
      <c r="A140" s="852"/>
      <c r="B140" s="850"/>
      <c r="C140" s="839"/>
      <c r="D140" s="849"/>
      <c r="E140" s="599" t="s">
        <v>530</v>
      </c>
      <c r="F140" s="433"/>
      <c r="G140" s="433"/>
      <c r="H140" s="433"/>
      <c r="I140" s="521">
        <f t="shared" si="6"/>
        <v>1480</v>
      </c>
      <c r="J140" s="434"/>
      <c r="K140" s="434"/>
      <c r="L140" s="434"/>
      <c r="M140" s="434"/>
      <c r="N140" s="434"/>
      <c r="O140" s="434"/>
      <c r="P140" s="434"/>
      <c r="Q140" s="495">
        <f>1480000/1000</f>
        <v>1480</v>
      </c>
      <c r="R140" s="714"/>
      <c r="S140" s="714"/>
      <c r="T140" s="714"/>
      <c r="U140" s="714"/>
      <c r="V140" s="714"/>
      <c r="W140" s="714"/>
      <c r="X140" s="714"/>
      <c r="Y140" s="714"/>
      <c r="Z140" s="495"/>
      <c r="AA140" s="495"/>
      <c r="AB140" s="377" t="s">
        <v>525</v>
      </c>
    </row>
    <row r="141" spans="1:28" ht="30.75" thickBot="1">
      <c r="A141" s="580"/>
      <c r="B141" s="421"/>
      <c r="C141" s="421"/>
      <c r="D141" s="421"/>
      <c r="E141" s="639" t="s">
        <v>588</v>
      </c>
      <c r="F141" s="433"/>
      <c r="G141" s="433"/>
      <c r="H141" s="433"/>
      <c r="I141" s="521">
        <f t="shared" si="6"/>
        <v>15000</v>
      </c>
      <c r="J141" s="434"/>
      <c r="K141" s="434"/>
      <c r="L141" s="434"/>
      <c r="M141" s="434"/>
      <c r="N141" s="434"/>
      <c r="O141" s="434"/>
      <c r="P141" s="434"/>
      <c r="Q141" s="495">
        <v>15000</v>
      </c>
      <c r="R141" s="714"/>
      <c r="S141" s="714"/>
      <c r="T141" s="714"/>
      <c r="U141" s="714"/>
      <c r="V141" s="714"/>
      <c r="W141" s="714"/>
      <c r="X141" s="714"/>
      <c r="Y141" s="714"/>
      <c r="Z141" s="495"/>
      <c r="AA141" s="495"/>
      <c r="AB141" s="377"/>
    </row>
    <row r="142" spans="1:28" ht="45.75" thickBot="1">
      <c r="A142" s="580"/>
      <c r="B142" s="726"/>
      <c r="C142" s="726"/>
      <c r="D142" s="725"/>
      <c r="E142" s="639" t="s">
        <v>589</v>
      </c>
      <c r="F142" s="433"/>
      <c r="G142" s="433"/>
      <c r="H142" s="433"/>
      <c r="I142" s="521">
        <f t="shared" si="6"/>
        <v>1000</v>
      </c>
      <c r="J142" s="434"/>
      <c r="K142" s="434"/>
      <c r="L142" s="434"/>
      <c r="M142" s="434"/>
      <c r="N142" s="434"/>
      <c r="O142" s="434"/>
      <c r="P142" s="434"/>
      <c r="Q142" s="736">
        <v>1000</v>
      </c>
      <c r="R142" s="714"/>
      <c r="S142" s="714"/>
      <c r="T142" s="714"/>
      <c r="U142" s="714"/>
      <c r="V142" s="714"/>
      <c r="W142" s="737"/>
      <c r="X142" s="737"/>
      <c r="Y142" s="737"/>
      <c r="Z142" s="662"/>
      <c r="AA142" s="662"/>
      <c r="AB142" s="522"/>
    </row>
    <row r="143" spans="1:28" ht="30.75" thickBot="1">
      <c r="A143" s="723"/>
      <c r="B143" s="724"/>
      <c r="C143" s="344"/>
      <c r="D143" s="741"/>
      <c r="E143" s="732" t="s">
        <v>612</v>
      </c>
      <c r="F143" s="433"/>
      <c r="G143" s="433"/>
      <c r="H143" s="433"/>
      <c r="I143" s="733"/>
      <c r="J143" s="434"/>
      <c r="K143" s="434"/>
      <c r="L143" s="434"/>
      <c r="M143" s="434"/>
      <c r="N143" s="434"/>
      <c r="O143" s="434"/>
      <c r="P143" s="734"/>
      <c r="Q143" s="738">
        <v>500</v>
      </c>
      <c r="R143" s="434"/>
      <c r="S143" s="434"/>
      <c r="T143" s="434"/>
      <c r="U143" s="434"/>
      <c r="V143" s="734"/>
      <c r="W143" s="739"/>
      <c r="X143" s="739"/>
      <c r="Y143" s="740"/>
      <c r="Z143" s="735"/>
      <c r="AA143" s="662"/>
      <c r="AB143" s="522"/>
    </row>
    <row r="144" spans="1:28" ht="15.75" thickBot="1">
      <c r="A144" s="380"/>
      <c r="B144" s="351"/>
      <c r="C144" s="351"/>
      <c r="D144" s="382"/>
      <c r="E144" s="642"/>
      <c r="F144" s="351"/>
      <c r="G144" s="351"/>
      <c r="H144" s="351"/>
      <c r="I144" s="351">
        <f>I135+I136+I137+I138+I139+I140+I141+I142</f>
        <v>140082</v>
      </c>
      <c r="J144" s="351"/>
      <c r="K144" s="351">
        <f>K131</f>
        <v>4000</v>
      </c>
      <c r="L144" s="351"/>
      <c r="M144" s="351"/>
      <c r="N144" s="351"/>
      <c r="O144" s="351"/>
      <c r="P144" s="351"/>
      <c r="Q144" s="381">
        <f>SUM(Q129:Q142)</f>
        <v>92082</v>
      </c>
      <c r="R144" s="381"/>
      <c r="S144" s="381"/>
      <c r="T144" s="381"/>
      <c r="U144" s="381"/>
      <c r="V144" s="381"/>
      <c r="W144" s="381"/>
      <c r="X144" s="381"/>
      <c r="Y144" s="381"/>
      <c r="Z144" s="351">
        <f>SUM(Z137:Z142)</f>
        <v>100000</v>
      </c>
      <c r="AA144" s="351"/>
      <c r="AB144" s="351"/>
    </row>
    <row r="145" spans="1:28" ht="15.75" thickBot="1">
      <c r="A145" s="524"/>
      <c r="B145" s="427"/>
      <c r="C145" s="427"/>
      <c r="D145" s="668"/>
      <c r="E145" s="600"/>
      <c r="F145" s="525"/>
      <c r="G145" s="526"/>
      <c r="H145" s="526"/>
      <c r="I145" s="527"/>
      <c r="J145" s="526"/>
      <c r="K145" s="526"/>
      <c r="L145" s="526"/>
      <c r="M145" s="526"/>
      <c r="N145" s="526"/>
      <c r="O145" s="526"/>
      <c r="P145" s="472"/>
      <c r="Q145" s="688"/>
      <c r="R145" s="689"/>
      <c r="S145" s="689"/>
      <c r="T145" s="689"/>
      <c r="U145" s="689"/>
      <c r="V145" s="689"/>
      <c r="W145" s="689"/>
      <c r="X145" s="689"/>
      <c r="Y145" s="689"/>
      <c r="Z145" s="689"/>
      <c r="AA145" s="689"/>
      <c r="AB145" s="689"/>
    </row>
    <row r="146" spans="1:28" ht="45">
      <c r="A146" s="851" t="s">
        <v>531</v>
      </c>
      <c r="B146" s="853" t="s">
        <v>532</v>
      </c>
      <c r="C146" s="906" t="s">
        <v>533</v>
      </c>
      <c r="D146" s="908"/>
      <c r="E146" s="643" t="s">
        <v>590</v>
      </c>
      <c r="F146" s="494"/>
      <c r="G146" s="494"/>
      <c r="H146" s="494"/>
      <c r="I146" s="520">
        <f>L146+M146+N146+O146+Q146+V146</f>
        <v>5000</v>
      </c>
      <c r="J146" s="477"/>
      <c r="K146" s="477"/>
      <c r="L146" s="477"/>
      <c r="M146" s="477"/>
      <c r="N146" s="477"/>
      <c r="O146" s="477"/>
      <c r="P146" s="418"/>
      <c r="Q146" s="528">
        <f>5000000/1000</f>
        <v>5000</v>
      </c>
      <c r="R146" s="529"/>
      <c r="S146" s="529"/>
      <c r="T146" s="529"/>
      <c r="U146" s="529"/>
      <c r="V146" s="529"/>
      <c r="W146" s="529"/>
      <c r="X146" s="529"/>
      <c r="Y146" s="529"/>
      <c r="Z146" s="529"/>
      <c r="AA146" s="529"/>
      <c r="AB146" s="690" t="s">
        <v>493</v>
      </c>
    </row>
    <row r="147" spans="1:28" ht="75">
      <c r="A147" s="851"/>
      <c r="B147" s="853"/>
      <c r="C147" s="906"/>
      <c r="D147" s="849"/>
      <c r="E147" s="644" t="s">
        <v>534</v>
      </c>
      <c r="F147" s="445"/>
      <c r="G147" s="445"/>
      <c r="H147" s="445"/>
      <c r="I147" s="374">
        <f aca="true" t="shared" si="7" ref="I147:I152">+K147+L147+M147+O147+Q147</f>
        <v>3000</v>
      </c>
      <c r="J147" s="446"/>
      <c r="K147" s="446"/>
      <c r="L147" s="446"/>
      <c r="M147" s="446"/>
      <c r="N147" s="446"/>
      <c r="O147" s="446"/>
      <c r="P147" s="446"/>
      <c r="Q147" s="530">
        <f>3000000/1000</f>
        <v>3000</v>
      </c>
      <c r="R147" s="692"/>
      <c r="S147" s="692"/>
      <c r="T147" s="692"/>
      <c r="U147" s="692"/>
      <c r="V147" s="692"/>
      <c r="W147" s="692"/>
      <c r="X147" s="692"/>
      <c r="Y147" s="692"/>
      <c r="Z147" s="692"/>
      <c r="AA147" s="692"/>
      <c r="AB147" s="687" t="s">
        <v>493</v>
      </c>
    </row>
    <row r="148" spans="1:28" ht="60">
      <c r="A148" s="851"/>
      <c r="B148" s="853"/>
      <c r="C148" s="906"/>
      <c r="D148" s="849"/>
      <c r="E148" s="644" t="s">
        <v>591</v>
      </c>
      <c r="F148" s="445"/>
      <c r="G148" s="445"/>
      <c r="H148" s="445"/>
      <c r="I148" s="374">
        <f t="shared" si="7"/>
        <v>10000</v>
      </c>
      <c r="J148" s="446"/>
      <c r="K148" s="446"/>
      <c r="L148" s="446"/>
      <c r="M148" s="446"/>
      <c r="N148" s="446"/>
      <c r="O148" s="446"/>
      <c r="P148" s="446"/>
      <c r="Q148" s="530">
        <f>10000000/1000</f>
        <v>10000</v>
      </c>
      <c r="R148" s="545"/>
      <c r="S148" s="693"/>
      <c r="T148" s="693"/>
      <c r="U148" s="693"/>
      <c r="V148" s="693"/>
      <c r="W148" s="693"/>
      <c r="X148" s="693"/>
      <c r="Y148" s="693"/>
      <c r="Z148" s="693"/>
      <c r="AA148" s="693"/>
      <c r="AB148" s="687" t="s">
        <v>493</v>
      </c>
    </row>
    <row r="149" spans="1:28" ht="45.75" thickBot="1">
      <c r="A149" s="852"/>
      <c r="B149" s="854"/>
      <c r="C149" s="907"/>
      <c r="D149" s="909"/>
      <c r="E149" s="644" t="s">
        <v>535</v>
      </c>
      <c r="F149" s="445"/>
      <c r="G149" s="445"/>
      <c r="H149" s="445"/>
      <c r="I149" s="374">
        <f t="shared" si="7"/>
        <v>10000</v>
      </c>
      <c r="J149" s="456"/>
      <c r="K149" s="456"/>
      <c r="L149" s="456"/>
      <c r="M149" s="456"/>
      <c r="N149" s="456"/>
      <c r="O149" s="456"/>
      <c r="P149" s="456"/>
      <c r="Q149" s="531">
        <f>10000000/1000</f>
        <v>10000</v>
      </c>
      <c r="R149" s="694"/>
      <c r="S149" s="695"/>
      <c r="T149" s="695"/>
      <c r="U149" s="695"/>
      <c r="V149" s="695"/>
      <c r="W149" s="695"/>
      <c r="X149" s="695"/>
      <c r="Y149" s="695"/>
      <c r="Z149" s="695"/>
      <c r="AA149" s="695"/>
      <c r="AB149" s="686" t="s">
        <v>493</v>
      </c>
    </row>
    <row r="150" spans="1:28" ht="45.75" thickBot="1">
      <c r="A150" s="580"/>
      <c r="B150" s="581"/>
      <c r="C150" s="582"/>
      <c r="D150" s="741"/>
      <c r="E150" s="644" t="s">
        <v>613</v>
      </c>
      <c r="F150" s="664"/>
      <c r="G150" s="664"/>
      <c r="H150" s="664"/>
      <c r="I150" s="374">
        <f t="shared" si="7"/>
        <v>14000</v>
      </c>
      <c r="J150" s="418"/>
      <c r="K150" s="418"/>
      <c r="L150" s="418"/>
      <c r="M150" s="418"/>
      <c r="N150" s="418"/>
      <c r="O150" s="418"/>
      <c r="P150" s="418"/>
      <c r="Q150" s="531">
        <v>14000</v>
      </c>
      <c r="R150" s="545"/>
      <c r="S150" s="693"/>
      <c r="T150" s="693"/>
      <c r="U150" s="693"/>
      <c r="V150" s="693"/>
      <c r="W150" s="693"/>
      <c r="X150" s="693"/>
      <c r="Y150" s="693"/>
      <c r="Z150" s="693"/>
      <c r="AA150" s="693"/>
      <c r="AB150" s="687"/>
    </row>
    <row r="151" spans="1:28" ht="60.75" thickBot="1">
      <c r="A151" s="580"/>
      <c r="B151" s="581"/>
      <c r="C151" s="582"/>
      <c r="D151" s="741"/>
      <c r="E151" s="644" t="s">
        <v>592</v>
      </c>
      <c r="F151" s="664"/>
      <c r="G151" s="664"/>
      <c r="H151" s="664"/>
      <c r="I151" s="374">
        <f t="shared" si="7"/>
        <v>13000</v>
      </c>
      <c r="J151" s="418"/>
      <c r="K151" s="418"/>
      <c r="L151" s="418"/>
      <c r="M151" s="418"/>
      <c r="N151" s="418"/>
      <c r="O151" s="418"/>
      <c r="P151" s="418"/>
      <c r="Q151" s="531">
        <v>13000</v>
      </c>
      <c r="R151" s="394"/>
      <c r="S151" s="418"/>
      <c r="T151" s="418"/>
      <c r="U151" s="418"/>
      <c r="V151" s="418"/>
      <c r="W151" s="418"/>
      <c r="X151" s="418"/>
      <c r="Y151" s="418"/>
      <c r="Z151" s="418"/>
      <c r="AA151" s="418"/>
      <c r="AB151" s="377"/>
    </row>
    <row r="152" spans="1:28" ht="45.75" thickBot="1">
      <c r="A152" s="580"/>
      <c r="B152" s="581"/>
      <c r="C152" s="582"/>
      <c r="D152" s="576"/>
      <c r="E152" s="663" t="s">
        <v>593</v>
      </c>
      <c r="F152" s="664"/>
      <c r="G152" s="664"/>
      <c r="H152" s="664"/>
      <c r="I152" s="374">
        <f t="shared" si="7"/>
        <v>11623</v>
      </c>
      <c r="J152" s="456"/>
      <c r="K152" s="456"/>
      <c r="L152" s="456"/>
      <c r="M152" s="456"/>
      <c r="N152" s="456"/>
      <c r="O152" s="456"/>
      <c r="P152" s="456"/>
      <c r="Q152" s="531">
        <v>11623</v>
      </c>
      <c r="R152" s="696"/>
      <c r="S152" s="697"/>
      <c r="T152" s="697"/>
      <c r="U152" s="697"/>
      <c r="V152" s="697"/>
      <c r="W152" s="697"/>
      <c r="X152" s="697"/>
      <c r="Y152" s="697"/>
      <c r="Z152" s="697"/>
      <c r="AA152" s="697"/>
      <c r="AB152" s="698"/>
    </row>
    <row r="153" spans="1:28" ht="15.75" thickBot="1">
      <c r="A153" s="351"/>
      <c r="B153" s="351"/>
      <c r="C153" s="351"/>
      <c r="D153" s="351"/>
      <c r="E153" s="610"/>
      <c r="F153" s="351"/>
      <c r="G153" s="351"/>
      <c r="H153" s="351"/>
      <c r="I153" s="351">
        <f>SUM(I146:I152)</f>
        <v>66623</v>
      </c>
      <c r="J153" s="351"/>
      <c r="K153" s="351"/>
      <c r="L153" s="351"/>
      <c r="M153" s="351"/>
      <c r="N153" s="351"/>
      <c r="O153" s="351"/>
      <c r="P153" s="351"/>
      <c r="Q153" s="351">
        <f>SUM(Q146:Q152)</f>
        <v>66623</v>
      </c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</row>
    <row r="154" spans="1:28" ht="15.75" thickBot="1">
      <c r="A154" s="492"/>
      <c r="B154" s="492"/>
      <c r="C154" s="492"/>
      <c r="D154" s="489"/>
      <c r="E154" s="589"/>
      <c r="F154" s="490"/>
      <c r="G154" s="490"/>
      <c r="H154" s="490"/>
      <c r="I154" s="474"/>
      <c r="J154" s="490"/>
      <c r="K154" s="490"/>
      <c r="L154" s="490"/>
      <c r="M154" s="490"/>
      <c r="N154" s="490"/>
      <c r="O154" s="490"/>
      <c r="P154" s="490"/>
      <c r="Q154" s="699"/>
      <c r="R154" s="699"/>
      <c r="S154" s="688"/>
      <c r="T154" s="700"/>
      <c r="U154" s="700"/>
      <c r="V154" s="700"/>
      <c r="W154" s="700"/>
      <c r="X154" s="700"/>
      <c r="Y154" s="700"/>
      <c r="Z154" s="700"/>
      <c r="AA154" s="700"/>
      <c r="AB154" s="384"/>
    </row>
    <row r="155" spans="1:28" ht="15">
      <c r="A155" s="860" t="s">
        <v>536</v>
      </c>
      <c r="B155" s="863" t="s">
        <v>537</v>
      </c>
      <c r="C155" s="866" t="s">
        <v>538</v>
      </c>
      <c r="D155" s="869"/>
      <c r="E155" s="903" t="s">
        <v>539</v>
      </c>
      <c r="F155" s="878"/>
      <c r="G155" s="878"/>
      <c r="H155" s="880"/>
      <c r="I155" s="883">
        <f>Q155</f>
        <v>4000</v>
      </c>
      <c r="J155" s="885"/>
      <c r="K155" s="878"/>
      <c r="L155" s="878"/>
      <c r="M155" s="878"/>
      <c r="N155" s="878"/>
      <c r="O155" s="878"/>
      <c r="P155" s="569"/>
      <c r="Q155" s="900">
        <f>4000000/1000</f>
        <v>4000</v>
      </c>
      <c r="R155" s="872"/>
      <c r="S155" s="875"/>
      <c r="T155" s="857"/>
      <c r="U155" s="857"/>
      <c r="V155" s="857"/>
      <c r="W155" s="701"/>
      <c r="X155" s="701"/>
      <c r="Y155" s="701"/>
      <c r="Z155" s="857"/>
      <c r="AA155" s="701"/>
      <c r="AB155" s="888"/>
    </row>
    <row r="156" spans="1:28" ht="15">
      <c r="A156" s="861"/>
      <c r="B156" s="864"/>
      <c r="C156" s="867"/>
      <c r="D156" s="870"/>
      <c r="E156" s="904"/>
      <c r="F156" s="876"/>
      <c r="G156" s="876"/>
      <c r="H156" s="881"/>
      <c r="I156" s="884"/>
      <c r="J156" s="886"/>
      <c r="K156" s="876"/>
      <c r="L156" s="876"/>
      <c r="M156" s="876"/>
      <c r="N156" s="876"/>
      <c r="O156" s="876"/>
      <c r="P156" s="570"/>
      <c r="Q156" s="901"/>
      <c r="R156" s="873"/>
      <c r="S156" s="876"/>
      <c r="T156" s="858"/>
      <c r="U156" s="858"/>
      <c r="V156" s="858"/>
      <c r="W156" s="702"/>
      <c r="X156" s="702"/>
      <c r="Y156" s="702"/>
      <c r="Z156" s="858"/>
      <c r="AA156" s="702"/>
      <c r="AB156" s="889"/>
    </row>
    <row r="157" spans="1:28" ht="15">
      <c r="A157" s="861"/>
      <c r="B157" s="864"/>
      <c r="C157" s="867"/>
      <c r="D157" s="870"/>
      <c r="E157" s="904"/>
      <c r="F157" s="876"/>
      <c r="G157" s="876"/>
      <c r="H157" s="881"/>
      <c r="I157" s="884"/>
      <c r="J157" s="886"/>
      <c r="K157" s="876"/>
      <c r="L157" s="876"/>
      <c r="M157" s="876"/>
      <c r="N157" s="876"/>
      <c r="O157" s="876"/>
      <c r="P157" s="570"/>
      <c r="Q157" s="901"/>
      <c r="R157" s="873"/>
      <c r="S157" s="876"/>
      <c r="T157" s="858"/>
      <c r="U157" s="858"/>
      <c r="V157" s="858"/>
      <c r="W157" s="702"/>
      <c r="X157" s="702"/>
      <c r="Y157" s="702"/>
      <c r="Z157" s="858"/>
      <c r="AA157" s="702"/>
      <c r="AB157" s="889"/>
    </row>
    <row r="158" spans="1:28" ht="15">
      <c r="A158" s="861"/>
      <c r="B158" s="864"/>
      <c r="C158" s="867"/>
      <c r="D158" s="870"/>
      <c r="E158" s="904"/>
      <c r="F158" s="876"/>
      <c r="G158" s="876"/>
      <c r="H158" s="881"/>
      <c r="I158" s="884"/>
      <c r="J158" s="886"/>
      <c r="K158" s="876"/>
      <c r="L158" s="876"/>
      <c r="M158" s="876"/>
      <c r="N158" s="876"/>
      <c r="O158" s="876"/>
      <c r="P158" s="570"/>
      <c r="Q158" s="901"/>
      <c r="R158" s="873"/>
      <c r="S158" s="876"/>
      <c r="T158" s="858"/>
      <c r="U158" s="858"/>
      <c r="V158" s="858"/>
      <c r="W158" s="702"/>
      <c r="X158" s="702"/>
      <c r="Y158" s="702"/>
      <c r="Z158" s="858"/>
      <c r="AA158" s="702"/>
      <c r="AB158" s="889"/>
    </row>
    <row r="159" spans="1:28" ht="15">
      <c r="A159" s="861"/>
      <c r="B159" s="864"/>
      <c r="C159" s="867"/>
      <c r="D159" s="870"/>
      <c r="E159" s="904"/>
      <c r="F159" s="876"/>
      <c r="G159" s="876"/>
      <c r="H159" s="881"/>
      <c r="I159" s="649"/>
      <c r="J159" s="886"/>
      <c r="K159" s="876"/>
      <c r="L159" s="876"/>
      <c r="M159" s="876"/>
      <c r="N159" s="876"/>
      <c r="O159" s="876"/>
      <c r="P159" s="570"/>
      <c r="Q159" s="901"/>
      <c r="R159" s="873"/>
      <c r="S159" s="876"/>
      <c r="T159" s="858"/>
      <c r="U159" s="858"/>
      <c r="V159" s="858"/>
      <c r="W159" s="702"/>
      <c r="X159" s="702"/>
      <c r="Y159" s="702"/>
      <c r="Z159" s="858"/>
      <c r="AA159" s="702"/>
      <c r="AB159" s="889"/>
    </row>
    <row r="160" spans="1:28" ht="15.75" thickBot="1">
      <c r="A160" s="862"/>
      <c r="B160" s="865"/>
      <c r="C160" s="868"/>
      <c r="D160" s="871"/>
      <c r="E160" s="905"/>
      <c r="F160" s="879"/>
      <c r="G160" s="879"/>
      <c r="H160" s="882"/>
      <c r="I160" s="648"/>
      <c r="J160" s="887"/>
      <c r="K160" s="879"/>
      <c r="L160" s="879"/>
      <c r="M160" s="879"/>
      <c r="N160" s="879"/>
      <c r="O160" s="879"/>
      <c r="P160" s="571"/>
      <c r="Q160" s="902"/>
      <c r="R160" s="874"/>
      <c r="S160" s="877"/>
      <c r="T160" s="859"/>
      <c r="U160" s="859"/>
      <c r="V160" s="859"/>
      <c r="W160" s="703"/>
      <c r="X160" s="703"/>
      <c r="Y160" s="703"/>
      <c r="Z160" s="859"/>
      <c r="AA160" s="703"/>
      <c r="AB160" s="890"/>
    </row>
    <row r="161" spans="1:28" ht="15.75" thickBot="1">
      <c r="A161" s="380"/>
      <c r="B161" s="351"/>
      <c r="C161" s="405"/>
      <c r="D161" s="523"/>
      <c r="E161" s="610"/>
      <c r="F161" s="351"/>
      <c r="G161" s="351"/>
      <c r="H161" s="351"/>
      <c r="I161" s="381">
        <f>Q161</f>
        <v>4000</v>
      </c>
      <c r="J161" s="351"/>
      <c r="K161" s="351"/>
      <c r="L161" s="351"/>
      <c r="M161" s="351"/>
      <c r="N161" s="351"/>
      <c r="O161" s="351"/>
      <c r="P161" s="351"/>
      <c r="Q161" s="351">
        <f>SUM(Q155)</f>
        <v>4000</v>
      </c>
      <c r="R161" s="351"/>
      <c r="S161" s="381"/>
      <c r="T161" s="351"/>
      <c r="U161" s="351"/>
      <c r="V161" s="351"/>
      <c r="W161" s="351"/>
      <c r="X161" s="351"/>
      <c r="Y161" s="351"/>
      <c r="Z161" s="351"/>
      <c r="AA161" s="351"/>
      <c r="AB161" s="351"/>
    </row>
    <row r="162" spans="1:28" ht="15.75" thickBot="1">
      <c r="A162" s="384"/>
      <c r="B162" s="384"/>
      <c r="C162" s="384"/>
      <c r="D162" s="384"/>
      <c r="E162" s="645"/>
      <c r="F162" s="518"/>
      <c r="G162" s="518"/>
      <c r="H162" s="518"/>
      <c r="I162" s="518"/>
      <c r="J162" s="518"/>
      <c r="K162" s="518"/>
      <c r="L162" s="518"/>
      <c r="M162" s="518"/>
      <c r="N162" s="518"/>
      <c r="O162" s="518"/>
      <c r="P162" s="518"/>
      <c r="Q162" s="704"/>
      <c r="R162" s="704"/>
      <c r="S162" s="704"/>
      <c r="T162" s="704"/>
      <c r="U162" s="704"/>
      <c r="V162" s="704"/>
      <c r="W162" s="704"/>
      <c r="X162" s="704"/>
      <c r="Y162" s="704"/>
      <c r="Z162" s="704"/>
      <c r="AA162" s="742"/>
      <c r="AB162" s="704"/>
    </row>
    <row r="163" spans="1:28" ht="60">
      <c r="A163" s="891" t="s">
        <v>540</v>
      </c>
      <c r="B163" s="893" t="s">
        <v>541</v>
      </c>
      <c r="C163" s="847" t="s">
        <v>540</v>
      </c>
      <c r="D163" s="896"/>
      <c r="E163" s="627" t="s">
        <v>405</v>
      </c>
      <c r="F163" s="429"/>
      <c r="G163" s="429"/>
      <c r="H163" s="429"/>
      <c r="I163" s="438">
        <f>Q163</f>
        <v>20000</v>
      </c>
      <c r="J163" s="429"/>
      <c r="K163" s="429"/>
      <c r="L163" s="429"/>
      <c r="M163" s="429"/>
      <c r="N163" s="429"/>
      <c r="O163" s="429"/>
      <c r="P163" s="429"/>
      <c r="Q163" s="532">
        <f>20000000/1000</f>
        <v>20000</v>
      </c>
      <c r="R163" s="705"/>
      <c r="S163" s="706"/>
      <c r="T163" s="706"/>
      <c r="U163" s="706"/>
      <c r="V163" s="706"/>
      <c r="W163" s="706"/>
      <c r="X163" s="706"/>
      <c r="Y163" s="706"/>
      <c r="Z163" s="706"/>
      <c r="AA163" s="743"/>
      <c r="AB163" s="847" t="s">
        <v>542</v>
      </c>
    </row>
    <row r="164" spans="1:28" ht="15">
      <c r="A164" s="892"/>
      <c r="B164" s="850"/>
      <c r="C164" s="839"/>
      <c r="D164" s="897"/>
      <c r="E164" s="646" t="s">
        <v>594</v>
      </c>
      <c r="F164" s="429"/>
      <c r="G164" s="429"/>
      <c r="H164" s="429"/>
      <c r="I164" s="438">
        <f>Q164</f>
        <v>12000</v>
      </c>
      <c r="J164" s="429"/>
      <c r="K164" s="429"/>
      <c r="L164" s="429"/>
      <c r="M164" s="429"/>
      <c r="N164" s="429"/>
      <c r="O164" s="429"/>
      <c r="P164" s="429"/>
      <c r="Q164" s="532">
        <v>12000</v>
      </c>
      <c r="R164" s="705"/>
      <c r="S164" s="706"/>
      <c r="T164" s="706"/>
      <c r="U164" s="706"/>
      <c r="V164" s="706"/>
      <c r="W164" s="706"/>
      <c r="X164" s="706"/>
      <c r="Y164" s="706"/>
      <c r="Z164" s="706"/>
      <c r="AA164" s="702"/>
      <c r="AB164" s="839"/>
    </row>
    <row r="165" spans="1:28" ht="60">
      <c r="A165" s="892"/>
      <c r="B165" s="850"/>
      <c r="C165" s="839"/>
      <c r="D165" s="897"/>
      <c r="E165" s="646" t="s">
        <v>411</v>
      </c>
      <c r="F165" s="421"/>
      <c r="G165" s="421"/>
      <c r="H165" s="421"/>
      <c r="I165" s="374">
        <f>Q165</f>
        <v>1000</v>
      </c>
      <c r="J165" s="421"/>
      <c r="K165" s="421"/>
      <c r="L165" s="421"/>
      <c r="M165" s="421"/>
      <c r="N165" s="421"/>
      <c r="O165" s="421"/>
      <c r="P165" s="421"/>
      <c r="Q165" s="530">
        <f>1000000/1000</f>
        <v>1000</v>
      </c>
      <c r="R165" s="707"/>
      <c r="S165" s="707"/>
      <c r="T165" s="707"/>
      <c r="U165" s="707"/>
      <c r="V165" s="707"/>
      <c r="W165" s="707"/>
      <c r="X165" s="707"/>
      <c r="Y165" s="707"/>
      <c r="Z165" s="707"/>
      <c r="AA165" s="707"/>
      <c r="AB165" s="839"/>
    </row>
    <row r="166" spans="1:28" ht="45">
      <c r="A166" s="892"/>
      <c r="B166" s="850"/>
      <c r="C166" s="839"/>
      <c r="D166" s="897"/>
      <c r="E166" s="646" t="s">
        <v>543</v>
      </c>
      <c r="F166" s="421"/>
      <c r="G166" s="421"/>
      <c r="H166" s="421"/>
      <c r="I166" s="374">
        <f>K166+L166+M166+N166+O166+R166+S166+T166+U166+V166+Z166</f>
        <v>1</v>
      </c>
      <c r="J166" s="421"/>
      <c r="K166" s="421"/>
      <c r="L166" s="421"/>
      <c r="M166" s="421"/>
      <c r="N166" s="421"/>
      <c r="O166" s="421"/>
      <c r="P166" s="421"/>
      <c r="Q166" s="533"/>
      <c r="R166" s="707"/>
      <c r="S166" s="707"/>
      <c r="T166" s="707"/>
      <c r="U166" s="707"/>
      <c r="V166" s="707"/>
      <c r="W166" s="707"/>
      <c r="X166" s="707"/>
      <c r="Y166" s="707"/>
      <c r="Z166" s="691">
        <v>1</v>
      </c>
      <c r="AA166" s="691"/>
      <c r="AB166" s="839"/>
    </row>
    <row r="167" spans="1:28" ht="45">
      <c r="A167" s="892"/>
      <c r="B167" s="850"/>
      <c r="C167" s="839"/>
      <c r="D167" s="897"/>
      <c r="E167" s="627" t="s">
        <v>417</v>
      </c>
      <c r="F167" s="418"/>
      <c r="G167" s="418"/>
      <c r="H167" s="419"/>
      <c r="I167" s="374">
        <f>+K167+L167+M167+Q167</f>
        <v>19000</v>
      </c>
      <c r="J167" s="418"/>
      <c r="K167" s="394"/>
      <c r="L167" s="418"/>
      <c r="M167" s="418"/>
      <c r="N167" s="418"/>
      <c r="O167" s="418"/>
      <c r="P167" s="418"/>
      <c r="Q167" s="534">
        <v>19000</v>
      </c>
      <c r="R167" s="707"/>
      <c r="S167" s="707"/>
      <c r="T167" s="707"/>
      <c r="U167" s="707"/>
      <c r="V167" s="707"/>
      <c r="W167" s="707"/>
      <c r="X167" s="707"/>
      <c r="Y167" s="707"/>
      <c r="Z167" s="707"/>
      <c r="AA167" s="707"/>
      <c r="AB167" s="839"/>
    </row>
    <row r="168" spans="1:28" ht="30.75" thickBot="1">
      <c r="A168" s="892"/>
      <c r="B168" s="894"/>
      <c r="C168" s="895"/>
      <c r="D168" s="898"/>
      <c r="E168" s="627" t="s">
        <v>544</v>
      </c>
      <c r="F168" s="535"/>
      <c r="G168" s="535"/>
      <c r="H168" s="535"/>
      <c r="I168" s="509">
        <f>K168+L168+N168+O168+Q168</f>
        <v>113562</v>
      </c>
      <c r="J168" s="535"/>
      <c r="K168" s="535"/>
      <c r="L168" s="535"/>
      <c r="M168" s="535"/>
      <c r="N168" s="535"/>
      <c r="O168" s="535"/>
      <c r="P168" s="535"/>
      <c r="Q168" s="536">
        <v>113562</v>
      </c>
      <c r="R168" s="708"/>
      <c r="S168" s="708"/>
      <c r="T168" s="708"/>
      <c r="U168" s="708"/>
      <c r="V168" s="708"/>
      <c r="W168" s="708"/>
      <c r="X168" s="708"/>
      <c r="Y168" s="708"/>
      <c r="Z168" s="708"/>
      <c r="AA168" s="707"/>
      <c r="AB168" s="899"/>
    </row>
    <row r="169" spans="1:28" ht="45.75" thickBot="1">
      <c r="A169" s="730"/>
      <c r="B169" s="578"/>
      <c r="C169" s="575"/>
      <c r="D169" s="579"/>
      <c r="E169" s="627" t="s">
        <v>595</v>
      </c>
      <c r="F169" s="434"/>
      <c r="G169" s="434"/>
      <c r="H169" s="434"/>
      <c r="I169" s="509">
        <f>K169+L169+N169+O169+Q169</f>
        <v>21222</v>
      </c>
      <c r="J169" s="434"/>
      <c r="K169" s="434"/>
      <c r="L169" s="434"/>
      <c r="M169" s="434"/>
      <c r="N169" s="434"/>
      <c r="O169" s="434"/>
      <c r="P169" s="434"/>
      <c r="Q169" s="666">
        <v>21222</v>
      </c>
      <c r="R169" s="685"/>
      <c r="S169" s="685"/>
      <c r="T169" s="685"/>
      <c r="U169" s="685"/>
      <c r="V169" s="685"/>
      <c r="W169" s="685"/>
      <c r="X169" s="685"/>
      <c r="Y169" s="685"/>
      <c r="Z169" s="685"/>
      <c r="AA169" s="707"/>
      <c r="AB169" s="344"/>
    </row>
    <row r="170" spans="1:28" ht="30.75" thickBot="1">
      <c r="A170" s="577"/>
      <c r="B170" s="578"/>
      <c r="C170" s="575"/>
      <c r="D170" s="579"/>
      <c r="E170" s="627" t="s">
        <v>596</v>
      </c>
      <c r="F170" s="434"/>
      <c r="G170" s="434"/>
      <c r="H170" s="434"/>
      <c r="I170" s="509">
        <f>K170+L170+N170+O170+Q170</f>
        <v>2000</v>
      </c>
      <c r="J170" s="434"/>
      <c r="K170" s="434"/>
      <c r="L170" s="434"/>
      <c r="M170" s="434"/>
      <c r="N170" s="434"/>
      <c r="O170" s="434"/>
      <c r="P170" s="434"/>
      <c r="Q170" s="666">
        <v>2000</v>
      </c>
      <c r="R170" s="685"/>
      <c r="S170" s="685"/>
      <c r="T170" s="685"/>
      <c r="U170" s="685"/>
      <c r="V170" s="685"/>
      <c r="W170" s="685"/>
      <c r="X170" s="685"/>
      <c r="Y170" s="685"/>
      <c r="Z170" s="685"/>
      <c r="AA170" s="707"/>
      <c r="AB170" s="371"/>
    </row>
    <row r="171" spans="1:28" ht="45.75" thickBot="1">
      <c r="A171" s="727"/>
      <c r="B171" s="728"/>
      <c r="C171" s="575"/>
      <c r="D171" s="729"/>
      <c r="E171" s="665" t="s">
        <v>614</v>
      </c>
      <c r="F171" s="434"/>
      <c r="G171" s="434"/>
      <c r="H171" s="434"/>
      <c r="I171" s="521">
        <f>Q171</f>
        <v>23020</v>
      </c>
      <c r="J171" s="434"/>
      <c r="K171" s="434"/>
      <c r="L171" s="434"/>
      <c r="M171" s="434"/>
      <c r="N171" s="434"/>
      <c r="O171" s="434"/>
      <c r="P171" s="434"/>
      <c r="Q171" s="666">
        <v>23020</v>
      </c>
      <c r="R171" s="685"/>
      <c r="S171" s="685"/>
      <c r="T171" s="685"/>
      <c r="U171" s="685"/>
      <c r="V171" s="685"/>
      <c r="W171" s="685"/>
      <c r="X171" s="685"/>
      <c r="Y171" s="685"/>
      <c r="Z171" s="685"/>
      <c r="AA171" s="707"/>
      <c r="AB171" s="371"/>
    </row>
    <row r="172" spans="1:28" ht="15.75" thickBot="1">
      <c r="A172" s="351"/>
      <c r="B172" s="351"/>
      <c r="C172" s="351"/>
      <c r="D172" s="351"/>
      <c r="E172" s="610"/>
      <c r="F172" s="381"/>
      <c r="G172" s="381"/>
      <c r="H172" s="381"/>
      <c r="I172" s="381">
        <f>SUM(I163:I170)</f>
        <v>188785</v>
      </c>
      <c r="J172" s="381"/>
      <c r="K172" s="381"/>
      <c r="L172" s="381"/>
      <c r="M172" s="381"/>
      <c r="N172" s="381"/>
      <c r="O172" s="381"/>
      <c r="P172" s="381"/>
      <c r="Q172" s="537">
        <f>SUM(Q163:Q171)</f>
        <v>211804</v>
      </c>
      <c r="R172" s="381"/>
      <c r="S172" s="381"/>
      <c r="T172" s="381"/>
      <c r="U172" s="381"/>
      <c r="V172" s="381"/>
      <c r="W172" s="381"/>
      <c r="X172" s="381"/>
      <c r="Y172" s="381"/>
      <c r="Z172" s="381">
        <f>SUM(Z166:Z170)</f>
        <v>1</v>
      </c>
      <c r="AA172" s="381"/>
      <c r="AB172" s="381"/>
    </row>
    <row r="173" spans="1:28" ht="15.75" thickBot="1">
      <c r="A173" s="427"/>
      <c r="B173" s="427"/>
      <c r="C173" s="427"/>
      <c r="D173" s="427"/>
      <c r="E173" s="595"/>
      <c r="F173" s="414"/>
      <c r="G173" s="414"/>
      <c r="H173" s="414"/>
      <c r="I173" s="493"/>
      <c r="J173" s="414"/>
      <c r="K173" s="414"/>
      <c r="L173" s="414"/>
      <c r="M173" s="414"/>
      <c r="N173" s="414"/>
      <c r="O173" s="414"/>
      <c r="P173" s="526"/>
      <c r="Q173" s="709"/>
      <c r="R173" s="710"/>
      <c r="S173" s="710"/>
      <c r="T173" s="710"/>
      <c r="U173" s="710"/>
      <c r="V173" s="710"/>
      <c r="W173" s="710"/>
      <c r="X173" s="710"/>
      <c r="Y173" s="710"/>
      <c r="Z173" s="710"/>
      <c r="AA173" s="710"/>
      <c r="AB173" s="710"/>
    </row>
    <row r="174" spans="1:28" ht="60">
      <c r="A174" s="834" t="s">
        <v>545</v>
      </c>
      <c r="B174" s="836" t="s">
        <v>546</v>
      </c>
      <c r="C174" s="847" t="s">
        <v>547</v>
      </c>
      <c r="D174" s="848"/>
      <c r="E174" s="626" t="s">
        <v>548</v>
      </c>
      <c r="F174" s="538">
        <v>1</v>
      </c>
      <c r="G174" s="538">
        <v>1</v>
      </c>
      <c r="H174" s="538">
        <v>1</v>
      </c>
      <c r="I174" s="520">
        <f>K174+L174+M174+N174+O174+Q174</f>
        <v>70274</v>
      </c>
      <c r="J174" s="477"/>
      <c r="K174" s="477"/>
      <c r="L174" s="477"/>
      <c r="M174" s="477"/>
      <c r="N174" s="477"/>
      <c r="O174" s="477"/>
      <c r="P174" s="418"/>
      <c r="Q174" s="530">
        <v>70274</v>
      </c>
      <c r="R174" s="529"/>
      <c r="S174" s="529"/>
      <c r="T174" s="529"/>
      <c r="U174" s="529"/>
      <c r="V174" s="529"/>
      <c r="W174" s="529"/>
      <c r="X174" s="529"/>
      <c r="Y174" s="529"/>
      <c r="Z174" s="529"/>
      <c r="AA174" s="529"/>
      <c r="AB174" s="690" t="s">
        <v>542</v>
      </c>
    </row>
    <row r="175" spans="1:28" ht="60.75" thickBot="1">
      <c r="A175" s="835"/>
      <c r="B175" s="837"/>
      <c r="C175" s="839"/>
      <c r="D175" s="849"/>
      <c r="E175" s="647" t="s">
        <v>553</v>
      </c>
      <c r="F175" s="450">
        <v>1</v>
      </c>
      <c r="G175" s="450">
        <v>1</v>
      </c>
      <c r="H175" s="450">
        <v>1</v>
      </c>
      <c r="I175" s="374">
        <f>J175+K175+L175+M175+N175+O175+Q175</f>
        <v>44428</v>
      </c>
      <c r="J175" s="446"/>
      <c r="K175" s="446"/>
      <c r="L175" s="446"/>
      <c r="M175" s="446"/>
      <c r="N175" s="446"/>
      <c r="O175" s="446"/>
      <c r="P175" s="418"/>
      <c r="Q175" s="530">
        <v>44428</v>
      </c>
      <c r="R175" s="694"/>
      <c r="S175" s="695"/>
      <c r="T175" s="695"/>
      <c r="U175" s="695"/>
      <c r="V175" s="695"/>
      <c r="W175" s="695"/>
      <c r="X175" s="695"/>
      <c r="Y175" s="695"/>
      <c r="Z175" s="695"/>
      <c r="AA175" s="695"/>
      <c r="AB175" s="686" t="s">
        <v>542</v>
      </c>
    </row>
    <row r="176" spans="1:28" ht="90">
      <c r="A176" s="835"/>
      <c r="B176" s="837"/>
      <c r="C176" s="839"/>
      <c r="D176" s="849"/>
      <c r="E176" s="625" t="s">
        <v>549</v>
      </c>
      <c r="F176" s="449">
        <v>1</v>
      </c>
      <c r="G176" s="449">
        <v>1</v>
      </c>
      <c r="H176" s="449">
        <v>1</v>
      </c>
      <c r="I176" s="374">
        <f>M176+N176+O176+Q176</f>
        <v>20000</v>
      </c>
      <c r="J176" s="446"/>
      <c r="K176" s="446"/>
      <c r="L176" s="446"/>
      <c r="M176" s="446"/>
      <c r="N176" s="446"/>
      <c r="O176" s="446"/>
      <c r="P176" s="418"/>
      <c r="Q176" s="530">
        <v>20000</v>
      </c>
      <c r="R176" s="692"/>
      <c r="S176" s="692"/>
      <c r="T176" s="692"/>
      <c r="U176" s="692"/>
      <c r="V176" s="692"/>
      <c r="W176" s="692"/>
      <c r="X176" s="692"/>
      <c r="Y176" s="692"/>
      <c r="Z176" s="692"/>
      <c r="AA176" s="692"/>
      <c r="AB176" s="687" t="s">
        <v>542</v>
      </c>
    </row>
    <row r="177" spans="1:28" ht="38.25">
      <c r="A177" s="835"/>
      <c r="B177" s="837"/>
      <c r="C177" s="839"/>
      <c r="D177" s="849"/>
      <c r="E177" s="627" t="s">
        <v>550</v>
      </c>
      <c r="F177" s="450">
        <v>1</v>
      </c>
      <c r="G177" s="450">
        <v>1</v>
      </c>
      <c r="H177" s="450">
        <v>1</v>
      </c>
      <c r="I177" s="374">
        <f>K177+L177+M177+N177+O177+Q177</f>
        <v>5225</v>
      </c>
      <c r="J177" s="446"/>
      <c r="K177" s="446"/>
      <c r="L177" s="446"/>
      <c r="M177" s="446"/>
      <c r="N177" s="446"/>
      <c r="O177" s="446"/>
      <c r="P177" s="418"/>
      <c r="Q177" s="530">
        <v>5225</v>
      </c>
      <c r="R177" s="545"/>
      <c r="S177" s="693"/>
      <c r="T177" s="693"/>
      <c r="U177" s="693"/>
      <c r="V177" s="693"/>
      <c r="W177" s="711"/>
      <c r="X177" s="711"/>
      <c r="Y177" s="711"/>
      <c r="Z177" s="711"/>
      <c r="AA177" s="711"/>
      <c r="AB177" s="687" t="s">
        <v>551</v>
      </c>
    </row>
    <row r="178" spans="1:28" ht="15.75" thickBot="1">
      <c r="A178" s="835"/>
      <c r="B178" s="837"/>
      <c r="C178" s="839"/>
      <c r="D178" s="849"/>
      <c r="E178" s="627" t="s">
        <v>552</v>
      </c>
      <c r="F178" s="450"/>
      <c r="G178" s="450"/>
      <c r="H178" s="450"/>
      <c r="I178" s="374">
        <f>J178+K178+L175+L178+M178+N178+O178+Q178+R178+S178+T178+U178+V178+Z178</f>
        <v>100000</v>
      </c>
      <c r="J178" s="446"/>
      <c r="K178" s="446"/>
      <c r="L178" s="446"/>
      <c r="M178" s="446"/>
      <c r="N178" s="446"/>
      <c r="O178" s="446"/>
      <c r="P178" s="418"/>
      <c r="Q178" s="691"/>
      <c r="R178" s="545"/>
      <c r="S178" s="693"/>
      <c r="T178" s="693"/>
      <c r="U178" s="693"/>
      <c r="V178" s="693"/>
      <c r="W178" s="693"/>
      <c r="X178" s="693"/>
      <c r="Y178" s="693"/>
      <c r="Z178" s="715">
        <f>100000000/1000</f>
        <v>100000</v>
      </c>
      <c r="AA178" s="691"/>
      <c r="AB178" s="687"/>
    </row>
    <row r="179" spans="1:28" ht="22.5" customHeight="1" thickBot="1">
      <c r="A179" s="351"/>
      <c r="B179" s="351"/>
      <c r="C179" s="351"/>
      <c r="D179" s="351"/>
      <c r="E179" s="351"/>
      <c r="F179" s="351"/>
      <c r="G179" s="351"/>
      <c r="H179" s="351"/>
      <c r="I179" s="351">
        <f>SUM(I174:I178)</f>
        <v>239927</v>
      </c>
      <c r="J179" s="351"/>
      <c r="K179" s="351"/>
      <c r="L179" s="351"/>
      <c r="M179" s="351"/>
      <c r="N179" s="351"/>
      <c r="O179" s="351"/>
      <c r="P179" s="381"/>
      <c r="Q179" s="381">
        <f>SUM(Q174:Q178)</f>
        <v>139927</v>
      </c>
      <c r="R179" s="351"/>
      <c r="S179" s="351"/>
      <c r="T179" s="351"/>
      <c r="U179" s="351"/>
      <c r="V179" s="351"/>
      <c r="W179" s="351"/>
      <c r="X179" s="351"/>
      <c r="Y179" s="351"/>
      <c r="Z179" s="351">
        <f>SUM(Z178)</f>
        <v>100000</v>
      </c>
      <c r="AA179" s="351"/>
      <c r="AB179" s="351"/>
    </row>
    <row r="180" spans="1:28" ht="15.75" thickBot="1">
      <c r="A180" s="524"/>
      <c r="B180" s="427"/>
      <c r="C180" s="744"/>
      <c r="D180" s="667"/>
      <c r="E180" s="668"/>
      <c r="F180" s="526"/>
      <c r="G180" s="526"/>
      <c r="H180" s="526"/>
      <c r="I180" s="669"/>
      <c r="J180" s="526"/>
      <c r="K180" s="526"/>
      <c r="L180" s="526"/>
      <c r="M180" s="526"/>
      <c r="N180" s="526"/>
      <c r="O180" s="526"/>
      <c r="P180" s="526"/>
      <c r="Q180" s="712"/>
      <c r="R180" s="712"/>
      <c r="S180" s="712"/>
      <c r="T180" s="712"/>
      <c r="U180" s="712"/>
      <c r="V180" s="712"/>
      <c r="W180" s="712"/>
      <c r="X180" s="712"/>
      <c r="Y180" s="712"/>
      <c r="Z180" s="712"/>
      <c r="AA180" s="712"/>
      <c r="AB180" s="712"/>
    </row>
    <row r="181" spans="1:28" ht="45">
      <c r="A181" s="834" t="s">
        <v>599</v>
      </c>
      <c r="B181" s="836" t="s">
        <v>600</v>
      </c>
      <c r="C181" s="838" t="s">
        <v>601</v>
      </c>
      <c r="D181" s="845"/>
      <c r="E181" s="671" t="s">
        <v>597</v>
      </c>
      <c r="F181" s="421"/>
      <c r="G181" s="421"/>
      <c r="H181" s="421"/>
      <c r="I181" s="374">
        <f>J181+K181+L181+M181+N181+O181+Q181</f>
        <v>72373</v>
      </c>
      <c r="J181" s="421"/>
      <c r="K181" s="421"/>
      <c r="L181" s="421"/>
      <c r="M181" s="659">
        <v>18093</v>
      </c>
      <c r="N181" s="421"/>
      <c r="O181" s="421"/>
      <c r="P181" s="421"/>
      <c r="Q181" s="659">
        <v>54280</v>
      </c>
      <c r="R181" s="707"/>
      <c r="S181" s="707"/>
      <c r="T181" s="707"/>
      <c r="U181" s="707"/>
      <c r="V181" s="707"/>
      <c r="W181" s="707"/>
      <c r="X181" s="707"/>
      <c r="Y181" s="707"/>
      <c r="Z181" s="707"/>
      <c r="AA181" s="707"/>
      <c r="AB181" s="707"/>
    </row>
    <row r="182" spans="1:28" ht="18" customHeight="1">
      <c r="A182" s="835"/>
      <c r="B182" s="837"/>
      <c r="C182" s="839"/>
      <c r="D182" s="846"/>
      <c r="E182" s="671" t="s">
        <v>598</v>
      </c>
      <c r="F182" s="421"/>
      <c r="G182" s="421"/>
      <c r="H182" s="421"/>
      <c r="I182" s="374">
        <f>J182+K182+L182+M182+N182+O182+Q182</f>
        <v>6200</v>
      </c>
      <c r="J182" s="421"/>
      <c r="K182" s="421"/>
      <c r="L182" s="421"/>
      <c r="M182" s="659">
        <v>1550</v>
      </c>
      <c r="N182" s="421"/>
      <c r="O182" s="421"/>
      <c r="P182" s="421"/>
      <c r="Q182" s="659">
        <v>4650</v>
      </c>
      <c r="R182" s="707"/>
      <c r="S182" s="707"/>
      <c r="T182" s="707"/>
      <c r="U182" s="707"/>
      <c r="V182" s="707"/>
      <c r="W182" s="707"/>
      <c r="X182" s="707"/>
      <c r="Y182" s="707"/>
      <c r="Z182" s="707"/>
      <c r="AA182" s="707"/>
      <c r="AB182" s="707"/>
    </row>
    <row r="183" spans="1:28" ht="15.75" hidden="1" thickBot="1">
      <c r="A183" s="835"/>
      <c r="B183" s="837"/>
      <c r="C183" s="839"/>
      <c r="D183" s="351"/>
      <c r="E183" s="351"/>
      <c r="F183" s="351"/>
      <c r="G183" s="351"/>
      <c r="H183" s="351"/>
      <c r="I183" s="351">
        <f>SUM(I181:I182)</f>
        <v>78573</v>
      </c>
      <c r="J183" s="351"/>
      <c r="K183" s="351"/>
      <c r="L183" s="351"/>
      <c r="M183" s="351">
        <f>SUM(M181:M182)</f>
        <v>19643</v>
      </c>
      <c r="N183" s="351"/>
      <c r="O183" s="351"/>
      <c r="P183" s="351"/>
      <c r="Q183" s="351">
        <f>SUM(Q181:Q182)</f>
        <v>58930</v>
      </c>
      <c r="R183" s="351"/>
      <c r="S183" s="351"/>
      <c r="T183" s="351"/>
      <c r="U183" s="351"/>
      <c r="V183" s="351"/>
      <c r="W183" s="351"/>
      <c r="X183" s="351"/>
      <c r="Y183" s="351"/>
      <c r="Z183" s="351"/>
      <c r="AA183" s="351"/>
      <c r="AB183" s="351"/>
    </row>
    <row r="184" spans="1:28" ht="15" hidden="1">
      <c r="A184" s="835"/>
      <c r="B184" s="837"/>
      <c r="C184" s="839"/>
      <c r="D184" s="668"/>
      <c r="E184" s="526"/>
      <c r="F184" s="526"/>
      <c r="G184" s="526"/>
      <c r="H184" s="669"/>
      <c r="I184" s="526"/>
      <c r="J184" s="526"/>
      <c r="K184" s="526"/>
      <c r="L184" s="526"/>
      <c r="M184" s="526"/>
      <c r="N184" s="526"/>
      <c r="O184" s="526"/>
      <c r="P184" s="526"/>
      <c r="Q184" s="526"/>
      <c r="R184" s="526"/>
      <c r="S184" s="526"/>
      <c r="T184" s="526"/>
      <c r="U184" s="526"/>
      <c r="V184" s="526"/>
      <c r="W184" s="526"/>
      <c r="X184" s="526"/>
      <c r="Y184" s="526"/>
      <c r="Z184" s="526"/>
      <c r="AA184" s="526"/>
      <c r="AB184" s="526"/>
    </row>
    <row r="185" spans="1:28" ht="15" hidden="1">
      <c r="A185" s="835"/>
      <c r="B185" s="837"/>
      <c r="C185" s="839"/>
      <c r="D185" s="468"/>
      <c r="E185" s="462"/>
      <c r="F185" s="462"/>
      <c r="G185" s="462"/>
      <c r="H185" s="464"/>
      <c r="I185" s="462"/>
      <c r="J185" s="462"/>
      <c r="K185" s="462"/>
      <c r="L185" s="462"/>
      <c r="M185" s="462"/>
      <c r="N185" s="462"/>
      <c r="O185" s="462"/>
      <c r="P185" s="462"/>
      <c r="Q185" s="462"/>
      <c r="R185" s="462"/>
      <c r="S185" s="462"/>
      <c r="T185" s="462"/>
      <c r="U185" s="462"/>
      <c r="V185" s="462"/>
      <c r="W185" s="462"/>
      <c r="X185" s="462"/>
      <c r="Y185" s="462"/>
      <c r="Z185" s="462"/>
      <c r="AA185" s="462"/>
      <c r="AB185" s="462"/>
    </row>
    <row r="186" spans="1:28" ht="15" hidden="1">
      <c r="A186" s="835"/>
      <c r="B186" s="837"/>
      <c r="C186" s="839"/>
      <c r="D186" s="670"/>
      <c r="E186" s="672"/>
      <c r="F186" s="672"/>
      <c r="G186" s="672"/>
      <c r="H186" s="673"/>
      <c r="I186" s="672"/>
      <c r="J186" s="672"/>
      <c r="K186" s="672"/>
      <c r="L186" s="672"/>
      <c r="M186" s="672"/>
      <c r="N186" s="672"/>
      <c r="O186" s="672"/>
      <c r="P186" s="672"/>
      <c r="Q186" s="672"/>
      <c r="R186" s="672"/>
      <c r="S186" s="672"/>
      <c r="T186" s="672"/>
      <c r="U186" s="672"/>
      <c r="V186" s="672"/>
      <c r="W186" s="672"/>
      <c r="X186" s="672"/>
      <c r="Y186" s="672"/>
      <c r="Z186" s="672"/>
      <c r="AA186" s="672"/>
      <c r="AB186" s="672"/>
    </row>
    <row r="187" spans="1:28" ht="15" hidden="1">
      <c r="A187" s="835"/>
      <c r="B187" s="837"/>
      <c r="C187" s="839"/>
      <c r="D187" s="288"/>
      <c r="F187" s="540"/>
      <c r="G187" s="541" t="s">
        <v>554</v>
      </c>
      <c r="H187" s="542"/>
      <c r="I187" s="543">
        <f>I13+I24+I46+I59+I69+I78+I84+I89+I99+I105+I113+I123+I127+I144+I153+I161+I172+I179</f>
        <v>13642746.319500001</v>
      </c>
      <c r="J187" s="548">
        <f>SUM(J10:J178)</f>
        <v>0</v>
      </c>
      <c r="K187" s="548">
        <f>SUM(K24+K46+K144)</f>
        <v>164671.5</v>
      </c>
      <c r="L187" s="548">
        <f>SUM(L24)</f>
        <v>1240122.426</v>
      </c>
      <c r="M187" s="548">
        <f>M59+M183</f>
        <v>1494545.4155000001</v>
      </c>
      <c r="N187" s="548">
        <f>SUM(N46)</f>
        <v>5665777.347</v>
      </c>
      <c r="O187" s="548">
        <f>O64</f>
        <v>104798</v>
      </c>
      <c r="P187" s="548">
        <f>P78</f>
        <v>78598</v>
      </c>
      <c r="Q187" s="548">
        <f>Q84+Q89+Q99+Q105+Q113+Q123+Q127+Q144+Q153+Q161+Q172+Q179+Q183</f>
        <v>1056129</v>
      </c>
      <c r="R187" s="548">
        <f>R120</f>
        <v>67457</v>
      </c>
      <c r="S187" s="548">
        <f>SUM(S13:S180)</f>
        <v>236329.26</v>
      </c>
      <c r="T187" s="548">
        <f>T27</f>
        <v>2787865.523</v>
      </c>
      <c r="U187" s="548">
        <f>U105</f>
        <v>0</v>
      </c>
      <c r="V187" s="548">
        <f>V59+V105+V113+V123</f>
        <v>3</v>
      </c>
      <c r="W187" s="548">
        <f>W46</f>
        <v>249716</v>
      </c>
      <c r="X187" s="548">
        <f>X46</f>
        <v>65000</v>
      </c>
      <c r="Y187" s="548">
        <f>(Y59)</f>
        <v>2</v>
      </c>
      <c r="Z187" s="548">
        <f>Z24+Z46+Z84+Z113+Z123+Z144+Z172+Z179</f>
        <v>589124</v>
      </c>
      <c r="AA187" s="548">
        <f>AA24</f>
        <v>1</v>
      </c>
      <c r="AB187" s="539"/>
    </row>
    <row r="188" spans="1:28" ht="15.75" hidden="1" thickBot="1">
      <c r="A188" s="835"/>
      <c r="B188" s="837"/>
      <c r="C188" s="839"/>
      <c r="D188" s="749"/>
      <c r="F188" s="540"/>
      <c r="G188" s="855" t="s">
        <v>555</v>
      </c>
      <c r="H188" s="855"/>
      <c r="I188" s="543"/>
      <c r="J188" s="543">
        <v>0</v>
      </c>
      <c r="K188" s="543">
        <v>140250</v>
      </c>
      <c r="L188" s="717">
        <v>1140347</v>
      </c>
      <c r="M188" s="750">
        <v>1286419</v>
      </c>
      <c r="N188" s="717">
        <v>4734301</v>
      </c>
      <c r="O188" s="717">
        <v>101826</v>
      </c>
      <c r="P188" s="717">
        <v>76370</v>
      </c>
      <c r="Q188" s="717">
        <v>1023606</v>
      </c>
      <c r="R188" s="717">
        <v>64493</v>
      </c>
      <c r="S188" s="718">
        <v>223757</v>
      </c>
      <c r="T188" s="543">
        <v>3161818</v>
      </c>
      <c r="U188" s="546">
        <v>54</v>
      </c>
      <c r="V188" s="543">
        <v>11</v>
      </c>
      <c r="W188" s="543">
        <v>249716</v>
      </c>
      <c r="X188" s="543">
        <v>65000</v>
      </c>
      <c r="Y188" s="543">
        <v>2</v>
      </c>
      <c r="Z188" s="543">
        <v>453078</v>
      </c>
      <c r="AA188" s="543">
        <v>1</v>
      </c>
      <c r="AB188" s="547"/>
    </row>
    <row r="189" spans="1:256" s="745" customFormat="1" ht="15">
      <c r="A189" s="751"/>
      <c r="B189" s="751"/>
      <c r="C189" s="751"/>
      <c r="D189" s="751"/>
      <c r="E189" s="751"/>
      <c r="F189" s="751"/>
      <c r="G189" s="751"/>
      <c r="H189" s="751"/>
      <c r="I189" s="751"/>
      <c r="J189" s="751"/>
      <c r="K189" s="751"/>
      <c r="L189" s="751"/>
      <c r="M189" s="751">
        <f>M181+M182</f>
        <v>19643</v>
      </c>
      <c r="N189" s="751"/>
      <c r="O189" s="751"/>
      <c r="P189" s="751"/>
      <c r="Q189" s="751">
        <f>Q181+Q182</f>
        <v>58930</v>
      </c>
      <c r="R189" s="751"/>
      <c r="S189" s="751"/>
      <c r="T189" s="751"/>
      <c r="U189" s="751"/>
      <c r="V189" s="751"/>
      <c r="W189" s="751"/>
      <c r="X189" s="751"/>
      <c r="Y189" s="751"/>
      <c r="Z189" s="751"/>
      <c r="AA189" s="751"/>
      <c r="AB189" s="751"/>
      <c r="AC189" s="748"/>
      <c r="AD189" s="748"/>
      <c r="AE189" s="748"/>
      <c r="AF189" s="748"/>
      <c r="AG189" s="748"/>
      <c r="AH189" s="748"/>
      <c r="AI189" s="748"/>
      <c r="AJ189" s="748"/>
      <c r="AK189" s="748"/>
      <c r="AL189" s="748"/>
      <c r="AM189" s="748"/>
      <c r="AN189" s="748"/>
      <c r="AO189" s="748"/>
      <c r="AP189" s="748"/>
      <c r="AQ189" s="748"/>
      <c r="AR189" s="748"/>
      <c r="AS189" s="748"/>
      <c r="AT189" s="748"/>
      <c r="AU189" s="748"/>
      <c r="AV189" s="748"/>
      <c r="AW189" s="748"/>
      <c r="AX189" s="748"/>
      <c r="AY189" s="748"/>
      <c r="AZ189" s="748"/>
      <c r="BA189" s="748"/>
      <c r="BB189" s="748"/>
      <c r="BC189" s="748"/>
      <c r="BD189" s="748"/>
      <c r="BE189" s="748"/>
      <c r="BF189" s="748"/>
      <c r="BG189" s="748"/>
      <c r="BH189" s="748"/>
      <c r="BI189" s="748"/>
      <c r="BJ189" s="748"/>
      <c r="BK189" s="748"/>
      <c r="BL189" s="748"/>
      <c r="BM189" s="748"/>
      <c r="BN189" s="748"/>
      <c r="BO189" s="748"/>
      <c r="BP189" s="748"/>
      <c r="BQ189" s="748"/>
      <c r="BR189" s="748"/>
      <c r="BS189" s="748"/>
      <c r="BT189" s="748"/>
      <c r="BU189" s="748"/>
      <c r="BV189" s="748"/>
      <c r="BW189" s="748"/>
      <c r="BX189" s="748"/>
      <c r="BY189" s="748"/>
      <c r="BZ189" s="748"/>
      <c r="CA189" s="748"/>
      <c r="CB189" s="748"/>
      <c r="CC189" s="748"/>
      <c r="CD189" s="748"/>
      <c r="CE189" s="748"/>
      <c r="CF189" s="748"/>
      <c r="CG189" s="748"/>
      <c r="CH189" s="748"/>
      <c r="CI189" s="748"/>
      <c r="CJ189" s="748"/>
      <c r="CK189" s="748"/>
      <c r="CL189" s="748"/>
      <c r="CM189" s="748"/>
      <c r="CN189" s="748"/>
      <c r="CO189" s="748"/>
      <c r="CP189" s="748"/>
      <c r="CQ189" s="748"/>
      <c r="CR189" s="748"/>
      <c r="CS189" s="748"/>
      <c r="CT189" s="748"/>
      <c r="CU189" s="748"/>
      <c r="CV189" s="748"/>
      <c r="CW189" s="748"/>
      <c r="CX189" s="748"/>
      <c r="CY189" s="748"/>
      <c r="CZ189" s="748"/>
      <c r="DA189" s="748"/>
      <c r="DB189" s="748"/>
      <c r="DC189" s="748"/>
      <c r="DD189" s="748"/>
      <c r="DE189" s="748"/>
      <c r="DF189" s="748"/>
      <c r="DG189" s="748"/>
      <c r="DH189" s="748"/>
      <c r="DI189" s="748"/>
      <c r="DJ189" s="748"/>
      <c r="DK189" s="748"/>
      <c r="DL189" s="748"/>
      <c r="DM189" s="748"/>
      <c r="DN189" s="748"/>
      <c r="DO189" s="748"/>
      <c r="DP189" s="748"/>
      <c r="DQ189" s="748"/>
      <c r="DR189" s="748"/>
      <c r="DS189" s="748"/>
      <c r="DT189" s="748"/>
      <c r="DU189" s="748"/>
      <c r="DV189" s="748"/>
      <c r="DW189" s="748"/>
      <c r="DX189" s="748"/>
      <c r="DY189" s="748"/>
      <c r="DZ189" s="748"/>
      <c r="EA189" s="748"/>
      <c r="EB189" s="748"/>
      <c r="EC189" s="748"/>
      <c r="ED189" s="748"/>
      <c r="EE189" s="748"/>
      <c r="EF189" s="748"/>
      <c r="EG189" s="748"/>
      <c r="EH189" s="748"/>
      <c r="EI189" s="748"/>
      <c r="EJ189" s="748"/>
      <c r="EK189" s="748"/>
      <c r="EL189" s="748"/>
      <c r="EM189" s="748"/>
      <c r="EN189" s="748"/>
      <c r="EO189" s="748"/>
      <c r="EP189" s="748"/>
      <c r="EQ189" s="748"/>
      <c r="ER189" s="748"/>
      <c r="ES189" s="748"/>
      <c r="ET189" s="748"/>
      <c r="EU189" s="748"/>
      <c r="EV189" s="748"/>
      <c r="EW189" s="748"/>
      <c r="EX189" s="748"/>
      <c r="EY189" s="748"/>
      <c r="EZ189" s="748"/>
      <c r="FA189" s="748"/>
      <c r="FB189" s="748"/>
      <c r="FC189" s="748"/>
      <c r="FD189" s="748"/>
      <c r="FE189" s="748"/>
      <c r="FF189" s="748"/>
      <c r="FG189" s="748"/>
      <c r="FH189" s="748"/>
      <c r="FI189" s="748"/>
      <c r="FJ189" s="748"/>
      <c r="FK189" s="748"/>
      <c r="FL189" s="748"/>
      <c r="FM189" s="748"/>
      <c r="FN189" s="748"/>
      <c r="FO189" s="748"/>
      <c r="FP189" s="748"/>
      <c r="FQ189" s="748"/>
      <c r="FR189" s="748"/>
      <c r="FS189" s="748"/>
      <c r="FT189" s="748"/>
      <c r="FU189" s="748"/>
      <c r="FV189" s="748"/>
      <c r="FW189" s="748"/>
      <c r="FX189" s="748"/>
      <c r="FY189" s="748"/>
      <c r="FZ189" s="748"/>
      <c r="GA189" s="748"/>
      <c r="GB189" s="748"/>
      <c r="GC189" s="748"/>
      <c r="GD189" s="748"/>
      <c r="GE189" s="748"/>
      <c r="GF189" s="748"/>
      <c r="GG189" s="748"/>
      <c r="GH189" s="748"/>
      <c r="GI189" s="748"/>
      <c r="GJ189" s="748"/>
      <c r="GK189" s="748"/>
      <c r="GL189" s="748"/>
      <c r="GM189" s="748"/>
      <c r="GN189" s="748"/>
      <c r="GO189" s="748"/>
      <c r="GP189" s="748"/>
      <c r="GQ189" s="748"/>
      <c r="GR189" s="748"/>
      <c r="GS189" s="748"/>
      <c r="GT189" s="748"/>
      <c r="GU189" s="748"/>
      <c r="GV189" s="748"/>
      <c r="GW189" s="748"/>
      <c r="GX189" s="748"/>
      <c r="GY189" s="748"/>
      <c r="GZ189" s="748"/>
      <c r="HA189" s="748"/>
      <c r="HB189" s="748"/>
      <c r="HC189" s="748"/>
      <c r="HD189" s="748"/>
      <c r="HE189" s="748"/>
      <c r="HF189" s="748"/>
      <c r="HG189" s="748"/>
      <c r="HH189" s="748"/>
      <c r="HI189" s="748"/>
      <c r="HJ189" s="748"/>
      <c r="HK189" s="748"/>
      <c r="HL189" s="748"/>
      <c r="HM189" s="748"/>
      <c r="HN189" s="748"/>
      <c r="HO189" s="748"/>
      <c r="HP189" s="748"/>
      <c r="HQ189" s="748"/>
      <c r="HR189" s="748"/>
      <c r="HS189" s="748"/>
      <c r="HT189" s="748"/>
      <c r="HU189" s="748"/>
      <c r="HV189" s="748"/>
      <c r="HW189" s="748"/>
      <c r="HX189" s="748"/>
      <c r="HY189" s="748"/>
      <c r="HZ189" s="748"/>
      <c r="IA189" s="748"/>
      <c r="IB189" s="748"/>
      <c r="IC189" s="748"/>
      <c r="ID189" s="748"/>
      <c r="IE189" s="748"/>
      <c r="IF189" s="748"/>
      <c r="IG189" s="748"/>
      <c r="IH189" s="748"/>
      <c r="II189" s="748"/>
      <c r="IJ189" s="748"/>
      <c r="IK189" s="748"/>
      <c r="IL189" s="748"/>
      <c r="IM189" s="748"/>
      <c r="IN189" s="748"/>
      <c r="IO189" s="748"/>
      <c r="IP189" s="748"/>
      <c r="IQ189" s="748"/>
      <c r="IR189" s="748"/>
      <c r="IS189" s="748"/>
      <c r="IT189" s="748"/>
      <c r="IU189" s="748"/>
      <c r="IV189" s="748"/>
    </row>
    <row r="190" spans="7:28" s="747" customFormat="1" ht="18" customHeight="1">
      <c r="G190" s="768" t="s">
        <v>615</v>
      </c>
      <c r="H190" s="752"/>
      <c r="I190" s="755">
        <f>K190+L190+M190+N190+O190+P190+Q190+R190+S190+T190+V190+U190+W190+X190+Y190+Z190+AA190</f>
        <v>13800340.3195</v>
      </c>
      <c r="J190" s="753"/>
      <c r="K190" s="754">
        <f>K24+K46+K144</f>
        <v>164671.5</v>
      </c>
      <c r="L190" s="754">
        <f>L24</f>
        <v>1240122.426</v>
      </c>
      <c r="M190" s="754">
        <f>M59+M189</f>
        <v>1494545.4155000001</v>
      </c>
      <c r="N190" s="754">
        <f>N46</f>
        <v>5665777.347</v>
      </c>
      <c r="O190" s="754">
        <f>O69</f>
        <v>104798</v>
      </c>
      <c r="P190" s="754">
        <f>P78</f>
        <v>78598</v>
      </c>
      <c r="Q190" s="754">
        <f>Q84+Q89+Q99+Q105+Q113+Q123+Q127+Q144+Q153+Q161+Q172+Q179+Q189</f>
        <v>1056129</v>
      </c>
      <c r="R190" s="754">
        <f>R123</f>
        <v>67457</v>
      </c>
      <c r="S190" s="754">
        <f>S13</f>
        <v>236329.26</v>
      </c>
      <c r="T190" s="754">
        <f>T46</f>
        <v>2787865.523</v>
      </c>
      <c r="U190" s="754">
        <f>U46</f>
        <v>200.848</v>
      </c>
      <c r="V190" s="754">
        <f>V59+V113</f>
        <v>3</v>
      </c>
      <c r="W190" s="756">
        <f>W46</f>
        <v>249716</v>
      </c>
      <c r="X190" s="754">
        <f>X46</f>
        <v>65000</v>
      </c>
      <c r="Y190" s="754">
        <f>Y59</f>
        <v>2</v>
      </c>
      <c r="Z190" s="754">
        <f>Z24+Z46+Z84+Z113+Z123+Z144+Z172+Z179</f>
        <v>589124</v>
      </c>
      <c r="AA190" s="754">
        <f>AA24</f>
        <v>1</v>
      </c>
      <c r="AB190" s="753"/>
    </row>
    <row r="191" spans="1:256" s="746" customFormat="1" ht="15">
      <c r="A191" s="745"/>
      <c r="B191" s="745"/>
      <c r="C191" s="745"/>
      <c r="D191" s="745"/>
      <c r="E191" s="745"/>
      <c r="F191" s="745"/>
      <c r="G191" s="760" t="s">
        <v>555</v>
      </c>
      <c r="H191" s="758"/>
      <c r="I191" s="758"/>
      <c r="J191" s="761"/>
      <c r="K191" s="759">
        <v>164672</v>
      </c>
      <c r="L191" s="762">
        <v>1240122</v>
      </c>
      <c r="M191" s="762">
        <v>1494545</v>
      </c>
      <c r="N191" s="762">
        <v>5665777</v>
      </c>
      <c r="O191" s="762">
        <v>104798</v>
      </c>
      <c r="P191" s="763">
        <v>78598</v>
      </c>
      <c r="Q191" s="763">
        <v>1056129</v>
      </c>
      <c r="R191" s="763">
        <v>67457</v>
      </c>
      <c r="S191" s="763">
        <v>236329</v>
      </c>
      <c r="T191" s="763">
        <v>2787866</v>
      </c>
      <c r="U191" s="763">
        <v>201</v>
      </c>
      <c r="V191" s="762">
        <v>3</v>
      </c>
      <c r="W191" s="764">
        <v>249716</v>
      </c>
      <c r="X191" s="763">
        <v>65000</v>
      </c>
      <c r="Y191" s="764">
        <v>2</v>
      </c>
      <c r="Z191" s="763">
        <v>589124</v>
      </c>
      <c r="AA191" s="763">
        <v>1</v>
      </c>
      <c r="AB191" s="745"/>
      <c r="AC191" s="745"/>
      <c r="AD191" s="745"/>
      <c r="AE191" s="745"/>
      <c r="AF191" s="745"/>
      <c r="AG191" s="745"/>
      <c r="AH191" s="745"/>
      <c r="AI191" s="745"/>
      <c r="AJ191" s="745"/>
      <c r="AK191" s="745"/>
      <c r="AL191" s="745"/>
      <c r="AM191" s="745"/>
      <c r="AN191" s="745"/>
      <c r="AO191" s="745"/>
      <c r="AP191" s="745"/>
      <c r="AQ191" s="745"/>
      <c r="AR191" s="745"/>
      <c r="AS191" s="745"/>
      <c r="AT191" s="745"/>
      <c r="AU191" s="745"/>
      <c r="AV191" s="745"/>
      <c r="AW191" s="745"/>
      <c r="AX191" s="745"/>
      <c r="AY191" s="745"/>
      <c r="AZ191" s="745"/>
      <c r="BA191" s="745"/>
      <c r="BB191" s="745"/>
      <c r="BC191" s="745"/>
      <c r="BD191" s="745"/>
      <c r="BE191" s="745"/>
      <c r="BF191" s="745"/>
      <c r="BG191" s="745"/>
      <c r="BH191" s="745"/>
      <c r="BI191" s="745"/>
      <c r="BJ191" s="745"/>
      <c r="BK191" s="745"/>
      <c r="BL191" s="745"/>
      <c r="BM191" s="745"/>
      <c r="BN191" s="745"/>
      <c r="BO191" s="745"/>
      <c r="BP191" s="745"/>
      <c r="BQ191" s="745"/>
      <c r="BR191" s="745"/>
      <c r="BS191" s="745"/>
      <c r="BT191" s="745"/>
      <c r="BU191" s="745"/>
      <c r="BV191" s="745"/>
      <c r="BW191" s="745"/>
      <c r="BX191" s="745"/>
      <c r="BY191" s="745"/>
      <c r="BZ191" s="745"/>
      <c r="CA191" s="745"/>
      <c r="CB191" s="745"/>
      <c r="CC191" s="745"/>
      <c r="CD191" s="745"/>
      <c r="CE191" s="745"/>
      <c r="CF191" s="745"/>
      <c r="CG191" s="745"/>
      <c r="CH191" s="745"/>
      <c r="CI191" s="745"/>
      <c r="CJ191" s="745"/>
      <c r="CK191" s="745"/>
      <c r="CL191" s="745"/>
      <c r="CM191" s="745"/>
      <c r="CN191" s="745"/>
      <c r="CO191" s="745"/>
      <c r="CP191" s="745"/>
      <c r="CQ191" s="745"/>
      <c r="CR191" s="745"/>
      <c r="CS191" s="745"/>
      <c r="CT191" s="745"/>
      <c r="CU191" s="745"/>
      <c r="CV191" s="745"/>
      <c r="CW191" s="745"/>
      <c r="CX191" s="745"/>
      <c r="CY191" s="745"/>
      <c r="CZ191" s="745"/>
      <c r="DA191" s="745"/>
      <c r="DB191" s="745"/>
      <c r="DC191" s="745"/>
      <c r="DD191" s="745"/>
      <c r="DE191" s="745"/>
      <c r="DF191" s="745"/>
      <c r="DG191" s="745"/>
      <c r="DH191" s="745"/>
      <c r="DI191" s="745"/>
      <c r="DJ191" s="745"/>
      <c r="DK191" s="745"/>
      <c r="DL191" s="745"/>
      <c r="DM191" s="745"/>
      <c r="DN191" s="745"/>
      <c r="DO191" s="745"/>
      <c r="DP191" s="745"/>
      <c r="DQ191" s="745"/>
      <c r="DR191" s="745"/>
      <c r="DS191" s="745"/>
      <c r="DT191" s="745"/>
      <c r="DU191" s="745"/>
      <c r="DV191" s="745"/>
      <c r="DW191" s="745"/>
      <c r="DX191" s="745"/>
      <c r="DY191" s="745"/>
      <c r="DZ191" s="745"/>
      <c r="EA191" s="745"/>
      <c r="EB191" s="745"/>
      <c r="EC191" s="745"/>
      <c r="ED191" s="745"/>
      <c r="EE191" s="745"/>
      <c r="EF191" s="745"/>
      <c r="EG191" s="745"/>
      <c r="EH191" s="745"/>
      <c r="EI191" s="745"/>
      <c r="EJ191" s="745"/>
      <c r="EK191" s="745"/>
      <c r="EL191" s="745"/>
      <c r="EM191" s="745"/>
      <c r="EN191" s="745"/>
      <c r="EO191" s="745"/>
      <c r="EP191" s="745"/>
      <c r="EQ191" s="745"/>
      <c r="ER191" s="745"/>
      <c r="ES191" s="745"/>
      <c r="ET191" s="745"/>
      <c r="EU191" s="745"/>
      <c r="EV191" s="745"/>
      <c r="EW191" s="745"/>
      <c r="EX191" s="745"/>
      <c r="EY191" s="745"/>
      <c r="EZ191" s="745"/>
      <c r="FA191" s="745"/>
      <c r="FB191" s="745"/>
      <c r="FC191" s="745"/>
      <c r="FD191" s="745"/>
      <c r="FE191" s="745"/>
      <c r="FF191" s="745"/>
      <c r="FG191" s="745"/>
      <c r="FH191" s="745"/>
      <c r="FI191" s="745"/>
      <c r="FJ191" s="745"/>
      <c r="FK191" s="745"/>
      <c r="FL191" s="745"/>
      <c r="FM191" s="745"/>
      <c r="FN191" s="745"/>
      <c r="FO191" s="745"/>
      <c r="FP191" s="745"/>
      <c r="FQ191" s="745"/>
      <c r="FR191" s="745"/>
      <c r="FS191" s="745"/>
      <c r="FT191" s="745"/>
      <c r="FU191" s="745"/>
      <c r="FV191" s="745"/>
      <c r="FW191" s="745"/>
      <c r="FX191" s="745"/>
      <c r="FY191" s="745"/>
      <c r="FZ191" s="745"/>
      <c r="GA191" s="745"/>
      <c r="GB191" s="745"/>
      <c r="GC191" s="745"/>
      <c r="GD191" s="745"/>
      <c r="GE191" s="745"/>
      <c r="GF191" s="745"/>
      <c r="GG191" s="745"/>
      <c r="GH191" s="745"/>
      <c r="GI191" s="745"/>
      <c r="GJ191" s="745"/>
      <c r="GK191" s="745"/>
      <c r="GL191" s="745"/>
      <c r="GM191" s="745"/>
      <c r="GN191" s="745"/>
      <c r="GO191" s="745"/>
      <c r="GP191" s="745"/>
      <c r="GQ191" s="745"/>
      <c r="GR191" s="745"/>
      <c r="GS191" s="745"/>
      <c r="GT191" s="745"/>
      <c r="GU191" s="745"/>
      <c r="GV191" s="745"/>
      <c r="GW191" s="745"/>
      <c r="GX191" s="745"/>
      <c r="GY191" s="745"/>
      <c r="GZ191" s="745"/>
      <c r="HA191" s="745"/>
      <c r="HB191" s="745"/>
      <c r="HC191" s="745"/>
      <c r="HD191" s="745"/>
      <c r="HE191" s="745"/>
      <c r="HF191" s="745"/>
      <c r="HG191" s="745"/>
      <c r="HH191" s="745"/>
      <c r="HI191" s="745"/>
      <c r="HJ191" s="745"/>
      <c r="HK191" s="745"/>
      <c r="HL191" s="745"/>
      <c r="HM191" s="745"/>
      <c r="HN191" s="745"/>
      <c r="HO191" s="745"/>
      <c r="HP191" s="745"/>
      <c r="HQ191" s="745"/>
      <c r="HR191" s="745"/>
      <c r="HS191" s="745"/>
      <c r="HT191" s="745"/>
      <c r="HU191" s="745"/>
      <c r="HV191" s="745"/>
      <c r="HW191" s="745"/>
      <c r="HX191" s="745"/>
      <c r="HY191" s="745"/>
      <c r="HZ191" s="745"/>
      <c r="IA191" s="745"/>
      <c r="IB191" s="745"/>
      <c r="IC191" s="745"/>
      <c r="ID191" s="745"/>
      <c r="IE191" s="745"/>
      <c r="IF191" s="745"/>
      <c r="IG191" s="745"/>
      <c r="IH191" s="745"/>
      <c r="II191" s="745"/>
      <c r="IJ191" s="745"/>
      <c r="IK191" s="745"/>
      <c r="IL191" s="745"/>
      <c r="IM191" s="745"/>
      <c r="IN191" s="745"/>
      <c r="IO191" s="745"/>
      <c r="IP191" s="745"/>
      <c r="IQ191" s="745"/>
      <c r="IR191" s="745"/>
      <c r="IS191" s="745"/>
      <c r="IT191" s="745"/>
      <c r="IU191" s="745"/>
      <c r="IV191" s="745"/>
    </row>
    <row r="192" spans="6:28" ht="20.25" customHeight="1">
      <c r="F192" s="540"/>
      <c r="G192" s="765" t="s">
        <v>556</v>
      </c>
      <c r="H192" s="765"/>
      <c r="I192" s="766"/>
      <c r="J192" s="767">
        <f>SUM(J188-J187)</f>
        <v>0</v>
      </c>
      <c r="K192" s="767">
        <v>0</v>
      </c>
      <c r="L192" s="767">
        <f aca="true" t="shared" si="8" ref="L192:V192">SUM(L190-L191)</f>
        <v>0.42599999997764826</v>
      </c>
      <c r="M192" s="767">
        <f t="shared" si="8"/>
        <v>0.4155000001192093</v>
      </c>
      <c r="N192" s="767">
        <f t="shared" si="8"/>
        <v>0.3470000000670552</v>
      </c>
      <c r="O192" s="767">
        <f t="shared" si="8"/>
        <v>0</v>
      </c>
      <c r="P192" s="767">
        <f t="shared" si="8"/>
        <v>0</v>
      </c>
      <c r="Q192" s="767">
        <f t="shared" si="8"/>
        <v>0</v>
      </c>
      <c r="R192" s="767">
        <f t="shared" si="8"/>
        <v>0</v>
      </c>
      <c r="S192" s="767">
        <f t="shared" si="8"/>
        <v>0.2600000000093132</v>
      </c>
      <c r="T192" s="767">
        <f t="shared" si="8"/>
        <v>-0.4769999999552965</v>
      </c>
      <c r="U192" s="767">
        <f t="shared" si="8"/>
        <v>-0.1519999999999868</v>
      </c>
      <c r="V192" s="767">
        <f t="shared" si="8"/>
        <v>0</v>
      </c>
      <c r="W192" s="767">
        <f>SUM(W188-W187)</f>
        <v>0</v>
      </c>
      <c r="X192" s="767">
        <f>SUM(X188-X187)</f>
        <v>0</v>
      </c>
      <c r="Y192" s="767">
        <f>SUM(Y188-Y187)</f>
        <v>0</v>
      </c>
      <c r="Z192" s="767">
        <f>SUM(Z190-Z191)</f>
        <v>0</v>
      </c>
      <c r="AA192" s="767">
        <f>SUM(AA190-AA191)</f>
        <v>0</v>
      </c>
      <c r="AB192" s="549"/>
    </row>
    <row r="193" spans="6:28" ht="15">
      <c r="F193" s="540"/>
      <c r="G193" s="540"/>
      <c r="H193" s="540"/>
      <c r="I193" s="540"/>
      <c r="J193" s="540"/>
      <c r="K193" s="540"/>
      <c r="L193" s="540"/>
      <c r="M193" s="540"/>
      <c r="N193" s="549"/>
      <c r="O193" s="540"/>
      <c r="P193" s="540"/>
      <c r="AB193" s="540"/>
    </row>
    <row r="194" spans="4:28" ht="15">
      <c r="D194" t="s">
        <v>557</v>
      </c>
      <c r="F194" s="769"/>
      <c r="G194" s="856" t="s">
        <v>558</v>
      </c>
      <c r="H194" s="540" t="s">
        <v>559</v>
      </c>
      <c r="I194" s="719">
        <f>K190</f>
        <v>164671.5</v>
      </c>
      <c r="J194" s="720"/>
      <c r="K194" s="549"/>
      <c r="L194" s="540"/>
      <c r="M194" s="540"/>
      <c r="N194" s="540"/>
      <c r="O194" s="540"/>
      <c r="P194" s="540"/>
      <c r="AB194" s="540"/>
    </row>
    <row r="195" spans="6:28" ht="15">
      <c r="F195" s="540"/>
      <c r="G195" s="856"/>
      <c r="H195" s="540" t="s">
        <v>560</v>
      </c>
      <c r="I195" s="544">
        <f>SUM(L191+M191+N191+O191+P191+Q191+R191+S191+1)</f>
        <v>9943756</v>
      </c>
      <c r="J195" s="540"/>
      <c r="K195" s="549"/>
      <c r="L195" s="549"/>
      <c r="M195" s="549"/>
      <c r="N195" s="549"/>
      <c r="O195" s="540"/>
      <c r="P195" s="540"/>
      <c r="Q195" s="540"/>
      <c r="R195" s="540"/>
      <c r="S195" s="540"/>
      <c r="T195" s="540"/>
      <c r="U195" s="540"/>
      <c r="V195" s="540"/>
      <c r="W195" s="540"/>
      <c r="X195" s="540"/>
      <c r="Y195" s="540"/>
      <c r="Z195" s="549"/>
      <c r="AA195" s="549"/>
      <c r="AB195" s="540"/>
    </row>
    <row r="196" spans="6:28" ht="15">
      <c r="F196" s="540"/>
      <c r="G196" s="856"/>
      <c r="H196" s="540" t="s">
        <v>561</v>
      </c>
      <c r="I196" s="550">
        <f>T187</f>
        <v>2787865.523</v>
      </c>
      <c r="J196" s="540"/>
      <c r="K196" s="540"/>
      <c r="L196" s="540"/>
      <c r="M196" s="549"/>
      <c r="N196" s="540"/>
      <c r="O196" s="540"/>
      <c r="P196" s="540"/>
      <c r="Q196" s="540"/>
      <c r="R196" s="540"/>
      <c r="S196" s="540"/>
      <c r="T196" s="540"/>
      <c r="U196" s="540"/>
      <c r="V196" s="540"/>
      <c r="W196" s="540"/>
      <c r="X196" s="540"/>
      <c r="Y196" s="540"/>
      <c r="Z196" s="540"/>
      <c r="AA196" s="540"/>
      <c r="AB196" s="540"/>
    </row>
    <row r="197" spans="6:28" ht="15">
      <c r="F197" s="540"/>
      <c r="G197" s="856"/>
      <c r="H197" s="540" t="s">
        <v>562</v>
      </c>
      <c r="I197" s="551">
        <f>U191</f>
        <v>201</v>
      </c>
      <c r="J197" s="540"/>
      <c r="K197" s="540"/>
      <c r="L197" s="540"/>
      <c r="M197" s="540"/>
      <c r="N197" s="540"/>
      <c r="O197" s="540"/>
      <c r="P197" s="540"/>
      <c r="Q197" s="540"/>
      <c r="R197" s="540"/>
      <c r="S197" s="549"/>
      <c r="T197" s="540"/>
      <c r="U197" s="540"/>
      <c r="V197" s="540"/>
      <c r="W197" s="540"/>
      <c r="X197" s="540"/>
      <c r="Y197" s="540"/>
      <c r="Z197" s="540"/>
      <c r="AA197" s="540"/>
      <c r="AB197" s="540"/>
    </row>
    <row r="198" spans="6:28" ht="15">
      <c r="F198" s="540"/>
      <c r="G198" s="856"/>
      <c r="H198" s="540" t="s">
        <v>563</v>
      </c>
      <c r="I198" s="543">
        <f>J187</f>
        <v>0</v>
      </c>
      <c r="J198" s="540"/>
      <c r="K198" s="540"/>
      <c r="L198" s="549"/>
      <c r="M198" s="549"/>
      <c r="N198" s="540"/>
      <c r="O198" s="540"/>
      <c r="P198" s="540"/>
      <c r="Q198" s="549"/>
      <c r="R198" s="540"/>
      <c r="S198" s="549"/>
      <c r="T198" s="540"/>
      <c r="U198" s="540"/>
      <c r="V198" s="540"/>
      <c r="W198" s="540"/>
      <c r="X198" s="540"/>
      <c r="Y198" s="540"/>
      <c r="Z198" s="540"/>
      <c r="AA198" s="540"/>
      <c r="AB198" s="540"/>
    </row>
    <row r="199" spans="6:28" ht="15">
      <c r="F199" s="540"/>
      <c r="G199" s="856"/>
      <c r="H199" s="540" t="s">
        <v>564</v>
      </c>
      <c r="I199" s="552">
        <f>V187</f>
        <v>3</v>
      </c>
      <c r="J199" s="540"/>
      <c r="K199" s="540"/>
      <c r="L199" s="549"/>
      <c r="M199" s="549"/>
      <c r="N199" s="540"/>
      <c r="O199" s="540"/>
      <c r="P199" s="540"/>
      <c r="Q199" s="540"/>
      <c r="R199" s="540"/>
      <c r="S199" s="540"/>
      <c r="T199" s="540"/>
      <c r="U199" s="540"/>
      <c r="V199" s="540"/>
      <c r="W199" s="540"/>
      <c r="X199" s="540"/>
      <c r="Y199" s="540"/>
      <c r="Z199" s="540"/>
      <c r="AA199" s="540"/>
      <c r="AB199" s="540"/>
    </row>
    <row r="200" spans="6:28" ht="15">
      <c r="F200" s="540"/>
      <c r="G200" s="856"/>
      <c r="H200" s="540" t="s">
        <v>586</v>
      </c>
      <c r="I200" s="684">
        <f>W187</f>
        <v>249716</v>
      </c>
      <c r="J200" s="540"/>
      <c r="K200" s="540"/>
      <c r="L200" s="549"/>
      <c r="M200" s="549"/>
      <c r="N200" s="540"/>
      <c r="O200" s="540"/>
      <c r="P200" s="540"/>
      <c r="Q200" s="540"/>
      <c r="R200" s="540"/>
      <c r="S200" s="540"/>
      <c r="T200" s="540"/>
      <c r="U200" s="540"/>
      <c r="V200" s="540"/>
      <c r="W200" s="540"/>
      <c r="X200" s="540"/>
      <c r="Y200" s="540"/>
      <c r="Z200" s="540"/>
      <c r="AA200" s="540"/>
      <c r="AB200" s="540"/>
    </row>
    <row r="201" spans="6:28" ht="15">
      <c r="F201" s="540"/>
      <c r="G201" s="856"/>
      <c r="H201" s="540" t="s">
        <v>585</v>
      </c>
      <c r="I201" s="684">
        <f>Y187</f>
        <v>2</v>
      </c>
      <c r="J201" s="540"/>
      <c r="K201" s="540"/>
      <c r="L201" s="549"/>
      <c r="M201" s="549"/>
      <c r="N201" s="540"/>
      <c r="O201" s="540"/>
      <c r="P201" s="540"/>
      <c r="Q201" s="540"/>
      <c r="R201" s="540"/>
      <c r="S201" s="540"/>
      <c r="T201" s="540"/>
      <c r="U201" s="540"/>
      <c r="V201" s="540"/>
      <c r="W201" s="540"/>
      <c r="X201" s="540"/>
      <c r="Y201" s="540"/>
      <c r="Z201" s="540"/>
      <c r="AA201" s="540"/>
      <c r="AB201" s="540"/>
    </row>
    <row r="202" spans="6:28" ht="15">
      <c r="F202" s="540"/>
      <c r="G202" s="856"/>
      <c r="H202" s="540" t="s">
        <v>587</v>
      </c>
      <c r="I202" s="721">
        <f>X187</f>
        <v>65000</v>
      </c>
      <c r="J202" s="540"/>
      <c r="K202" s="540"/>
      <c r="L202" s="549"/>
      <c r="M202" s="549"/>
      <c r="N202" s="540"/>
      <c r="O202" s="540"/>
      <c r="P202" s="540"/>
      <c r="Q202" s="540"/>
      <c r="R202" s="540"/>
      <c r="S202" s="540"/>
      <c r="T202" s="540"/>
      <c r="U202" s="540"/>
      <c r="V202" s="540"/>
      <c r="W202" s="540"/>
      <c r="X202" s="540"/>
      <c r="Y202" s="540"/>
      <c r="Z202" s="540"/>
      <c r="AA202" s="540"/>
      <c r="AB202" s="540"/>
    </row>
    <row r="203" spans="6:28" ht="15">
      <c r="F203" s="540"/>
      <c r="G203" s="856"/>
      <c r="H203" s="540" t="s">
        <v>602</v>
      </c>
      <c r="I203" s="721">
        <f>AA187</f>
        <v>1</v>
      </c>
      <c r="J203" s="540"/>
      <c r="K203" s="540"/>
      <c r="L203" s="549"/>
      <c r="M203" s="549"/>
      <c r="N203" s="540"/>
      <c r="O203" s="540"/>
      <c r="P203" s="540"/>
      <c r="Q203" s="540"/>
      <c r="R203" s="540"/>
      <c r="S203" s="540"/>
      <c r="T203" s="540"/>
      <c r="U203" s="540"/>
      <c r="V203" s="540"/>
      <c r="W203" s="540"/>
      <c r="X203" s="540"/>
      <c r="Y203" s="540"/>
      <c r="Z203" s="540"/>
      <c r="AA203" s="540"/>
      <c r="AB203" s="540"/>
    </row>
    <row r="204" spans="6:28" ht="15.75" thickBot="1">
      <c r="F204" s="540"/>
      <c r="G204" s="856"/>
      <c r="H204" s="540" t="s">
        <v>565</v>
      </c>
      <c r="I204" s="553">
        <f>Z187</f>
        <v>589124</v>
      </c>
      <c r="J204" s="540"/>
      <c r="K204" s="540"/>
      <c r="L204" s="540"/>
      <c r="M204" s="540"/>
      <c r="N204" s="549"/>
      <c r="O204" s="540"/>
      <c r="P204" s="540"/>
      <c r="Q204" s="540"/>
      <c r="R204" s="540"/>
      <c r="S204" s="540"/>
      <c r="T204" s="540"/>
      <c r="U204" s="540"/>
      <c r="V204" s="540"/>
      <c r="W204" s="540"/>
      <c r="X204" s="540"/>
      <c r="Y204" s="540"/>
      <c r="Z204" s="540"/>
      <c r="AA204" s="540"/>
      <c r="AB204" s="540"/>
    </row>
    <row r="205" spans="6:28" ht="15">
      <c r="F205" s="540"/>
      <c r="G205" s="540"/>
      <c r="H205" s="554" t="s">
        <v>566</v>
      </c>
      <c r="I205" s="543">
        <f>SUM(I194:I204)</f>
        <v>13800340.023</v>
      </c>
      <c r="J205" s="540"/>
      <c r="K205" s="540"/>
      <c r="L205" s="540"/>
      <c r="M205" s="540"/>
      <c r="N205" s="540"/>
      <c r="O205" s="540"/>
      <c r="P205" s="540"/>
      <c r="Q205" s="540"/>
      <c r="R205" s="540"/>
      <c r="S205" s="540"/>
      <c r="T205" s="540"/>
      <c r="U205" s="540"/>
      <c r="V205" s="540"/>
      <c r="W205" s="540"/>
      <c r="X205" s="540"/>
      <c r="Y205" s="540"/>
      <c r="Z205" s="540"/>
      <c r="AA205" s="540"/>
      <c r="AB205" s="540"/>
    </row>
    <row r="206" spans="6:28" ht="15">
      <c r="F206" s="540"/>
      <c r="G206" s="540"/>
      <c r="H206" s="540"/>
      <c r="I206" s="540"/>
      <c r="J206" s="540"/>
      <c r="K206" s="540"/>
      <c r="L206" s="540"/>
      <c r="M206" s="540"/>
      <c r="N206" s="540"/>
      <c r="O206" s="540"/>
      <c r="P206" s="540"/>
      <c r="Q206" s="540"/>
      <c r="R206" s="540"/>
      <c r="S206" s="540"/>
      <c r="T206" s="540"/>
      <c r="U206" s="540"/>
      <c r="V206" s="540"/>
      <c r="W206" s="540"/>
      <c r="X206" s="540"/>
      <c r="Y206" s="540"/>
      <c r="Z206" s="540"/>
      <c r="AA206" s="540"/>
      <c r="AB206" s="540"/>
    </row>
    <row r="207" spans="6:28" ht="15">
      <c r="F207" s="540"/>
      <c r="G207" s="540"/>
      <c r="H207" s="540" t="s">
        <v>567</v>
      </c>
      <c r="I207" s="755">
        <v>13800340</v>
      </c>
      <c r="J207" s="540"/>
      <c r="K207" s="540"/>
      <c r="L207" s="540"/>
      <c r="N207" s="540"/>
      <c r="O207" s="540"/>
      <c r="P207" s="540"/>
      <c r="Q207" s="540"/>
      <c r="R207" s="540"/>
      <c r="S207" s="540"/>
      <c r="T207" s="540"/>
      <c r="U207" s="540"/>
      <c r="V207" s="540"/>
      <c r="W207" s="540"/>
      <c r="X207" s="540"/>
      <c r="Y207" s="540"/>
      <c r="Z207" s="540"/>
      <c r="AA207" s="540"/>
      <c r="AB207" s="540"/>
    </row>
    <row r="208" spans="6:28" ht="15">
      <c r="F208" s="540"/>
      <c r="G208" s="540"/>
      <c r="H208" s="554" t="s">
        <v>568</v>
      </c>
      <c r="I208" s="555">
        <f>I207-I205</f>
        <v>-0.023000000044703484</v>
      </c>
      <c r="J208" s="540"/>
      <c r="K208" s="540"/>
      <c r="L208" s="549"/>
      <c r="N208" s="540"/>
      <c r="O208" s="540"/>
      <c r="P208" s="540"/>
      <c r="Q208" s="540"/>
      <c r="R208" s="540"/>
      <c r="S208" s="540"/>
      <c r="T208" s="540"/>
      <c r="U208" s="540"/>
      <c r="V208" s="540"/>
      <c r="W208" s="540"/>
      <c r="X208" s="540"/>
      <c r="Y208" s="540"/>
      <c r="Z208" s="540"/>
      <c r="AA208" s="540"/>
      <c r="AB208" s="540"/>
    </row>
    <row r="209" spans="6:28" ht="15">
      <c r="F209" s="540"/>
      <c r="G209" s="540"/>
      <c r="H209" s="540"/>
      <c r="I209" s="540"/>
      <c r="J209" s="540"/>
      <c r="K209" s="540"/>
      <c r="L209" s="540"/>
      <c r="N209" s="540"/>
      <c r="O209" s="540"/>
      <c r="P209" s="540"/>
      <c r="Q209" s="540"/>
      <c r="R209" s="540"/>
      <c r="S209" s="540"/>
      <c r="T209" s="540"/>
      <c r="U209" s="540"/>
      <c r="V209" s="540"/>
      <c r="W209" s="540"/>
      <c r="X209" s="540"/>
      <c r="Y209" s="540"/>
      <c r="Z209" s="540"/>
      <c r="AA209" s="540"/>
      <c r="AB209" s="540"/>
    </row>
    <row r="210" spans="6:28" ht="15">
      <c r="F210" s="540"/>
      <c r="G210" s="540"/>
      <c r="H210" s="540"/>
      <c r="I210" s="540"/>
      <c r="J210" s="540"/>
      <c r="K210" s="540"/>
      <c r="L210" s="540"/>
      <c r="N210" s="540"/>
      <c r="O210" s="540"/>
      <c r="P210" s="540"/>
      <c r="Q210" s="540"/>
      <c r="R210" s="540"/>
      <c r="S210" s="540"/>
      <c r="T210" s="540"/>
      <c r="U210" s="540"/>
      <c r="V210" s="540"/>
      <c r="W210" s="540"/>
      <c r="X210" s="540"/>
      <c r="Y210" s="540"/>
      <c r="Z210" s="540"/>
      <c r="AA210" s="540"/>
      <c r="AB210" s="540"/>
    </row>
    <row r="211" spans="6:28" ht="15">
      <c r="F211" s="540"/>
      <c r="G211" s="540"/>
      <c r="H211" s="540"/>
      <c r="I211" s="540"/>
      <c r="J211" s="540"/>
      <c r="K211" s="549"/>
      <c r="L211" s="540"/>
      <c r="N211" s="540"/>
      <c r="O211" s="540"/>
      <c r="P211" s="540"/>
      <c r="Q211" s="540"/>
      <c r="R211" s="540"/>
      <c r="S211" s="540"/>
      <c r="T211" s="540"/>
      <c r="U211" s="540"/>
      <c r="V211" s="540"/>
      <c r="W211" s="540"/>
      <c r="X211" s="540"/>
      <c r="Y211" s="540"/>
      <c r="Z211" s="540"/>
      <c r="AA211" s="540"/>
      <c r="AB211" s="540"/>
    </row>
    <row r="212" spans="6:28" ht="15">
      <c r="F212" s="540"/>
      <c r="G212" s="540"/>
      <c r="H212" s="540"/>
      <c r="I212" s="540"/>
      <c r="J212" s="540"/>
      <c r="K212" s="540"/>
      <c r="L212" s="540"/>
      <c r="N212" s="540"/>
      <c r="O212" s="540"/>
      <c r="P212" s="540"/>
      <c r="Q212" s="540"/>
      <c r="R212" s="540"/>
      <c r="S212" s="540"/>
      <c r="T212" s="540"/>
      <c r="U212" s="540"/>
      <c r="V212" s="540"/>
      <c r="W212" s="540"/>
      <c r="X212" s="540"/>
      <c r="Y212" s="540"/>
      <c r="Z212" s="540"/>
      <c r="AA212" s="540"/>
      <c r="AB212" s="540"/>
    </row>
    <row r="213" spans="6:28" ht="15">
      <c r="F213" s="540"/>
      <c r="G213" s="540"/>
      <c r="H213" s="540"/>
      <c r="I213" s="540"/>
      <c r="J213" s="540"/>
      <c r="K213" s="540"/>
      <c r="L213" s="540"/>
      <c r="N213" s="540"/>
      <c r="O213" s="540"/>
      <c r="P213" s="540"/>
      <c r="Q213" s="540"/>
      <c r="R213" s="540"/>
      <c r="S213" s="540"/>
      <c r="T213" s="540"/>
      <c r="U213" s="540"/>
      <c r="V213" s="540"/>
      <c r="W213" s="540"/>
      <c r="X213" s="540"/>
      <c r="Y213" s="540"/>
      <c r="Z213" s="540"/>
      <c r="AA213" s="540"/>
      <c r="AB213" s="540"/>
    </row>
    <row r="214" spans="6:28" ht="15">
      <c r="F214" s="540"/>
      <c r="G214" s="540"/>
      <c r="H214" s="540"/>
      <c r="I214" s="540"/>
      <c r="J214" s="540"/>
      <c r="K214" s="540"/>
      <c r="L214" s="540"/>
      <c r="N214" s="540"/>
      <c r="O214" s="540"/>
      <c r="P214" s="540"/>
      <c r="Q214" s="540"/>
      <c r="R214" s="540"/>
      <c r="S214" s="540"/>
      <c r="T214" s="540"/>
      <c r="U214" s="540"/>
      <c r="V214" s="540"/>
      <c r="W214" s="540"/>
      <c r="X214" s="540"/>
      <c r="Y214" s="540"/>
      <c r="Z214" s="540"/>
      <c r="AA214" s="540"/>
      <c r="AB214" s="540"/>
    </row>
    <row r="215" spans="6:28" ht="15">
      <c r="F215" s="540"/>
      <c r="G215" s="540"/>
      <c r="H215" s="540"/>
      <c r="I215" s="540"/>
      <c r="J215" s="540"/>
      <c r="K215" s="540"/>
      <c r="L215" s="540"/>
      <c r="M215" s="716"/>
      <c r="N215" s="540"/>
      <c r="O215" s="540"/>
      <c r="P215" s="540"/>
      <c r="Q215" s="540"/>
      <c r="R215" s="540"/>
      <c r="S215" s="540"/>
      <c r="T215" s="540"/>
      <c r="U215" s="540"/>
      <c r="V215" s="540"/>
      <c r="W215" s="540"/>
      <c r="X215" s="540"/>
      <c r="Y215" s="540"/>
      <c r="Z215" s="540"/>
      <c r="AA215" s="540"/>
      <c r="AB215" s="540"/>
    </row>
  </sheetData>
  <sheetProtection/>
  <mergeCells count="140">
    <mergeCell ref="AA7:AA8"/>
    <mergeCell ref="AA10:AA12"/>
    <mergeCell ref="B130:B134"/>
    <mergeCell ref="C130:C134"/>
    <mergeCell ref="A130:A140"/>
    <mergeCell ref="D130:D134"/>
    <mergeCell ref="J7:K7"/>
    <mergeCell ref="L7:S7"/>
    <mergeCell ref="T7:T8"/>
    <mergeCell ref="U7:U8"/>
    <mergeCell ref="A1:AB1"/>
    <mergeCell ref="A2:AB2"/>
    <mergeCell ref="A5:AB5"/>
    <mergeCell ref="A6:H6"/>
    <mergeCell ref="I6:I8"/>
    <mergeCell ref="J6:Z6"/>
    <mergeCell ref="AB6:AB8"/>
    <mergeCell ref="B7:E7"/>
    <mergeCell ref="F7:F8"/>
    <mergeCell ref="G7:H7"/>
    <mergeCell ref="V7:V8"/>
    <mergeCell ref="Z7:Z8"/>
    <mergeCell ref="S10:S12"/>
    <mergeCell ref="A10:A12"/>
    <mergeCell ref="B10:B12"/>
    <mergeCell ref="C10:C12"/>
    <mergeCell ref="D10:D12"/>
    <mergeCell ref="E10:E12"/>
    <mergeCell ref="F10:F12"/>
    <mergeCell ref="M10:M12"/>
    <mergeCell ref="R10:R12"/>
    <mergeCell ref="G10:G12"/>
    <mergeCell ref="H10:H12"/>
    <mergeCell ref="I10:I12"/>
    <mergeCell ref="J10:J12"/>
    <mergeCell ref="K10:K12"/>
    <mergeCell ref="T10:T12"/>
    <mergeCell ref="U10:U12"/>
    <mergeCell ref="V10:V12"/>
    <mergeCell ref="Z10:Z12"/>
    <mergeCell ref="AB10:AB12"/>
    <mergeCell ref="A16:A21"/>
    <mergeCell ref="B16:B21"/>
    <mergeCell ref="Q10:Q12"/>
    <mergeCell ref="N10:N12"/>
    <mergeCell ref="O10:O12"/>
    <mergeCell ref="A27:A45"/>
    <mergeCell ref="B27:B45"/>
    <mergeCell ref="C27:C30"/>
    <mergeCell ref="D27:D30"/>
    <mergeCell ref="C34:C42"/>
    <mergeCell ref="D34:D42"/>
    <mergeCell ref="A49:A58"/>
    <mergeCell ref="B49:B58"/>
    <mergeCell ref="C49:C52"/>
    <mergeCell ref="D49:D52"/>
    <mergeCell ref="C53:C58"/>
    <mergeCell ref="D53:D58"/>
    <mergeCell ref="A61:A68"/>
    <mergeCell ref="B61:B68"/>
    <mergeCell ref="C61:C68"/>
    <mergeCell ref="D61:D68"/>
    <mergeCell ref="A71:A77"/>
    <mergeCell ref="B71:B77"/>
    <mergeCell ref="C71:C77"/>
    <mergeCell ref="D71:D77"/>
    <mergeCell ref="A80:A82"/>
    <mergeCell ref="B80:B82"/>
    <mergeCell ref="C80:C82"/>
    <mergeCell ref="D80:D82"/>
    <mergeCell ref="A87:A88"/>
    <mergeCell ref="B87:B88"/>
    <mergeCell ref="C87:C88"/>
    <mergeCell ref="D87:D88"/>
    <mergeCell ref="C116:C121"/>
    <mergeCell ref="D116:D121"/>
    <mergeCell ref="A92:A98"/>
    <mergeCell ref="B92:B98"/>
    <mergeCell ref="C92:C98"/>
    <mergeCell ref="D92:D98"/>
    <mergeCell ref="A102:A104"/>
    <mergeCell ref="B102:B104"/>
    <mergeCell ref="C102:C104"/>
    <mergeCell ref="D102:D104"/>
    <mergeCell ref="E155:E160"/>
    <mergeCell ref="F155:F160"/>
    <mergeCell ref="C146:C149"/>
    <mergeCell ref="D146:D149"/>
    <mergeCell ref="A108:A112"/>
    <mergeCell ref="B108:B112"/>
    <mergeCell ref="C108:C111"/>
    <mergeCell ref="D108:D111"/>
    <mergeCell ref="A116:A121"/>
    <mergeCell ref="B116:B121"/>
    <mergeCell ref="AB155:AB160"/>
    <mergeCell ref="A163:A168"/>
    <mergeCell ref="B163:B168"/>
    <mergeCell ref="C163:C168"/>
    <mergeCell ref="D163:D168"/>
    <mergeCell ref="AB163:AB168"/>
    <mergeCell ref="M155:M160"/>
    <mergeCell ref="N155:N160"/>
    <mergeCell ref="O155:O160"/>
    <mergeCell ref="Q155:Q160"/>
    <mergeCell ref="V155:V160"/>
    <mergeCell ref="Z155:Z160"/>
    <mergeCell ref="R155:R160"/>
    <mergeCell ref="S155:S160"/>
    <mergeCell ref="G155:G160"/>
    <mergeCell ref="H155:H160"/>
    <mergeCell ref="I155:I158"/>
    <mergeCell ref="J155:J160"/>
    <mergeCell ref="K155:K160"/>
    <mergeCell ref="L155:L160"/>
    <mergeCell ref="A146:A149"/>
    <mergeCell ref="B146:B149"/>
    <mergeCell ref="G188:H188"/>
    <mergeCell ref="G194:G204"/>
    <mergeCell ref="T155:T160"/>
    <mergeCell ref="U155:U160"/>
    <mergeCell ref="A155:A160"/>
    <mergeCell ref="B155:B160"/>
    <mergeCell ref="C155:C160"/>
    <mergeCell ref="D155:D160"/>
    <mergeCell ref="B174:B178"/>
    <mergeCell ref="C174:C178"/>
    <mergeCell ref="D174:D178"/>
    <mergeCell ref="B135:B140"/>
    <mergeCell ref="C135:C140"/>
    <mergeCell ref="D135:D140"/>
    <mergeCell ref="A181:A188"/>
    <mergeCell ref="B181:B188"/>
    <mergeCell ref="C181:C188"/>
    <mergeCell ref="Y7:Y8"/>
    <mergeCell ref="Y10:Y12"/>
    <mergeCell ref="W7:W8"/>
    <mergeCell ref="W10:W12"/>
    <mergeCell ref="X7:X8"/>
    <mergeCell ref="D181:D182"/>
    <mergeCell ref="A174:A1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David Suarez Sanchez</cp:lastModifiedBy>
  <cp:lastPrinted>2010-10-01T21:33:44Z</cp:lastPrinted>
  <dcterms:created xsi:type="dcterms:W3CDTF">2010-09-28T12:45:15Z</dcterms:created>
  <dcterms:modified xsi:type="dcterms:W3CDTF">2014-04-04T15:08:46Z</dcterms:modified>
  <cp:category/>
  <cp:version/>
  <cp:contentType/>
  <cp:contentStatus/>
</cp:coreProperties>
</file>