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600" windowHeight="7935"/>
  </bookViews>
  <sheets>
    <sheet name="UMATA" sheetId="1" r:id="rId1"/>
    <sheet name="Actividades" sheetId="4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AY9" i="1" l="1"/>
  <c r="AZ9" i="1"/>
  <c r="AY10" i="1"/>
  <c r="AZ10" i="1"/>
  <c r="AY11" i="1"/>
  <c r="AZ11" i="1"/>
  <c r="AY12" i="1"/>
  <c r="AZ12" i="1"/>
  <c r="AY13" i="1"/>
  <c r="AZ13" i="1"/>
  <c r="AY14" i="1"/>
  <c r="AZ14" i="1"/>
  <c r="AY15" i="1"/>
  <c r="AZ15" i="1"/>
  <c r="AY16" i="1"/>
  <c r="AZ16" i="1"/>
  <c r="AY17" i="1"/>
  <c r="AZ17" i="1"/>
  <c r="AY18" i="1"/>
  <c r="AZ18" i="1"/>
  <c r="AY19" i="1"/>
  <c r="AZ19" i="1"/>
  <c r="AY20" i="1"/>
  <c r="AZ20" i="1"/>
  <c r="AY21" i="1"/>
  <c r="AZ21" i="1"/>
  <c r="AY22" i="1"/>
  <c r="AZ22" i="1"/>
  <c r="AY23" i="1"/>
  <c r="AZ23" i="1"/>
  <c r="AZ8" i="1"/>
  <c r="AY8" i="1"/>
  <c r="AV9" i="1"/>
  <c r="AW9" i="1"/>
  <c r="AV10" i="1"/>
  <c r="AW10" i="1"/>
  <c r="AV11" i="1"/>
  <c r="AW11" i="1"/>
  <c r="AV12" i="1"/>
  <c r="AW12" i="1"/>
  <c r="AV13" i="1"/>
  <c r="AW13" i="1"/>
  <c r="AV14" i="1"/>
  <c r="AW14" i="1"/>
  <c r="AV15" i="1"/>
  <c r="AW15" i="1"/>
  <c r="AV16" i="1"/>
  <c r="AW16" i="1"/>
  <c r="AV17" i="1"/>
  <c r="AW17" i="1"/>
  <c r="AV18" i="1"/>
  <c r="AW18" i="1"/>
  <c r="AV19" i="1"/>
  <c r="AW19" i="1"/>
  <c r="AV20" i="1"/>
  <c r="AW20" i="1"/>
  <c r="AV21" i="1"/>
  <c r="AW21" i="1"/>
  <c r="AV22" i="1"/>
  <c r="AW22" i="1"/>
  <c r="AV23" i="1"/>
  <c r="AW23" i="1"/>
  <c r="AW8" i="1"/>
  <c r="AV8" i="1"/>
  <c r="AS9" i="1"/>
  <c r="AT9" i="1"/>
  <c r="AU9" i="1"/>
  <c r="AS10" i="1"/>
  <c r="AT10" i="1"/>
  <c r="AU10" i="1"/>
  <c r="AS11" i="1"/>
  <c r="AT11" i="1"/>
  <c r="AU11" i="1"/>
  <c r="AS12" i="1"/>
  <c r="AT12" i="1"/>
  <c r="AU12" i="1"/>
  <c r="AS13" i="1"/>
  <c r="AT13" i="1"/>
  <c r="AU13" i="1"/>
  <c r="AS14" i="1"/>
  <c r="AT14" i="1"/>
  <c r="AU14" i="1"/>
  <c r="AS15" i="1"/>
  <c r="AT15" i="1"/>
  <c r="AU15" i="1"/>
  <c r="AS16" i="1"/>
  <c r="AT16" i="1"/>
  <c r="AU16" i="1"/>
  <c r="AS17" i="1"/>
  <c r="AT17" i="1"/>
  <c r="AU17" i="1"/>
  <c r="AS18" i="1"/>
  <c r="AT18" i="1"/>
  <c r="AU18" i="1"/>
  <c r="AS19" i="1"/>
  <c r="AT19" i="1"/>
  <c r="AU19" i="1"/>
  <c r="AS20" i="1"/>
  <c r="AT20" i="1"/>
  <c r="AU20" i="1"/>
  <c r="AS21" i="1"/>
  <c r="AT21" i="1"/>
  <c r="AU21" i="1"/>
  <c r="AS22" i="1"/>
  <c r="AT22" i="1"/>
  <c r="AU22" i="1"/>
  <c r="AS23" i="1"/>
  <c r="AT23" i="1"/>
  <c r="AU23" i="1"/>
  <c r="AT8" i="1"/>
  <c r="AS8" i="1"/>
  <c r="X23" i="1"/>
  <c r="Z23" i="1"/>
  <c r="AD23" i="1"/>
  <c r="AF23" i="1"/>
  <c r="AJ23" i="1"/>
  <c r="AL23" i="1"/>
  <c r="X22" i="1"/>
  <c r="Z22" i="1"/>
  <c r="AD22" i="1"/>
  <c r="AF22" i="1"/>
  <c r="AJ22" i="1"/>
  <c r="AL22" i="1"/>
  <c r="AD21" i="1"/>
  <c r="AF21" i="1"/>
  <c r="AJ21" i="1"/>
  <c r="AL21" i="1"/>
  <c r="Z21" i="1"/>
  <c r="X21" i="1"/>
  <c r="AL18" i="1"/>
  <c r="AL19" i="1"/>
  <c r="AL20" i="1"/>
  <c r="AL17" i="1"/>
  <c r="X20" i="1"/>
  <c r="Z20" i="1"/>
  <c r="X18" i="1"/>
  <c r="Z18" i="1"/>
  <c r="AD18" i="1"/>
  <c r="AF18" i="1"/>
  <c r="AJ18" i="1"/>
  <c r="X19" i="1"/>
  <c r="Z19" i="1"/>
  <c r="AD19" i="1"/>
  <c r="AF19" i="1"/>
  <c r="AJ19" i="1"/>
  <c r="AD20" i="1"/>
  <c r="AF20" i="1"/>
  <c r="AJ20" i="1"/>
  <c r="AJ17" i="1"/>
  <c r="AF17" i="1"/>
  <c r="AD17" i="1"/>
  <c r="Z17" i="1"/>
  <c r="X17" i="1"/>
  <c r="AF16" i="1"/>
  <c r="AD16" i="1"/>
  <c r="Z16" i="1"/>
  <c r="X16" i="1"/>
  <c r="Z15" i="1"/>
  <c r="Z14" i="1"/>
  <c r="AL15" i="1"/>
  <c r="AJ15" i="1"/>
  <c r="AF15" i="1"/>
  <c r="AD15" i="1"/>
  <c r="X15" i="1"/>
  <c r="AJ14" i="1"/>
  <c r="AL14" i="1"/>
  <c r="AL13" i="1"/>
  <c r="AF14" i="1"/>
  <c r="AD14" i="1"/>
  <c r="AD13" i="1"/>
  <c r="X14" i="1"/>
  <c r="AJ13" i="1"/>
  <c r="AF13" i="1"/>
  <c r="AL11" i="1"/>
  <c r="AJ11" i="1"/>
  <c r="AF11" i="1"/>
  <c r="AD11" i="1"/>
  <c r="AL10" i="1"/>
  <c r="AL9" i="1"/>
  <c r="AJ10" i="1"/>
  <c r="AJ9" i="1"/>
  <c r="AF10" i="1"/>
  <c r="AD10" i="1"/>
  <c r="AJ8" i="1"/>
  <c r="AF9" i="1"/>
  <c r="AD9" i="1"/>
  <c r="AF8" i="1"/>
  <c r="AD8" i="1"/>
  <c r="AL8" i="1"/>
  <c r="AD12" i="1"/>
  <c r="Z13" i="1"/>
  <c r="X13" i="1"/>
  <c r="X11" i="1"/>
  <c r="Z11" i="1"/>
  <c r="X9" i="1"/>
  <c r="Z9" i="1"/>
  <c r="Z8" i="1"/>
  <c r="X8" i="1"/>
  <c r="AM25" i="1"/>
  <c r="AU8" i="1" l="1"/>
  <c r="AX8" i="1"/>
  <c r="BA8" i="1" s="1"/>
  <c r="AX23" i="1"/>
  <c r="BA23" i="1" s="1"/>
  <c r="AX22" i="1"/>
  <c r="BA22" i="1" s="1"/>
  <c r="AX21" i="1"/>
  <c r="BA21" i="1" s="1"/>
  <c r="AX20" i="1"/>
  <c r="BA20" i="1" s="1"/>
  <c r="AX19" i="1"/>
  <c r="BA19" i="1" s="1"/>
  <c r="AX18" i="1"/>
  <c r="BA18" i="1" s="1"/>
  <c r="AX17" i="1"/>
  <c r="BA17" i="1" s="1"/>
  <c r="AX16" i="1"/>
  <c r="BA16" i="1" s="1"/>
  <c r="AX15" i="1"/>
  <c r="BA15" i="1" s="1"/>
  <c r="AX14" i="1"/>
  <c r="BA14" i="1" s="1"/>
  <c r="AX13" i="1"/>
  <c r="BA13" i="1" s="1"/>
  <c r="AX12" i="1"/>
  <c r="BA12" i="1" s="1"/>
  <c r="AX11" i="1"/>
  <c r="BA11" i="1" s="1"/>
  <c r="AX10" i="1"/>
  <c r="BA10" i="1" s="1"/>
  <c r="AX9" i="1"/>
  <c r="BA9" i="1" s="1"/>
  <c r="BN37" i="1"/>
  <c r="AH37" i="1"/>
  <c r="AB37" i="1"/>
  <c r="V37" i="1"/>
  <c r="Q37" i="1"/>
  <c r="S37" i="1" s="1"/>
  <c r="N37" i="1"/>
  <c r="BN36" i="1"/>
  <c r="AH36" i="1"/>
  <c r="AB36" i="1"/>
  <c r="V36" i="1"/>
  <c r="T36" i="1"/>
  <c r="S36" i="1"/>
  <c r="N36" i="1"/>
  <c r="BN35" i="1"/>
  <c r="AH35" i="1"/>
  <c r="AB35" i="1"/>
  <c r="V35" i="1"/>
  <c r="T35" i="1"/>
  <c r="S35" i="1"/>
  <c r="N35" i="1"/>
  <c r="BN34" i="1"/>
  <c r="T34" i="1"/>
  <c r="S34" i="1"/>
  <c r="N34" i="1"/>
  <c r="BN33" i="1"/>
  <c r="AH33" i="1"/>
  <c r="AB33" i="1"/>
  <c r="V33" i="1"/>
  <c r="T33" i="1"/>
  <c r="S33" i="1"/>
  <c r="N33" i="1"/>
  <c r="AR32" i="1"/>
  <c r="AH32" i="1"/>
  <c r="AB32" i="1"/>
  <c r="V32" i="1"/>
  <c r="AR31" i="1"/>
  <c r="V31" i="1"/>
  <c r="AH30" i="1"/>
  <c r="AB30" i="1"/>
  <c r="V30" i="1"/>
  <c r="T30" i="1"/>
  <c r="S30" i="1"/>
  <c r="AR29" i="1"/>
  <c r="AH29" i="1"/>
  <c r="AB29" i="1"/>
  <c r="V29" i="1"/>
  <c r="BN18" i="1" l="1"/>
  <c r="BN19" i="1"/>
  <c r="BN20" i="1"/>
  <c r="BN21" i="1"/>
  <c r="BN22" i="1"/>
  <c r="BN23" i="1"/>
  <c r="P5" i="1" l="1"/>
  <c r="R37" i="1" l="1"/>
  <c r="T37" i="1" s="1"/>
  <c r="R32" i="1"/>
  <c r="P32" i="1"/>
  <c r="R29" i="1"/>
  <c r="P29" i="1"/>
  <c r="R31" i="1"/>
  <c r="P31" i="1"/>
  <c r="D2" i="4"/>
  <c r="D16" i="4"/>
  <c r="D21" i="4"/>
  <c r="C25" i="4"/>
  <c r="E25" i="4"/>
  <c r="T31" i="1" l="1"/>
  <c r="T29" i="1"/>
  <c r="T32" i="1"/>
  <c r="BN31" i="1"/>
  <c r="BN28" i="1"/>
  <c r="BN32" i="1"/>
  <c r="BN30" i="1"/>
  <c r="BN29" i="1"/>
  <c r="BO33" i="1" l="1"/>
  <c r="BO32" i="1"/>
  <c r="BO30" i="1"/>
  <c r="BO29" i="1"/>
  <c r="BO37" i="1"/>
  <c r="BO36" i="1"/>
  <c r="BO35" i="1"/>
  <c r="BO34" i="1"/>
  <c r="BO31" i="1"/>
  <c r="BO28" i="1"/>
  <c r="BO18" i="1"/>
  <c r="BO20" i="1"/>
  <c r="BO23" i="1"/>
  <c r="BO19" i="1"/>
  <c r="BO21" i="1"/>
  <c r="BO22" i="1"/>
  <c r="AR25" i="1"/>
  <c r="O5" i="1"/>
  <c r="BO5" i="1"/>
  <c r="N32" i="1" l="1"/>
  <c r="Q31" i="1"/>
  <c r="O31" i="1"/>
  <c r="N29" i="1"/>
  <c r="Q32" i="1"/>
  <c r="O32" i="1"/>
  <c r="N31" i="1"/>
  <c r="Q29" i="1"/>
  <c r="O29" i="1"/>
  <c r="S29" i="1" l="1"/>
  <c r="S32" i="1"/>
  <c r="S31" i="1"/>
</calcChain>
</file>

<file path=xl/sharedStrings.xml><?xml version="1.0" encoding="utf-8"?>
<sst xmlns="http://schemas.openxmlformats.org/spreadsheetml/2006/main" count="275" uniqueCount="215">
  <si>
    <t xml:space="preserve">LÍNEA ESTRATEGICA </t>
  </si>
  <si>
    <t xml:space="preserve">SECTOR </t>
  </si>
  <si>
    <t>POLÍTICA</t>
  </si>
  <si>
    <t>PROGRAMA</t>
  </si>
  <si>
    <t>SUBPROGRAMA</t>
  </si>
  <si>
    <t>LINEA BASE</t>
  </si>
  <si>
    <t>META PRODUCTO</t>
  </si>
  <si>
    <t>META ACUMULADA CUATRENIO</t>
  </si>
  <si>
    <t>PLAN DE INVERSIÓN</t>
  </si>
  <si>
    <t>FUENTES DE INVERSION</t>
  </si>
  <si>
    <t>RESPONSABLES</t>
  </si>
  <si>
    <t>REC. PROPIOS</t>
  </si>
  <si>
    <t>SGP</t>
  </si>
  <si>
    <t>SGR</t>
  </si>
  <si>
    <t>OTROS</t>
  </si>
  <si>
    <t>%</t>
  </si>
  <si>
    <t>$</t>
  </si>
  <si>
    <t>RUBRO</t>
  </si>
  <si>
    <t>ENTIDAD</t>
  </si>
  <si>
    <t>MISIONAL</t>
  </si>
  <si>
    <t>ESTRATEGICO</t>
  </si>
  <si>
    <t>APOYO</t>
  </si>
  <si>
    <t>UMATA</t>
  </si>
  <si>
    <t>UMATA-EMPRENDIMIENTO-SEC EDUCACION</t>
  </si>
  <si>
    <t>UMATA-SENA-UNIVERSIDADES</t>
  </si>
  <si>
    <t>62.5%</t>
  </si>
  <si>
    <t>37.5</t>
  </si>
  <si>
    <t>UMATA-SENA-SEC AGRICULTURA</t>
  </si>
  <si>
    <t>N°</t>
  </si>
  <si>
    <t>PONDERADO ANUAL</t>
  </si>
  <si>
    <t>SEM 1 PONDERADO % EJECUCION</t>
  </si>
  <si>
    <t>SEM 2 PONDERADO %</t>
  </si>
  <si>
    <t>SECTOR</t>
  </si>
  <si>
    <t>PDM</t>
  </si>
  <si>
    <t>PROYECTO</t>
  </si>
  <si>
    <t>CODIGO BPIM</t>
  </si>
  <si>
    <t>N°(Cant)</t>
  </si>
  <si>
    <t>VALOR PROYECTADO A INVERTIR EN EL CUATRIENIIO</t>
  </si>
  <si>
    <t>VALOR TOTAL PROYECTO (EJECUTADO)</t>
  </si>
  <si>
    <t>JUSTIFICACION DE MAYOR O MENOR VALOR SEGÚN VALOR PROYECTADO</t>
  </si>
  <si>
    <t>$ por  Ejecutar</t>
  </si>
  <si>
    <t>COSTO TOTAL PDM</t>
  </si>
  <si>
    <t>PESO DEL PROGRAMA EN PDM</t>
  </si>
  <si>
    <t>COSTO TOTAL DEL PROGRAMA EN PDM(miles de $)</t>
  </si>
  <si>
    <t>PESO EN EL SECTOR</t>
  </si>
  <si>
    <t>PESO EN EL PDM</t>
  </si>
  <si>
    <t>RECURSOS GENERADOS</t>
  </si>
  <si>
    <t>POBLACION IMPACTADA</t>
  </si>
  <si>
    <t>URBANA</t>
  </si>
  <si>
    <t>RURAL</t>
  </si>
  <si>
    <t>TOTAL</t>
  </si>
  <si>
    <t>Imprevistos</t>
  </si>
  <si>
    <t>Liquidacion y entrega</t>
  </si>
  <si>
    <t>interventoria (informes)</t>
  </si>
  <si>
    <t xml:space="preserve">Ejecucion o contruccion del proyecto, </t>
  </si>
  <si>
    <t>Proceso de contratacion y/o Licitacion si se requiere</t>
  </si>
  <si>
    <t>CDP de Ejecucion</t>
  </si>
  <si>
    <t xml:space="preserve">Autorizacion (si son necesarias) </t>
  </si>
  <si>
    <t>Presupuesto de ejecucion de Obra</t>
  </si>
  <si>
    <t>Diseño</t>
  </si>
  <si>
    <t>iniciar proceso de escrituracion y pago)</t>
  </si>
  <si>
    <t xml:space="preserve">Estudios Previos </t>
  </si>
  <si>
    <t xml:space="preserve">solicitar CDP, </t>
  </si>
  <si>
    <t xml:space="preserve">decision de compra o no, </t>
  </si>
  <si>
    <t xml:space="preserve">situacion juridica del predio, </t>
  </si>
  <si>
    <t xml:space="preserve"> (requiere avaluo, </t>
  </si>
  <si>
    <t>si es ajeno</t>
  </si>
  <si>
    <t>si es propio, --&gt; Diseño</t>
  </si>
  <si>
    <t>Es propio o requiere adquisicion?</t>
  </si>
  <si>
    <t>(etc)</t>
  </si>
  <si>
    <t>(estudios de suelo, amenaza y riesgo)</t>
  </si>
  <si>
    <r>
      <rPr>
        <b/>
        <sz val="11"/>
        <color theme="1"/>
        <rFont val="Calibri"/>
        <family val="2"/>
        <scheme val="minor"/>
      </rPr>
      <t>Estudios Previos</t>
    </r>
    <r>
      <rPr>
        <sz val="11"/>
        <color theme="1"/>
        <rFont val="Calibri"/>
        <family val="2"/>
        <scheme val="minor"/>
      </rPr>
      <t xml:space="preserve"> </t>
    </r>
  </si>
  <si>
    <t xml:space="preserve">evaluacion de pósibles sitios </t>
  </si>
  <si>
    <t>Consecucion del lote</t>
  </si>
  <si>
    <t>% de ejecucion</t>
  </si>
  <si>
    <t>Tiempo (Dias)</t>
  </si>
  <si>
    <t>Actividades para el desarrollo de la construccion de parques infantiles</t>
  </si>
  <si>
    <t>EMPRESTITOS</t>
  </si>
  <si>
    <t>Promover y orientar a los nuevos empresarios frente a la importancia de estructurar un proyecto bajo los parámetros legales.</t>
  </si>
  <si>
    <t>Fortalecer las empresas como mecanismo para generar ingresos y empleos en el municipio</t>
  </si>
  <si>
    <t>Lograr sinergia con entidades públicas, privadas y ONG´S  para acompañar y apoyar las nuevas empresas con formación,  recursos, equipos y comercialización.</t>
  </si>
  <si>
    <t>Acuerdo Municipal</t>
  </si>
  <si>
    <t>EMPRENDIMIENTO, EMPRESARISMO Y COOPERACIÓN</t>
  </si>
  <si>
    <t>SANTA ROSA DE OSOS UN MUNICIPIO COMPETITIVO</t>
  </si>
  <si>
    <t>DESARROLLO AGRARIO</t>
  </si>
  <si>
    <t>AGROECOLOGIA</t>
  </si>
  <si>
    <t>Capacitaciones para el Fortalecimiento de la gestión agro empresarial.</t>
  </si>
  <si>
    <t xml:space="preserve">Implementar un centro de acopio de productos agropecuarios </t>
  </si>
  <si>
    <t>Fortalecer a los pequeños productores en el manejo de mercado de productos agropecuarios mediante capacitaciones y estímulo al emprendimiento.</t>
  </si>
  <si>
    <t xml:space="preserve">1 Centro de acopio implementado             </t>
  </si>
  <si>
    <t xml:space="preserve">Centros Acopio implementados     </t>
  </si>
  <si>
    <t>Fortalecer al pequeño productor en productividad y mercadeo de los productos agropecuarios</t>
  </si>
  <si>
    <t>38 mercasueños realizados</t>
  </si>
  <si>
    <t>44 mercasueños realizados</t>
  </si>
  <si>
    <t xml:space="preserve"> Mercasueños realizado</t>
  </si>
  <si>
    <t>SEGURIDAD ALIMENTARIA</t>
  </si>
  <si>
    <t>ALTERNATIVAS PRODUCTIVAS</t>
  </si>
  <si>
    <t>Fomento de la avicultura en la linea de producción de huevo comercial como alternativa productiva y para abastecimiento a los restaurantes escolares</t>
  </si>
  <si>
    <t>Capacitar y establecer unidades productivas avícolas</t>
  </si>
  <si>
    <t>Implementar unidades productivas avícolas para producción de huevo comercial como alternativa productiva</t>
  </si>
  <si>
    <t>30 unidades productivas implementadas</t>
  </si>
  <si>
    <t>No. unidades productivas implementadas</t>
  </si>
  <si>
    <t>Sostenimiento y fortalecimiento  de los programas de producción piscícola.</t>
  </si>
  <si>
    <t>Fortalecer sistemas de producción piscícola como alternativa económica y alimentaria</t>
  </si>
  <si>
    <t>Fomentar la piscicultura como alterantiva productiva y de seguridad alimentaria</t>
  </si>
  <si>
    <t>375 estanques</t>
  </si>
  <si>
    <t>160 estanques piscícolas intervenidos</t>
  </si>
  <si>
    <t>No. productores piscícolas intervenidos</t>
  </si>
  <si>
    <t>Fomento del programa de cultivos masivos: papa, tomate aliño, frijol, maíz, alverja, hortalizas, verduras, frutales, aguacate</t>
  </si>
  <si>
    <t>Fomentar programas de cultivos como alternativa de diverisificación de la economia familiar del pequeño productor</t>
  </si>
  <si>
    <t>Fomentar e implementar alterantivas productivas de cultivos de Maiz, frijol, arveja, hortalizas, verduras y frutales de clima frio y calido.</t>
  </si>
  <si>
    <t>48 predios implementados en diferentes cultivos masivos</t>
  </si>
  <si>
    <t>No. predios implementados</t>
  </si>
  <si>
    <t>UMATA-SENA-SEC AGRICULTURA-CORANTIOQUIA-EPM</t>
  </si>
  <si>
    <t>ECONOMIA Y EMPRENDIMIENTO</t>
  </si>
  <si>
    <t>AGROINDUSTRIA Y TECNOLOGIA</t>
  </si>
  <si>
    <t>FOMENTO AGROPECUARIO</t>
  </si>
  <si>
    <t>Fomento a la  Industrialización para dar valor agregado a productos agropecuarios.</t>
  </si>
  <si>
    <t>Fomentar y estimular la agroindustralización para la transformación de productos agropecuarios</t>
  </si>
  <si>
    <t>Fomentar y estimular la creación de agroindustrias  para la transformación de productos agropecuarios que permitan darle valor agregado a los productos mejorando la economia de productor.</t>
  </si>
  <si>
    <t>4 agroindustrias implementadas</t>
  </si>
  <si>
    <t>No. agroindustrias implementadas</t>
  </si>
  <si>
    <t>UMATA-SEC EDUCACION-UNIVERSIDADES-EMPRENDIMIENTO</t>
  </si>
  <si>
    <t>Implementar el CENTRO DE DESARROLLO TECNOLOGICO</t>
  </si>
  <si>
    <t>Implementar un Centro de Investigaciones y desarrollo para la  aplicación de tecnologías innovadoras y fomento a la investigación.</t>
  </si>
  <si>
    <t>Gestionar 1 CDT</t>
  </si>
  <si>
    <t>No. CDTs implementados</t>
  </si>
  <si>
    <t>UMATA-SEC EDUCACION-UNIVERSIDADES</t>
  </si>
  <si>
    <t>Estimular y fomentar a los estudiantes en la incursión en nuevas teconlogías y su aplicación a programas agropecuarios</t>
  </si>
  <si>
    <t>Desarrollar programas de formación práctico-educativa estimulando la investigación y la inmersión en tecnologías de punta para el desarrollo sostenible del sector agorpecuario</t>
  </si>
  <si>
    <t>Realizar  3 ferias de la Ciencia que estimulen la creatvidad</t>
  </si>
  <si>
    <t>No. Ferias de la ciencia realizadas</t>
  </si>
  <si>
    <t>Estimular el crecimiento agropecuario e industrial a través del crédito y microcrédito de fomento</t>
  </si>
  <si>
    <t>Capacitar y fomentar la asociatividad y el emprendimiento en la comunidad</t>
  </si>
  <si>
    <t>Fomentar la asociatividad y el emprendimiento con promocion de acceso  al crédito, que permita la sustentabilidad y sostenibilidad de los procesos agropecuarios</t>
  </si>
  <si>
    <t>8 comunidades incluidas en programas de emprendimiento.</t>
  </si>
  <si>
    <t>No. Comunidades incluidas en programas de fomento</t>
  </si>
  <si>
    <t>Realización de eventos de capacitación y transferencia de Tecnologia: foros, talleres, seminarios, conferencias, conversatorios</t>
  </si>
  <si>
    <t>Realizar eventos con temas agropecuarios y ambientales de sensibilización y aprendizaje.</t>
  </si>
  <si>
    <t>Realizar eventos abiertos para divulgación formativa y tecnológica que contribuyan al manejo técnico, raciional y eficiente de los programas agro-ambientales.</t>
  </si>
  <si>
    <t>8 eventos realizados</t>
  </si>
  <si>
    <t>No. eventos realizados</t>
  </si>
  <si>
    <t>BIENESTAR SOCIAL Y CONVIVENCIA CIUDADADA</t>
  </si>
  <si>
    <t>SRO UN MPIO AMBIENTALMENTE SOSTENIBLE</t>
  </si>
  <si>
    <t>DESARROLLO ECONÓMICO Y EFICIENCIADMINISTRATIVA</t>
  </si>
  <si>
    <t>Establecimiento de rutas turiísticas</t>
  </si>
  <si>
    <t>Realización de inventario de los sitios turísticos y con potencial en el Municipio</t>
  </si>
  <si>
    <t>De turísmo por las rutas santarrosanas</t>
  </si>
  <si>
    <t>Tener actualizado el inventario de los sitios turísticos y con potencial en el municipio</t>
  </si>
  <si>
    <t>Incentivar a la comunidad en general para que presenten sus iniciativas empresariales y apoyar económicamente a las iniciativas ganadoras.</t>
  </si>
  <si>
    <r>
      <rPr>
        <sz val="10"/>
        <rFont val="Tahoma"/>
        <family val="2"/>
      </rPr>
      <t>Promover y</t>
    </r>
    <r>
      <rPr>
        <sz val="10"/>
        <color rgb="FFFF0000"/>
        <rFont val="Tahoma"/>
        <family val="2"/>
      </rPr>
      <t xml:space="preserve"> </t>
    </r>
    <r>
      <rPr>
        <sz val="10"/>
        <color theme="1"/>
        <rFont val="Tahoma"/>
        <family val="2"/>
      </rPr>
      <t>Fortalecer los sitios y edificios con potencial turístico.</t>
    </r>
  </si>
  <si>
    <t>INDI CADOR</t>
  </si>
  <si>
    <t>Fomento a programas de CIENCIA, TECNOLOGÍA E INNOVACION.</t>
  </si>
  <si>
    <t>PLAN DE ACCIÓN OFICINA DE PRODUCTIVIDAD Y COMPETITIVIDAD DEL MUNICIPIO DE SANTA ROSA DE OSOS</t>
  </si>
  <si>
    <t>Promover el desarrollo turístico y de movilidad asociado al clima y el paisaje en el Caney-San pablo a través de cables aéreos</t>
  </si>
  <si>
    <t>Incentivar las Industrias que utilizan mano de obra Local</t>
  </si>
  <si>
    <t>Disponer de una base de datos actualizada, con  perfiles definidos de los solicitantes, Ser el ente articulador entre el empleado y el empleador para tener una efectiva incersión laboral , generando mas y mejores empleos en el Municipio.</t>
  </si>
  <si>
    <t>No. Asesorías dictadas</t>
  </si>
  <si>
    <t>No. De empresas legalizadas o actualizadas</t>
  </si>
  <si>
    <t>No. De capacitaciones dictadas</t>
  </si>
  <si>
    <t>No. De ferias o ruedas de negocio realizadas</t>
  </si>
  <si>
    <t>No. De empresas fortalecidas</t>
  </si>
  <si>
    <t>OFICINA DE EMPRENDIMIENTO CON CADA UNA DE LAS DEPENDENCIAS RELACIONADAS A CADA UNO DE LOS PROYECTOS</t>
  </si>
  <si>
    <t>Encargado de Turísmo</t>
  </si>
  <si>
    <t>Promoción, divulgación y potencialización de sitios y edificios con Potencial Turístico</t>
  </si>
  <si>
    <t>Posicionamiento de Sitios, edificios y centros turísticos santarrosanos</t>
  </si>
  <si>
    <t>Inventario Turístico</t>
  </si>
  <si>
    <t>1 Inventario Turístico realizado</t>
  </si>
  <si>
    <t>OBJETIVO PRODUCTO</t>
  </si>
  <si>
    <t>1 Cable Aéreo Gestionado</t>
  </si>
  <si>
    <t>Cable aéreo gestionado</t>
  </si>
  <si>
    <t>1 Plan de Promoción  y Difución de los sitios Turísticos</t>
  </si>
  <si>
    <t>Plan de Promoción</t>
  </si>
  <si>
    <t xml:space="preserve">Definir  rutas turísticas y eco-turísticas </t>
  </si>
  <si>
    <t xml:space="preserve">1 Plan de Rutas Turísticas </t>
  </si>
  <si>
    <t>Plan de Ruta Turística</t>
  </si>
  <si>
    <t>SANTA ROSA DE OSOS UN MUNICIPIO COMPETITIVO y TURISTICO</t>
  </si>
  <si>
    <t>Fortalecimiento y/o creación de Nueva Empresa</t>
  </si>
  <si>
    <t>1 Acuerdo Municipal de Política Pública para incentivar la generación de nuevos empleos</t>
  </si>
  <si>
    <t>Incentivar la creación y /o fortalecimiento de   empresas que creen nuevos puestos de trabajo</t>
  </si>
  <si>
    <t>Inicitivas Empresariales</t>
  </si>
  <si>
    <t>8 Iniciativas Empresariales asesoradas en el cuatrienio</t>
  </si>
  <si>
    <t>No. Iniciativas asesoradas</t>
  </si>
  <si>
    <t>"Santa Rosa es Empresa"</t>
  </si>
  <si>
    <t>1 Concurso de iniciativas empresariales para la motivación  y creación de Nueva Empresa por año</t>
  </si>
  <si>
    <t>Número de Concursos</t>
  </si>
  <si>
    <t>Asesoría empresarial</t>
  </si>
  <si>
    <t>Asesorar la creación de nuevas empreass</t>
  </si>
  <si>
    <t>16 Asesorías realizadas a nuevos empresarios</t>
  </si>
  <si>
    <t>Sistema de Información Empresarial</t>
  </si>
  <si>
    <t>Sistematizar información empresarial  dfel Municipio</t>
  </si>
  <si>
    <t>400 empresas incluidas en la base de datos del Municipio</t>
  </si>
  <si>
    <t>No. De  empresas registradas</t>
  </si>
  <si>
    <t>Formalización y/o actualización empresarial</t>
  </si>
  <si>
    <t>12 Empresas locales con legalizaciones actualizadas</t>
  </si>
  <si>
    <t>Asesorar la formación y legalización de empresas acorde con la normativa vigente</t>
  </si>
  <si>
    <t>Formación de Emprendedores</t>
  </si>
  <si>
    <t>Capacitar a nuevos emprendedores en formación de empresa y competitividad</t>
  </si>
  <si>
    <t>33  Capacitaciones a nuevos empresarios realizadas en el cuatrienio</t>
  </si>
  <si>
    <t>Generar alianzas estrategicas  para el fortalecimiento empresarial</t>
  </si>
  <si>
    <t xml:space="preserve"> 9  Ferias de Negocios desarrolladas en el cuatrienio</t>
  </si>
  <si>
    <t>Ferias Empresariales</t>
  </si>
  <si>
    <t>Sistema Crediticio</t>
  </si>
  <si>
    <t>Promover  un sistema crediticio para los pequeños y medianos empresarios  para el fortalecimiento empresarial</t>
  </si>
  <si>
    <t>1 Banco de oportunidades gestionado en el cuatrienio</t>
  </si>
  <si>
    <t xml:space="preserve">No. De bancos de hojas de vida </t>
  </si>
  <si>
    <t>Bancos de oportunidades c</t>
  </si>
  <si>
    <t>Alianzas Empresariales de Cooperación Nacional e Internacional</t>
  </si>
  <si>
    <t>Alianzas estratégicas empresariales</t>
  </si>
  <si>
    <t>Alianzas formalizadas</t>
  </si>
  <si>
    <t>16   Alianza estratégicas empresarial formalizada</t>
  </si>
  <si>
    <t>8 empresas fortalecidas con capital semilla en el cutrienio</t>
  </si>
  <si>
    <t>Centro de Empleo</t>
  </si>
  <si>
    <t>Capital semilla</t>
  </si>
  <si>
    <t xml:space="preserve">900 personas inscritas en el Banco de Hojas de vida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</si>
</sst>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\ #,##0_);[Red]\(&quot;$&quot;\ #,##0\)"/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0.0%"/>
    <numFmt numFmtId="166" formatCode="0.0000"/>
    <numFmt numFmtId="167" formatCode="0.00000"/>
    <numFmt numFmtId="168" formatCode="&quot;$&quot;\ #,##0.0000_);[Red]\(&quot;$&quot;\ #,##0.0000\)"/>
    <numFmt numFmtId="169" formatCode="#,##0.0000_);[Red]\(#,##0.0000\)"/>
    <numFmt numFmtId="170" formatCode="0.0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Tahoma"/>
      <family val="2"/>
    </font>
    <font>
      <sz val="14"/>
      <color theme="1"/>
      <name val="Tahoma"/>
      <family val="2"/>
    </font>
    <font>
      <sz val="10"/>
      <color theme="1"/>
      <name val="Tahoma"/>
      <family val="2"/>
    </font>
    <font>
      <sz val="18"/>
      <color theme="1"/>
      <name val="Tahoma"/>
      <family val="2"/>
    </font>
    <font>
      <sz val="16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gency FB"/>
      <family val="2"/>
    </font>
    <font>
      <sz val="8"/>
      <color indexed="8"/>
      <name val="Agency FB"/>
      <family val="2"/>
    </font>
    <font>
      <b/>
      <sz val="14"/>
      <color theme="1"/>
      <name val="Calibri"/>
      <family val="2"/>
      <scheme val="minor"/>
    </font>
    <font>
      <sz val="10"/>
      <color rgb="FFFF0000"/>
      <name val="Tahoma"/>
      <family val="2"/>
    </font>
    <font>
      <sz val="10"/>
      <name val="Tahoma"/>
      <family val="2"/>
    </font>
    <font>
      <sz val="20"/>
      <color theme="1"/>
      <name val="Tahom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93">
    <xf numFmtId="0" fontId="0" fillId="0" borderId="0" xfId="0"/>
    <xf numFmtId="0" fontId="0" fillId="0" borderId="3" xfId="0" applyBorder="1"/>
    <xf numFmtId="0" fontId="0" fillId="0" borderId="0" xfId="0" applyFont="1"/>
    <xf numFmtId="0" fontId="8" fillId="2" borderId="7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3" xfId="0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0" fillId="2" borderId="0" xfId="0" applyFont="1" applyFill="1"/>
    <xf numFmtId="3" fontId="11" fillId="2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6" fontId="15" fillId="2" borderId="0" xfId="0" applyNumberFormat="1" applyFont="1" applyFill="1" applyAlignment="1">
      <alignment vertical="center"/>
    </xf>
    <xf numFmtId="6" fontId="16" fillId="2" borderId="8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6" fontId="8" fillId="2" borderId="2" xfId="0" applyNumberFormat="1" applyFont="1" applyFill="1" applyBorder="1" applyAlignment="1">
      <alignment horizontal="center" vertical="center" wrapText="1"/>
    </xf>
    <xf numFmtId="165" fontId="4" fillId="2" borderId="3" xfId="2" applyNumberFormat="1" applyFont="1" applyFill="1" applyBorder="1" applyAlignment="1">
      <alignment horizontal="center" vertical="center"/>
    </xf>
    <xf numFmtId="9" fontId="8" fillId="2" borderId="14" xfId="0" applyNumberFormat="1" applyFont="1" applyFill="1" applyBorder="1" applyAlignment="1">
      <alignment horizontal="center" vertical="center" wrapText="1"/>
    </xf>
    <xf numFmtId="166" fontId="8" fillId="2" borderId="14" xfId="0" applyNumberFormat="1" applyFont="1" applyFill="1" applyBorder="1" applyAlignment="1">
      <alignment horizontal="center" vertical="center" wrapText="1"/>
    </xf>
    <xf numFmtId="167" fontId="8" fillId="2" borderId="14" xfId="0" applyNumberFormat="1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168" fontId="8" fillId="2" borderId="14" xfId="0" applyNumberFormat="1" applyFont="1" applyFill="1" applyBorder="1" applyAlignment="1">
      <alignment horizontal="center" vertical="center" wrapText="1"/>
    </xf>
    <xf numFmtId="169" fontId="8" fillId="2" borderId="14" xfId="0" applyNumberFormat="1" applyFont="1" applyFill="1" applyBorder="1" applyAlignment="1">
      <alignment horizontal="center" vertical="center" wrapText="1"/>
    </xf>
    <xf numFmtId="6" fontId="7" fillId="2" borderId="2" xfId="0" applyNumberFormat="1" applyFont="1" applyFill="1" applyBorder="1" applyAlignment="1">
      <alignment horizontal="center" vertical="center"/>
    </xf>
    <xf numFmtId="9" fontId="7" fillId="2" borderId="2" xfId="0" applyNumberFormat="1" applyFont="1" applyFill="1" applyBorder="1" applyAlignment="1">
      <alignment horizontal="center" vertical="center"/>
    </xf>
    <xf numFmtId="6" fontId="8" fillId="2" borderId="4" xfId="0" applyNumberFormat="1" applyFont="1" applyFill="1" applyBorder="1" applyAlignment="1">
      <alignment horizontal="center" vertical="center" wrapText="1"/>
    </xf>
    <xf numFmtId="6" fontId="7" fillId="2" borderId="17" xfId="0" applyNumberFormat="1" applyFont="1" applyFill="1" applyBorder="1" applyAlignment="1">
      <alignment horizontal="center" vertical="center"/>
    </xf>
    <xf numFmtId="9" fontId="7" fillId="2" borderId="16" xfId="0" applyNumberFormat="1" applyFont="1" applyFill="1" applyBorder="1" applyAlignment="1">
      <alignment horizontal="center" vertical="center"/>
    </xf>
    <xf numFmtId="6" fontId="8" fillId="2" borderId="18" xfId="0" applyNumberFormat="1" applyFont="1" applyFill="1" applyBorder="1" applyAlignment="1">
      <alignment horizontal="center" vertical="center" wrapText="1"/>
    </xf>
    <xf numFmtId="6" fontId="7" fillId="2" borderId="19" xfId="0" applyNumberFormat="1" applyFont="1" applyFill="1" applyBorder="1" applyAlignment="1">
      <alignment horizontal="center" vertical="center"/>
    </xf>
    <xf numFmtId="6" fontId="8" fillId="2" borderId="20" xfId="0" applyNumberFormat="1" applyFont="1" applyFill="1" applyBorder="1" applyAlignment="1">
      <alignment horizontal="center" vertical="center" wrapText="1"/>
    </xf>
    <xf numFmtId="6" fontId="7" fillId="2" borderId="21" xfId="0" applyNumberFormat="1" applyFont="1" applyFill="1" applyBorder="1" applyAlignment="1">
      <alignment horizontal="center" vertical="center"/>
    </xf>
    <xf numFmtId="9" fontId="7" fillId="2" borderId="22" xfId="0" applyNumberFormat="1" applyFont="1" applyFill="1" applyBorder="1" applyAlignment="1">
      <alignment horizontal="center" vertical="center"/>
    </xf>
    <xf numFmtId="6" fontId="8" fillId="2" borderId="23" xfId="0" applyNumberFormat="1" applyFont="1" applyFill="1" applyBorder="1" applyAlignment="1">
      <alignment horizontal="center" vertical="center" wrapText="1"/>
    </xf>
    <xf numFmtId="6" fontId="7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165" fontId="4" fillId="2" borderId="5" xfId="2" applyNumberFormat="1" applyFont="1" applyFill="1" applyBorder="1" applyAlignment="1">
      <alignment horizontal="center" vertical="center"/>
    </xf>
    <xf numFmtId="9" fontId="4" fillId="2" borderId="5" xfId="2" applyFont="1" applyFill="1" applyBorder="1" applyAlignment="1">
      <alignment horizontal="center" vertical="center"/>
    </xf>
    <xf numFmtId="6" fontId="4" fillId="2" borderId="5" xfId="0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42" fontId="4" fillId="2" borderId="5" xfId="2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0" xfId="0" applyFill="1"/>
    <xf numFmtId="0" fontId="21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7" fillId="2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6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9" fontId="4" fillId="2" borderId="3" xfId="2" applyFont="1" applyFill="1" applyBorder="1" applyAlignment="1">
      <alignment horizontal="center" vertical="center"/>
    </xf>
    <xf numFmtId="166" fontId="4" fillId="2" borderId="3" xfId="2" applyNumberFormat="1" applyFont="1" applyFill="1" applyBorder="1" applyAlignment="1">
      <alignment horizontal="center" vertical="center"/>
    </xf>
    <xf numFmtId="0" fontId="0" fillId="2" borderId="3" xfId="0" applyFill="1" applyBorder="1"/>
    <xf numFmtId="164" fontId="4" fillId="2" borderId="3" xfId="1" applyNumberFormat="1" applyFont="1" applyFill="1" applyBorder="1" applyAlignment="1">
      <alignment horizontal="center" vertical="center"/>
    </xf>
    <xf numFmtId="9" fontId="4" fillId="2" borderId="3" xfId="0" applyNumberFormat="1" applyFont="1" applyFill="1" applyBorder="1" applyAlignment="1">
      <alignment horizontal="center" vertical="center"/>
    </xf>
    <xf numFmtId="165" fontId="4" fillId="2" borderId="2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justify" vertical="justify"/>
    </xf>
    <xf numFmtId="167" fontId="4" fillId="2" borderId="3" xfId="2" applyNumberFormat="1" applyFont="1" applyFill="1" applyBorder="1" applyAlignment="1">
      <alignment horizontal="center" vertical="center"/>
    </xf>
    <xf numFmtId="170" fontId="4" fillId="2" borderId="3" xfId="2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left" vertical="center" wrapText="1"/>
    </xf>
    <xf numFmtId="9" fontId="4" fillId="2" borderId="14" xfId="2" applyFont="1" applyFill="1" applyBorder="1" applyAlignment="1">
      <alignment horizontal="center" vertical="center"/>
    </xf>
    <xf numFmtId="6" fontId="4" fillId="2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 wrapText="1"/>
    </xf>
    <xf numFmtId="6" fontId="4" fillId="2" borderId="3" xfId="0" applyNumberFormat="1" applyFont="1" applyFill="1" applyBorder="1" applyAlignment="1">
      <alignment vertical="center"/>
    </xf>
    <xf numFmtId="165" fontId="4" fillId="2" borderId="14" xfId="2" applyNumberFormat="1" applyFont="1" applyFill="1" applyBorder="1" applyAlignment="1">
      <alignment horizontal="center" vertical="center"/>
    </xf>
    <xf numFmtId="1" fontId="4" fillId="2" borderId="3" xfId="2" applyNumberFormat="1" applyFont="1" applyFill="1" applyBorder="1" applyAlignment="1">
      <alignment horizontal="center" vertical="center"/>
    </xf>
    <xf numFmtId="1" fontId="4" fillId="2" borderId="3" xfId="2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textRotation="90"/>
    </xf>
    <xf numFmtId="0" fontId="20" fillId="2" borderId="0" xfId="0" applyFont="1" applyFill="1" applyBorder="1" applyAlignment="1">
      <alignment horizontal="center" vertical="center" textRotation="90"/>
    </xf>
    <xf numFmtId="0" fontId="6" fillId="2" borderId="0" xfId="0" applyFont="1" applyFill="1" applyBorder="1" applyAlignment="1">
      <alignment horizontal="center" vertical="center" textRotation="90"/>
    </xf>
    <xf numFmtId="0" fontId="5" fillId="2" borderId="0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0" xfId="0" applyFill="1" applyBorder="1"/>
    <xf numFmtId="6" fontId="0" fillId="2" borderId="0" xfId="0" applyNumberFormat="1" applyFill="1" applyBorder="1"/>
    <xf numFmtId="0" fontId="0" fillId="2" borderId="1" xfId="0" applyFill="1" applyBorder="1"/>
    <xf numFmtId="0" fontId="0" fillId="2" borderId="12" xfId="0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2" applyNumberFormat="1" applyFont="1" applyFill="1" applyBorder="1" applyAlignment="1">
      <alignment horizontal="center" vertical="center"/>
    </xf>
    <xf numFmtId="9" fontId="4" fillId="2" borderId="3" xfId="0" applyNumberFormat="1" applyFont="1" applyFill="1" applyBorder="1" applyAlignment="1">
      <alignment vertical="center"/>
    </xf>
    <xf numFmtId="6" fontId="4" fillId="2" borderId="14" xfId="0" applyNumberFormat="1" applyFont="1" applyFill="1" applyBorder="1" applyAlignment="1">
      <alignment vertical="center"/>
    </xf>
    <xf numFmtId="9" fontId="4" fillId="2" borderId="14" xfId="0" applyNumberFormat="1" applyFont="1" applyFill="1" applyBorder="1" applyAlignment="1">
      <alignment horizontal="center" vertical="center"/>
    </xf>
    <xf numFmtId="42" fontId="4" fillId="2" borderId="3" xfId="2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165" fontId="4" fillId="2" borderId="2" xfId="2" applyNumberFormat="1" applyFont="1" applyFill="1" applyBorder="1" applyAlignment="1">
      <alignment horizontal="center" vertical="center"/>
    </xf>
    <xf numFmtId="165" fontId="4" fillId="2" borderId="14" xfId="2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textRotation="90"/>
    </xf>
    <xf numFmtId="0" fontId="20" fillId="2" borderId="7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textRotation="90"/>
    </xf>
    <xf numFmtId="0" fontId="19" fillId="2" borderId="2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14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7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</cellXfs>
  <cellStyles count="5">
    <cellStyle name="Moneda" xfId="1" builtinId="4"/>
    <cellStyle name="Normal" xfId="0" builtinId="0"/>
    <cellStyle name="Porcentaje" xfId="2" builtinId="5"/>
    <cellStyle name="Porcentual 2" xfId="3"/>
    <cellStyle name="Porcentu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7</xdr:row>
      <xdr:rowOff>104776</xdr:rowOff>
    </xdr:from>
    <xdr:to>
      <xdr:col>0</xdr:col>
      <xdr:colOff>704851</xdr:colOff>
      <xdr:row>7</xdr:row>
      <xdr:rowOff>114300</xdr:rowOff>
    </xdr:to>
    <xdr:cxnSp macro="">
      <xdr:nvCxnSpPr>
        <xdr:cNvPr id="2" name="1 Conector recto"/>
        <xdr:cNvCxnSpPr/>
      </xdr:nvCxnSpPr>
      <xdr:spPr>
        <a:xfrm flipH="1">
          <a:off x="266700" y="1438276"/>
          <a:ext cx="438151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7</xdr:row>
      <xdr:rowOff>104775</xdr:rowOff>
    </xdr:from>
    <xdr:to>
      <xdr:col>0</xdr:col>
      <xdr:colOff>276225</xdr:colOff>
      <xdr:row>15</xdr:row>
      <xdr:rowOff>114300</xdr:rowOff>
    </xdr:to>
    <xdr:cxnSp macro="">
      <xdr:nvCxnSpPr>
        <xdr:cNvPr id="3" name="2 Conector recto"/>
        <xdr:cNvCxnSpPr/>
      </xdr:nvCxnSpPr>
      <xdr:spPr>
        <a:xfrm>
          <a:off x="276225" y="1438275"/>
          <a:ext cx="0" cy="1533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295275</xdr:colOff>
      <xdr:row>15</xdr:row>
      <xdr:rowOff>104775</xdr:rowOff>
    </xdr:from>
    <xdr:to>
      <xdr:col>0</xdr:col>
      <xdr:colOff>733425</xdr:colOff>
      <xdr:row>15</xdr:row>
      <xdr:rowOff>114300</xdr:rowOff>
    </xdr:to>
    <xdr:cxnSp macro="">
      <xdr:nvCxnSpPr>
        <xdr:cNvPr id="4" name="3 Conector recto de flecha"/>
        <xdr:cNvCxnSpPr/>
      </xdr:nvCxnSpPr>
      <xdr:spPr>
        <a:xfrm flipV="1">
          <a:off x="295275" y="2962275"/>
          <a:ext cx="4381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7"/>
  <sheetViews>
    <sheetView tabSelected="1" topLeftCell="E1" zoomScale="70" zoomScaleNormal="70" workbookViewId="0">
      <selection activeCell="I3" sqref="I3:I7"/>
    </sheetView>
  </sheetViews>
  <sheetFormatPr baseColWidth="10" defaultRowHeight="15" x14ac:dyDescent="0.25"/>
  <cols>
    <col min="1" max="1" width="6.7109375" style="56" customWidth="1"/>
    <col min="2" max="3" width="11.42578125" style="56"/>
    <col min="4" max="4" width="11.42578125" style="56" customWidth="1"/>
    <col min="5" max="5" width="14.140625" style="56" customWidth="1"/>
    <col min="6" max="7" width="22.7109375" style="56" customWidth="1"/>
    <col min="8" max="8" width="9.140625" style="56" customWidth="1"/>
    <col min="9" max="9" width="38.7109375" style="56" customWidth="1"/>
    <col min="10" max="10" width="7.7109375" style="56" customWidth="1"/>
    <col min="11" max="11" width="37.42578125" style="56" customWidth="1"/>
    <col min="12" max="12" width="14.28515625" style="56" customWidth="1"/>
    <col min="13" max="13" width="8.5703125" style="56" customWidth="1"/>
    <col min="14" max="14" width="8" style="56" customWidth="1"/>
    <col min="15" max="15" width="8.5703125" style="56" customWidth="1"/>
    <col min="16" max="16" width="9.7109375" style="56" customWidth="1"/>
    <col min="17" max="20" width="6.7109375" style="56" customWidth="1"/>
    <col min="21" max="22" width="5.7109375" style="56" customWidth="1"/>
    <col min="23" max="23" width="6.7109375" style="56" customWidth="1"/>
    <col min="24" max="24" width="13.140625" style="56" customWidth="1"/>
    <col min="25" max="25" width="6.7109375" style="56" customWidth="1"/>
    <col min="26" max="26" width="12" style="56" customWidth="1"/>
    <col min="27" max="28" width="5.7109375" style="56" customWidth="1"/>
    <col min="29" max="29" width="6.7109375" style="56" customWidth="1"/>
    <col min="30" max="30" width="10.28515625" style="56" customWidth="1"/>
    <col min="31" max="31" width="6.7109375" style="56" customWidth="1"/>
    <col min="32" max="32" width="10.42578125" style="56" customWidth="1"/>
    <col min="33" max="34" width="5.7109375" style="56" customWidth="1"/>
    <col min="35" max="35" width="6.7109375" style="56" customWidth="1"/>
    <col min="36" max="36" width="11" style="56" customWidth="1"/>
    <col min="37" max="37" width="6.7109375" style="56" customWidth="1"/>
    <col min="38" max="38" width="12.140625" style="56" customWidth="1"/>
    <col min="39" max="39" width="13.42578125" style="56" customWidth="1"/>
    <col min="40" max="46" width="11.42578125" style="56" customWidth="1"/>
    <col min="47" max="47" width="13.7109375" style="56" customWidth="1"/>
    <col min="48" max="48" width="15.140625" style="56" customWidth="1"/>
    <col min="49" max="49" width="11.42578125" style="56" customWidth="1"/>
    <col min="50" max="50" width="13" style="56" customWidth="1"/>
    <col min="51" max="51" width="13.42578125" style="56" customWidth="1"/>
    <col min="52" max="65" width="11.42578125" style="56" customWidth="1"/>
    <col min="66" max="67" width="11.42578125" style="56"/>
    <col min="68" max="78" width="7.7109375" style="56" customWidth="1"/>
    <col min="79" max="16384" width="11.42578125" style="56"/>
  </cols>
  <sheetData>
    <row r="1" spans="2:81" ht="18.75" x14ac:dyDescent="0.3">
      <c r="C1" s="73" t="s">
        <v>153</v>
      </c>
    </row>
    <row r="2" spans="2:81" ht="12" customHeight="1" thickBot="1" x14ac:dyDescent="0.3"/>
    <row r="3" spans="2:81" s="14" customFormat="1" ht="15" customHeight="1" x14ac:dyDescent="0.25">
      <c r="B3" s="186" t="s">
        <v>0</v>
      </c>
      <c r="C3" s="153" t="s">
        <v>1</v>
      </c>
      <c r="D3" s="153" t="s">
        <v>2</v>
      </c>
      <c r="E3" s="153" t="s">
        <v>3</v>
      </c>
      <c r="F3" s="153" t="s">
        <v>4</v>
      </c>
      <c r="G3" s="145" t="s">
        <v>34</v>
      </c>
      <c r="H3" s="145" t="s">
        <v>35</v>
      </c>
      <c r="I3" s="153" t="s">
        <v>168</v>
      </c>
      <c r="J3" s="186" t="s">
        <v>5</v>
      </c>
      <c r="K3" s="186" t="s">
        <v>6</v>
      </c>
      <c r="L3" s="186" t="s">
        <v>151</v>
      </c>
      <c r="M3" s="65"/>
      <c r="N3" s="148" t="s">
        <v>7</v>
      </c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50"/>
      <c r="AM3" s="140" t="s">
        <v>37</v>
      </c>
      <c r="AN3" s="142" t="s">
        <v>38</v>
      </c>
      <c r="AO3" s="142" t="s">
        <v>39</v>
      </c>
      <c r="AP3" s="175" t="s">
        <v>8</v>
      </c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63"/>
      <c r="BB3" s="160" t="s">
        <v>9</v>
      </c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42" t="s">
        <v>41</v>
      </c>
      <c r="BO3" s="142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162" t="s">
        <v>10</v>
      </c>
      <c r="CB3" s="163"/>
      <c r="CC3" s="164"/>
    </row>
    <row r="4" spans="2:81" s="14" customFormat="1" x14ac:dyDescent="0.25">
      <c r="B4" s="186"/>
      <c r="C4" s="154"/>
      <c r="D4" s="154"/>
      <c r="E4" s="154"/>
      <c r="F4" s="154"/>
      <c r="G4" s="146"/>
      <c r="H4" s="146"/>
      <c r="I4" s="154"/>
      <c r="J4" s="186"/>
      <c r="K4" s="186"/>
      <c r="L4" s="186"/>
      <c r="M4" s="173">
        <v>2012</v>
      </c>
      <c r="N4" s="174"/>
      <c r="O4" s="174"/>
      <c r="P4" s="174"/>
      <c r="Q4" s="174"/>
      <c r="R4" s="174"/>
      <c r="S4" s="174"/>
      <c r="T4" s="175"/>
      <c r="U4" s="173">
        <v>2013</v>
      </c>
      <c r="V4" s="174"/>
      <c r="W4" s="174"/>
      <c r="X4" s="174"/>
      <c r="Y4" s="174"/>
      <c r="Z4" s="175"/>
      <c r="AA4" s="173">
        <v>2014</v>
      </c>
      <c r="AB4" s="174"/>
      <c r="AC4" s="174"/>
      <c r="AD4" s="174"/>
      <c r="AE4" s="174"/>
      <c r="AF4" s="175"/>
      <c r="AG4" s="176">
        <v>2015</v>
      </c>
      <c r="AH4" s="176"/>
      <c r="AI4" s="176"/>
      <c r="AJ4" s="176"/>
      <c r="AK4" s="176"/>
      <c r="AL4" s="176"/>
      <c r="AM4" s="141"/>
      <c r="AN4" s="142"/>
      <c r="AO4" s="142"/>
      <c r="AP4" s="64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3"/>
      <c r="BB4" s="61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158">
        <v>98070622</v>
      </c>
      <c r="BO4" s="158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65"/>
      <c r="CB4" s="166"/>
      <c r="CC4" s="167"/>
    </row>
    <row r="5" spans="2:81" s="14" customFormat="1" ht="36" customHeight="1" x14ac:dyDescent="0.25">
      <c r="B5" s="186"/>
      <c r="C5" s="154"/>
      <c r="D5" s="154"/>
      <c r="E5" s="154"/>
      <c r="F5" s="154"/>
      <c r="G5" s="146"/>
      <c r="H5" s="146"/>
      <c r="I5" s="154"/>
      <c r="J5" s="186"/>
      <c r="K5" s="186"/>
      <c r="L5" s="186"/>
      <c r="M5" s="151" t="s">
        <v>28</v>
      </c>
      <c r="N5" s="151" t="s">
        <v>15</v>
      </c>
      <c r="O5" s="21">
        <f>SUM(AP12:AP23)</f>
        <v>0</v>
      </c>
      <c r="P5" s="22">
        <f>SUM(AM12:AM23)</f>
        <v>220000</v>
      </c>
      <c r="Q5" s="12"/>
      <c r="R5" s="13"/>
      <c r="S5" s="143" t="s">
        <v>29</v>
      </c>
      <c r="T5" s="144"/>
      <c r="U5" s="151" t="s">
        <v>36</v>
      </c>
      <c r="V5" s="151" t="s">
        <v>15</v>
      </c>
      <c r="W5" s="178"/>
      <c r="X5" s="178"/>
      <c r="Y5" s="178"/>
      <c r="Z5" s="185"/>
      <c r="AA5" s="68"/>
      <c r="AB5" s="68"/>
      <c r="AC5" s="152"/>
      <c r="AD5" s="152"/>
      <c r="AE5" s="152"/>
      <c r="AF5" s="144"/>
      <c r="AG5" s="3"/>
      <c r="AH5" s="3"/>
      <c r="AI5" s="156"/>
      <c r="AJ5" s="156"/>
      <c r="AK5" s="156"/>
      <c r="AL5" s="157"/>
      <c r="AM5" s="141"/>
      <c r="AN5" s="142"/>
      <c r="AO5" s="142"/>
      <c r="AP5" s="64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3"/>
      <c r="BB5" s="61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16"/>
      <c r="BN5" s="68" t="s">
        <v>42</v>
      </c>
      <c r="BO5" s="17">
        <f>+BO6/BN4%</f>
        <v>2.8958723235180459</v>
      </c>
      <c r="BP5" s="142" t="s">
        <v>46</v>
      </c>
      <c r="BQ5" s="142"/>
      <c r="BR5" s="142"/>
      <c r="BS5" s="142"/>
      <c r="BT5" s="142"/>
      <c r="BU5" s="142"/>
      <c r="BV5" s="142"/>
      <c r="BW5" s="142"/>
      <c r="BX5" s="177" t="s">
        <v>47</v>
      </c>
      <c r="BY5" s="178"/>
      <c r="BZ5" s="178"/>
      <c r="CA5" s="165"/>
      <c r="CB5" s="166"/>
      <c r="CC5" s="167"/>
    </row>
    <row r="6" spans="2:81" s="14" customFormat="1" ht="60" x14ac:dyDescent="0.25">
      <c r="B6" s="186"/>
      <c r="C6" s="154"/>
      <c r="D6" s="154"/>
      <c r="E6" s="154"/>
      <c r="F6" s="154"/>
      <c r="G6" s="146"/>
      <c r="H6" s="146"/>
      <c r="I6" s="154"/>
      <c r="J6" s="186"/>
      <c r="K6" s="186"/>
      <c r="L6" s="186"/>
      <c r="M6" s="147"/>
      <c r="N6" s="147"/>
      <c r="O6" s="143" t="s">
        <v>30</v>
      </c>
      <c r="P6" s="144"/>
      <c r="Q6" s="143" t="s">
        <v>31</v>
      </c>
      <c r="R6" s="144"/>
      <c r="S6" s="69" t="s">
        <v>32</v>
      </c>
      <c r="T6" s="69" t="s">
        <v>33</v>
      </c>
      <c r="U6" s="147"/>
      <c r="V6" s="147"/>
      <c r="W6" s="143" t="s">
        <v>30</v>
      </c>
      <c r="X6" s="144"/>
      <c r="Y6" s="143" t="s">
        <v>31</v>
      </c>
      <c r="Z6" s="144"/>
      <c r="AA6" s="68" t="s">
        <v>28</v>
      </c>
      <c r="AB6" s="68" t="s">
        <v>15</v>
      </c>
      <c r="AC6" s="143" t="s">
        <v>30</v>
      </c>
      <c r="AD6" s="144"/>
      <c r="AE6" s="143" t="s">
        <v>31</v>
      </c>
      <c r="AF6" s="144"/>
      <c r="AG6" s="68" t="s">
        <v>28</v>
      </c>
      <c r="AH6" s="68" t="s">
        <v>15</v>
      </c>
      <c r="AI6" s="143" t="s">
        <v>30</v>
      </c>
      <c r="AJ6" s="144"/>
      <c r="AK6" s="143" t="s">
        <v>31</v>
      </c>
      <c r="AL6" s="144"/>
      <c r="AM6" s="141"/>
      <c r="AN6" s="142"/>
      <c r="AO6" s="142"/>
      <c r="AP6" s="174">
        <v>2012</v>
      </c>
      <c r="AQ6" s="174"/>
      <c r="AR6" s="175"/>
      <c r="AS6" s="173">
        <v>2013</v>
      </c>
      <c r="AT6" s="174"/>
      <c r="AU6" s="175"/>
      <c r="AV6" s="173">
        <v>2014</v>
      </c>
      <c r="AW6" s="174"/>
      <c r="AX6" s="175"/>
      <c r="AY6" s="173">
        <v>2015</v>
      </c>
      <c r="AZ6" s="174"/>
      <c r="BA6" s="175"/>
      <c r="BB6" s="176" t="s">
        <v>11</v>
      </c>
      <c r="BC6" s="176"/>
      <c r="BD6" s="173" t="s">
        <v>12</v>
      </c>
      <c r="BE6" s="174"/>
      <c r="BF6" s="175"/>
      <c r="BG6" s="176" t="s">
        <v>13</v>
      </c>
      <c r="BH6" s="176"/>
      <c r="BI6" s="171" t="s">
        <v>77</v>
      </c>
      <c r="BJ6" s="172"/>
      <c r="BK6" s="173" t="s">
        <v>14</v>
      </c>
      <c r="BL6" s="174"/>
      <c r="BM6" s="175"/>
      <c r="BN6" s="60" t="s">
        <v>43</v>
      </c>
      <c r="BO6" s="18">
        <v>2840000</v>
      </c>
      <c r="BP6" s="181">
        <v>2012</v>
      </c>
      <c r="BQ6" s="157"/>
      <c r="BR6" s="181">
        <v>2013</v>
      </c>
      <c r="BS6" s="157"/>
      <c r="BT6" s="181">
        <v>2014</v>
      </c>
      <c r="BU6" s="157"/>
      <c r="BV6" s="181">
        <v>2015</v>
      </c>
      <c r="BW6" s="157"/>
      <c r="BX6" s="179"/>
      <c r="BY6" s="180"/>
      <c r="BZ6" s="180"/>
      <c r="CA6" s="168"/>
      <c r="CB6" s="169"/>
      <c r="CC6" s="170"/>
    </row>
    <row r="7" spans="2:81" s="14" customFormat="1" ht="24" customHeight="1" thickBot="1" x14ac:dyDescent="0.3">
      <c r="B7" s="186"/>
      <c r="C7" s="155"/>
      <c r="D7" s="155"/>
      <c r="E7" s="155"/>
      <c r="F7" s="155"/>
      <c r="G7" s="147"/>
      <c r="H7" s="147"/>
      <c r="I7" s="155"/>
      <c r="J7" s="186"/>
      <c r="K7" s="186"/>
      <c r="L7" s="186"/>
      <c r="M7" s="69"/>
      <c r="N7" s="69"/>
      <c r="O7" s="69" t="s">
        <v>32</v>
      </c>
      <c r="P7" s="69" t="s">
        <v>33</v>
      </c>
      <c r="Q7" s="69" t="s">
        <v>32</v>
      </c>
      <c r="R7" s="69" t="s">
        <v>33</v>
      </c>
      <c r="S7" s="69"/>
      <c r="T7" s="69"/>
      <c r="U7" s="69"/>
      <c r="V7" s="69"/>
      <c r="W7" s="69" t="s">
        <v>32</v>
      </c>
      <c r="X7" s="69" t="s">
        <v>33</v>
      </c>
      <c r="Y7" s="69" t="s">
        <v>32</v>
      </c>
      <c r="Z7" s="69" t="s">
        <v>33</v>
      </c>
      <c r="AA7" s="68"/>
      <c r="AB7" s="68"/>
      <c r="AC7" s="69" t="s">
        <v>32</v>
      </c>
      <c r="AD7" s="69" t="s">
        <v>33</v>
      </c>
      <c r="AE7" s="69" t="s">
        <v>32</v>
      </c>
      <c r="AF7" s="69" t="s">
        <v>33</v>
      </c>
      <c r="AG7" s="68"/>
      <c r="AH7" s="68"/>
      <c r="AI7" s="69" t="s">
        <v>32</v>
      </c>
      <c r="AJ7" s="69" t="s">
        <v>33</v>
      </c>
      <c r="AK7" s="69" t="s">
        <v>32</v>
      </c>
      <c r="AL7" s="69" t="s">
        <v>33</v>
      </c>
      <c r="AM7" s="19"/>
      <c r="AN7" s="20"/>
      <c r="AO7" s="20"/>
      <c r="AP7" s="71" t="s">
        <v>16</v>
      </c>
      <c r="AQ7" s="71" t="s">
        <v>15</v>
      </c>
      <c r="AR7" s="68" t="s">
        <v>40</v>
      </c>
      <c r="AS7" s="71" t="s">
        <v>16</v>
      </c>
      <c r="AT7" s="71" t="s">
        <v>15</v>
      </c>
      <c r="AU7" s="68" t="s">
        <v>40</v>
      </c>
      <c r="AV7" s="71" t="s">
        <v>16</v>
      </c>
      <c r="AW7" s="71" t="s">
        <v>15</v>
      </c>
      <c r="AX7" s="68" t="s">
        <v>40</v>
      </c>
      <c r="AY7" s="71" t="s">
        <v>16</v>
      </c>
      <c r="AZ7" s="71" t="s">
        <v>15</v>
      </c>
      <c r="BA7" s="68" t="s">
        <v>40</v>
      </c>
      <c r="BB7" s="71" t="s">
        <v>16</v>
      </c>
      <c r="BC7" s="71" t="s">
        <v>15</v>
      </c>
      <c r="BD7" s="71" t="s">
        <v>16</v>
      </c>
      <c r="BE7" s="71" t="s">
        <v>15</v>
      </c>
      <c r="BF7" s="71" t="s">
        <v>17</v>
      </c>
      <c r="BG7" s="71"/>
      <c r="BH7" s="71"/>
      <c r="BI7" s="71" t="s">
        <v>16</v>
      </c>
      <c r="BJ7" s="71" t="s">
        <v>15</v>
      </c>
      <c r="BK7" s="72" t="s">
        <v>16</v>
      </c>
      <c r="BL7" s="72" t="s">
        <v>15</v>
      </c>
      <c r="BM7" s="72" t="s">
        <v>18</v>
      </c>
      <c r="BN7" s="70" t="s">
        <v>44</v>
      </c>
      <c r="BO7" s="60" t="s">
        <v>45</v>
      </c>
      <c r="BP7" s="70" t="s">
        <v>16</v>
      </c>
      <c r="BQ7" s="60" t="s">
        <v>15</v>
      </c>
      <c r="BR7" s="70" t="s">
        <v>16</v>
      </c>
      <c r="BS7" s="60" t="s">
        <v>15</v>
      </c>
      <c r="BT7" s="70" t="s">
        <v>16</v>
      </c>
      <c r="BU7" s="60" t="s">
        <v>15</v>
      </c>
      <c r="BV7" s="70" t="s">
        <v>16</v>
      </c>
      <c r="BW7" s="60" t="s">
        <v>15</v>
      </c>
      <c r="BX7" s="60" t="s">
        <v>48</v>
      </c>
      <c r="BY7" s="70" t="s">
        <v>49</v>
      </c>
      <c r="BZ7" s="60" t="s">
        <v>50</v>
      </c>
      <c r="CA7" s="65" t="s">
        <v>19</v>
      </c>
      <c r="CB7" s="65" t="s">
        <v>20</v>
      </c>
      <c r="CC7" s="65" t="s">
        <v>21</v>
      </c>
    </row>
    <row r="8" spans="2:81" s="14" customFormat="1" ht="69.75" customHeight="1" x14ac:dyDescent="0.25">
      <c r="B8" s="122" t="s">
        <v>144</v>
      </c>
      <c r="C8" s="124" t="s">
        <v>82</v>
      </c>
      <c r="D8" s="128" t="s">
        <v>83</v>
      </c>
      <c r="E8" s="138" t="s">
        <v>176</v>
      </c>
      <c r="F8" s="74" t="s">
        <v>146</v>
      </c>
      <c r="G8" s="75" t="s">
        <v>166</v>
      </c>
      <c r="H8" s="69"/>
      <c r="I8" s="74" t="s">
        <v>148</v>
      </c>
      <c r="J8" s="65">
        <v>0</v>
      </c>
      <c r="K8" s="57" t="s">
        <v>167</v>
      </c>
      <c r="L8" s="76" t="s">
        <v>166</v>
      </c>
      <c r="M8" s="69">
        <v>12</v>
      </c>
      <c r="N8" s="25"/>
      <c r="O8" s="25"/>
      <c r="P8" s="25"/>
      <c r="Q8" s="69"/>
      <c r="R8" s="69"/>
      <c r="S8" s="69"/>
      <c r="T8" s="69"/>
      <c r="U8" s="69">
        <v>3</v>
      </c>
      <c r="V8" s="26">
        <v>0.3</v>
      </c>
      <c r="W8" s="26">
        <v>0.15</v>
      </c>
      <c r="X8" s="28">
        <f>(W8*$AM$8)/$BN$4</f>
        <v>7.6475501501356842E-5</v>
      </c>
      <c r="Y8" s="26">
        <v>0.15</v>
      </c>
      <c r="Z8" s="28">
        <f>(Y8*$AM$8)/$BN$4</f>
        <v>7.6475501501356842E-5</v>
      </c>
      <c r="AA8" s="68">
        <v>3</v>
      </c>
      <c r="AB8" s="29">
        <v>0.4</v>
      </c>
      <c r="AC8" s="26">
        <v>0.2</v>
      </c>
      <c r="AD8" s="31">
        <f>(AC8*AM8)/$BN$4</f>
        <v>1.0196733533514246E-4</v>
      </c>
      <c r="AE8" s="26">
        <v>0.2</v>
      </c>
      <c r="AF8" s="69">
        <f>(AE8*AM8)/$BN$4</f>
        <v>1.0196733533514246E-4</v>
      </c>
      <c r="AG8" s="68">
        <v>3</v>
      </c>
      <c r="AH8" s="29">
        <v>0.3</v>
      </c>
      <c r="AI8" s="26">
        <v>0.15</v>
      </c>
      <c r="AJ8" s="27">
        <f>(AI8*AM8)/$BN$4</f>
        <v>7.6475501501356842E-5</v>
      </c>
      <c r="AK8" s="26">
        <v>0.15</v>
      </c>
      <c r="AL8" s="30">
        <f>(AK8*AM8)/BN4</f>
        <v>7.6475501501356842E-5</v>
      </c>
      <c r="AM8" s="77">
        <v>50000</v>
      </c>
      <c r="AN8" s="20"/>
      <c r="AO8" s="20"/>
      <c r="AP8" s="32"/>
      <c r="AQ8" s="33"/>
      <c r="AR8" s="24"/>
      <c r="AS8" s="32">
        <f>V8*AM8</f>
        <v>15000</v>
      </c>
      <c r="AT8" s="33">
        <f>V8</f>
        <v>0.3</v>
      </c>
      <c r="AU8" s="34">
        <f>AM8-AS8</f>
        <v>35000</v>
      </c>
      <c r="AV8" s="35">
        <f>AB8*AM8</f>
        <v>20000</v>
      </c>
      <c r="AW8" s="36">
        <f>AB8</f>
        <v>0.4</v>
      </c>
      <c r="AX8" s="37">
        <f>AM8-AS8-AV8</f>
        <v>15000</v>
      </c>
      <c r="AY8" s="43">
        <f>AH8*AM8</f>
        <v>15000</v>
      </c>
      <c r="AZ8" s="33">
        <f>AH8</f>
        <v>0.3</v>
      </c>
      <c r="BA8" s="24">
        <f>AM8-AS8-AV8-AX8</f>
        <v>0</v>
      </c>
      <c r="BB8" s="71"/>
      <c r="BC8" s="71"/>
      <c r="BD8" s="71"/>
      <c r="BE8" s="71"/>
      <c r="BF8" s="71"/>
      <c r="BG8" s="71"/>
      <c r="BH8" s="71"/>
      <c r="BI8" s="71"/>
      <c r="BJ8" s="71"/>
      <c r="BK8" s="72"/>
      <c r="BL8" s="72"/>
      <c r="BM8" s="72"/>
      <c r="BN8" s="66"/>
      <c r="BO8" s="68"/>
      <c r="BP8" s="70"/>
      <c r="BQ8" s="60"/>
      <c r="BR8" s="70"/>
      <c r="BS8" s="60"/>
      <c r="BT8" s="70"/>
      <c r="BU8" s="60"/>
      <c r="BV8" s="70"/>
      <c r="BW8" s="60"/>
      <c r="BX8" s="60"/>
      <c r="BY8" s="70"/>
      <c r="BZ8" s="60"/>
      <c r="CA8" s="130" t="s">
        <v>162</v>
      </c>
      <c r="CB8" s="71"/>
      <c r="CC8" s="182" t="s">
        <v>163</v>
      </c>
    </row>
    <row r="9" spans="2:81" s="14" customFormat="1" ht="52.5" customHeight="1" x14ac:dyDescent="0.25">
      <c r="B9" s="123"/>
      <c r="C9" s="125"/>
      <c r="D9" s="129"/>
      <c r="E9" s="135"/>
      <c r="F9" s="126" t="s">
        <v>164</v>
      </c>
      <c r="G9" s="187" t="s">
        <v>165</v>
      </c>
      <c r="H9" s="69"/>
      <c r="I9" s="74" t="s">
        <v>150</v>
      </c>
      <c r="J9" s="65">
        <v>0</v>
      </c>
      <c r="K9" s="58" t="s">
        <v>171</v>
      </c>
      <c r="L9" s="76" t="s">
        <v>172</v>
      </c>
      <c r="M9" s="69">
        <v>12</v>
      </c>
      <c r="N9" s="25"/>
      <c r="O9" s="25"/>
      <c r="P9" s="25"/>
      <c r="Q9" s="69"/>
      <c r="R9" s="69"/>
      <c r="S9" s="69"/>
      <c r="T9" s="69"/>
      <c r="U9" s="69">
        <v>4</v>
      </c>
      <c r="V9" s="26">
        <v>0.4</v>
      </c>
      <c r="W9" s="26">
        <v>0.2</v>
      </c>
      <c r="X9" s="28">
        <f>(W9*$AM9)/$BN$4</f>
        <v>4.0786934134056984E-4</v>
      </c>
      <c r="Y9" s="26">
        <v>0.2</v>
      </c>
      <c r="Z9" s="28">
        <f>(Y9*$AM9)/$BN$4</f>
        <v>4.0786934134056984E-4</v>
      </c>
      <c r="AA9" s="68">
        <v>4</v>
      </c>
      <c r="AB9" s="29">
        <v>0.4</v>
      </c>
      <c r="AC9" s="26">
        <v>0.2</v>
      </c>
      <c r="AD9" s="31">
        <f>(AC9*AM9)/$BN$4</f>
        <v>4.0786934134056984E-4</v>
      </c>
      <c r="AE9" s="26">
        <v>0.2</v>
      </c>
      <c r="AF9" s="69">
        <f>(AE9*AM9)/$BN$4</f>
        <v>4.0786934134056984E-4</v>
      </c>
      <c r="AG9" s="68">
        <v>4</v>
      </c>
      <c r="AH9" s="29">
        <v>0.2</v>
      </c>
      <c r="AI9" s="26">
        <v>0.1</v>
      </c>
      <c r="AJ9" s="27">
        <f>(AI9*AM9)/$BN$4</f>
        <v>2.0393467067028492E-4</v>
      </c>
      <c r="AK9" s="26">
        <v>0.1</v>
      </c>
      <c r="AL9" s="28">
        <f>(AK9*AM9)/$BN$4</f>
        <v>2.0393467067028492E-4</v>
      </c>
      <c r="AM9" s="77">
        <v>200000</v>
      </c>
      <c r="AN9" s="20"/>
      <c r="AO9" s="20"/>
      <c r="AP9" s="32"/>
      <c r="AQ9" s="33"/>
      <c r="AR9" s="24"/>
      <c r="AS9" s="32">
        <f t="shared" ref="AS9:AS23" si="0">V9*AM9</f>
        <v>80000</v>
      </c>
      <c r="AT9" s="33">
        <f t="shared" ref="AT9:AT23" si="1">V9</f>
        <v>0.4</v>
      </c>
      <c r="AU9" s="34">
        <f t="shared" ref="AU9:AU23" si="2">AM9-AS9</f>
        <v>120000</v>
      </c>
      <c r="AV9" s="38">
        <f t="shared" ref="AV9:AV23" si="3">AB9*AM9</f>
        <v>80000</v>
      </c>
      <c r="AW9" s="33">
        <f t="shared" ref="AW9:AW23" si="4">AB9</f>
        <v>0.4</v>
      </c>
      <c r="AX9" s="39">
        <f t="shared" ref="AX9:AX23" si="5">AM9-AS9-AV9</f>
        <v>40000</v>
      </c>
      <c r="AY9" s="43">
        <f t="shared" ref="AY9:AY23" si="6">AH9*AM9</f>
        <v>40000</v>
      </c>
      <c r="AZ9" s="33">
        <f t="shared" ref="AZ9:AZ23" si="7">AH9</f>
        <v>0.2</v>
      </c>
      <c r="BA9" s="24">
        <f t="shared" ref="BA9:BA23" si="8">AM9-AS9-AV9-AX9</f>
        <v>0</v>
      </c>
      <c r="BB9" s="71"/>
      <c r="BC9" s="71"/>
      <c r="BD9" s="71"/>
      <c r="BE9" s="71"/>
      <c r="BF9" s="71"/>
      <c r="BG9" s="71"/>
      <c r="BH9" s="71"/>
      <c r="BI9" s="71"/>
      <c r="BJ9" s="71"/>
      <c r="BK9" s="72"/>
      <c r="BL9" s="72"/>
      <c r="BM9" s="72"/>
      <c r="BN9" s="66"/>
      <c r="BO9" s="68"/>
      <c r="BP9" s="70"/>
      <c r="BQ9" s="60"/>
      <c r="BR9" s="70"/>
      <c r="BS9" s="60"/>
      <c r="BT9" s="70"/>
      <c r="BU9" s="60"/>
      <c r="BV9" s="70"/>
      <c r="BW9" s="60"/>
      <c r="BX9" s="60"/>
      <c r="BY9" s="70"/>
      <c r="BZ9" s="60"/>
      <c r="CA9" s="131"/>
      <c r="CB9" s="71"/>
      <c r="CC9" s="183"/>
    </row>
    <row r="10" spans="2:81" s="14" customFormat="1" ht="55.5" customHeight="1" x14ac:dyDescent="0.25">
      <c r="B10" s="123"/>
      <c r="C10" s="125"/>
      <c r="D10" s="129"/>
      <c r="E10" s="135"/>
      <c r="F10" s="127"/>
      <c r="G10" s="189"/>
      <c r="H10" s="69"/>
      <c r="I10" s="74" t="s">
        <v>154</v>
      </c>
      <c r="J10" s="65">
        <v>0</v>
      </c>
      <c r="K10" s="57" t="s">
        <v>169</v>
      </c>
      <c r="L10" s="76" t="s">
        <v>170</v>
      </c>
      <c r="M10" s="69">
        <v>1</v>
      </c>
      <c r="N10" s="25"/>
      <c r="O10" s="25"/>
      <c r="P10" s="25"/>
      <c r="Q10" s="69"/>
      <c r="R10" s="69"/>
      <c r="S10" s="69"/>
      <c r="T10" s="69"/>
      <c r="U10" s="69"/>
      <c r="V10" s="26"/>
      <c r="W10" s="26"/>
      <c r="X10" s="69"/>
      <c r="Y10" s="26"/>
      <c r="Z10" s="28"/>
      <c r="AA10" s="68">
        <v>1</v>
      </c>
      <c r="AB10" s="29">
        <v>0.5</v>
      </c>
      <c r="AC10" s="26">
        <v>0.25</v>
      </c>
      <c r="AD10" s="31">
        <f>(AC10*AM10)/$BN$4</f>
        <v>5.8631217817706914E-3</v>
      </c>
      <c r="AE10" s="26">
        <v>0.25</v>
      </c>
      <c r="AF10" s="69">
        <f>(AE10*AM10)/$BN$4</f>
        <v>5.8631217817706914E-3</v>
      </c>
      <c r="AG10" s="68">
        <v>1</v>
      </c>
      <c r="AH10" s="29">
        <v>0.5</v>
      </c>
      <c r="AI10" s="26">
        <v>0.25</v>
      </c>
      <c r="AJ10" s="27">
        <f>(AI10*AM10)/$BN$4</f>
        <v>5.8631217817706914E-3</v>
      </c>
      <c r="AK10" s="26">
        <v>0.25</v>
      </c>
      <c r="AL10" s="28">
        <f>(AK10*AM10)/$BN$4</f>
        <v>5.8631217817706914E-3</v>
      </c>
      <c r="AM10" s="77">
        <v>2300000</v>
      </c>
      <c r="AN10" s="20"/>
      <c r="AO10" s="20"/>
      <c r="AP10" s="32"/>
      <c r="AQ10" s="33"/>
      <c r="AR10" s="24"/>
      <c r="AS10" s="32">
        <f t="shared" si="0"/>
        <v>0</v>
      </c>
      <c r="AT10" s="33">
        <f t="shared" si="1"/>
        <v>0</v>
      </c>
      <c r="AU10" s="34">
        <f t="shared" si="2"/>
        <v>2300000</v>
      </c>
      <c r="AV10" s="38">
        <f t="shared" si="3"/>
        <v>1150000</v>
      </c>
      <c r="AW10" s="33">
        <f t="shared" si="4"/>
        <v>0.5</v>
      </c>
      <c r="AX10" s="39">
        <f t="shared" si="5"/>
        <v>1150000</v>
      </c>
      <c r="AY10" s="43">
        <f t="shared" si="6"/>
        <v>1150000</v>
      </c>
      <c r="AZ10" s="33">
        <f t="shared" si="7"/>
        <v>0.5</v>
      </c>
      <c r="BA10" s="24">
        <f t="shared" si="8"/>
        <v>0</v>
      </c>
      <c r="BB10" s="71"/>
      <c r="BC10" s="71"/>
      <c r="BD10" s="71"/>
      <c r="BE10" s="71"/>
      <c r="BF10" s="71"/>
      <c r="BG10" s="71"/>
      <c r="BH10" s="71"/>
      <c r="BI10" s="71"/>
      <c r="BJ10" s="71"/>
      <c r="BK10" s="72"/>
      <c r="BL10" s="72"/>
      <c r="BM10" s="72"/>
      <c r="BN10" s="66"/>
      <c r="BO10" s="68"/>
      <c r="BP10" s="70"/>
      <c r="BQ10" s="60"/>
      <c r="BR10" s="70"/>
      <c r="BS10" s="60"/>
      <c r="BT10" s="70"/>
      <c r="BU10" s="60"/>
      <c r="BV10" s="70"/>
      <c r="BW10" s="60"/>
      <c r="BX10" s="60"/>
      <c r="BY10" s="70"/>
      <c r="BZ10" s="60"/>
      <c r="CA10" s="131"/>
      <c r="CB10" s="71"/>
      <c r="CC10" s="183"/>
    </row>
    <row r="11" spans="2:81" s="14" customFormat="1" ht="41.25" customHeight="1" x14ac:dyDescent="0.25">
      <c r="B11" s="123"/>
      <c r="C11" s="125"/>
      <c r="D11" s="129"/>
      <c r="E11" s="135"/>
      <c r="F11" s="74" t="s">
        <v>145</v>
      </c>
      <c r="G11" s="74" t="s">
        <v>147</v>
      </c>
      <c r="H11" s="69"/>
      <c r="I11" s="75" t="s">
        <v>173</v>
      </c>
      <c r="J11" s="72">
        <v>0</v>
      </c>
      <c r="K11" s="59" t="s">
        <v>174</v>
      </c>
      <c r="L11" s="76" t="s">
        <v>175</v>
      </c>
      <c r="M11" s="69">
        <v>8</v>
      </c>
      <c r="N11" s="25"/>
      <c r="O11" s="25"/>
      <c r="P11" s="25"/>
      <c r="Q11" s="69"/>
      <c r="R11" s="69"/>
      <c r="S11" s="69"/>
      <c r="T11" s="69"/>
      <c r="U11" s="69">
        <v>2</v>
      </c>
      <c r="V11" s="26">
        <v>0.4</v>
      </c>
      <c r="W11" s="69">
        <v>20</v>
      </c>
      <c r="X11" s="28">
        <f>(W11*$AM11)/$BN$4</f>
        <v>1.4275426946919944E-2</v>
      </c>
      <c r="Y11" s="26">
        <v>0.2</v>
      </c>
      <c r="Z11" s="28">
        <f>(Y11*$AM11)/$BN$4</f>
        <v>1.4275426946919946E-4</v>
      </c>
      <c r="AA11" s="68">
        <v>2</v>
      </c>
      <c r="AB11" s="29">
        <v>0.4</v>
      </c>
      <c r="AC11" s="26">
        <v>0.2</v>
      </c>
      <c r="AD11" s="31">
        <f>(AC11*AM11)/$BN$4</f>
        <v>1.4275426946919946E-4</v>
      </c>
      <c r="AE11" s="26">
        <v>0.2</v>
      </c>
      <c r="AF11" s="69">
        <f>(AE11*AM11)/$BN$4</f>
        <v>1.4275426946919946E-4</v>
      </c>
      <c r="AG11" s="68">
        <v>1</v>
      </c>
      <c r="AH11" s="29">
        <v>0.2</v>
      </c>
      <c r="AI11" s="26">
        <v>0.1</v>
      </c>
      <c r="AJ11" s="27">
        <f>(AI11*AM11)/$BN$4</f>
        <v>7.137713473459973E-5</v>
      </c>
      <c r="AK11" s="26">
        <v>0.1</v>
      </c>
      <c r="AL11" s="28">
        <f>(AK11*AM11)/$BN$4</f>
        <v>7.137713473459973E-5</v>
      </c>
      <c r="AM11" s="77">
        <v>70000</v>
      </c>
      <c r="AN11" s="20"/>
      <c r="AO11" s="20"/>
      <c r="AP11" s="32"/>
      <c r="AQ11" s="33"/>
      <c r="AR11" s="24"/>
      <c r="AS11" s="32">
        <f t="shared" si="0"/>
        <v>28000</v>
      </c>
      <c r="AT11" s="33">
        <f t="shared" si="1"/>
        <v>0.4</v>
      </c>
      <c r="AU11" s="34">
        <f t="shared" si="2"/>
        <v>42000</v>
      </c>
      <c r="AV11" s="38">
        <f t="shared" si="3"/>
        <v>28000</v>
      </c>
      <c r="AW11" s="33">
        <f t="shared" si="4"/>
        <v>0.4</v>
      </c>
      <c r="AX11" s="39">
        <f t="shared" si="5"/>
        <v>14000</v>
      </c>
      <c r="AY11" s="43">
        <f t="shared" si="6"/>
        <v>14000</v>
      </c>
      <c r="AZ11" s="33">
        <f t="shared" si="7"/>
        <v>0.2</v>
      </c>
      <c r="BA11" s="24">
        <f t="shared" si="8"/>
        <v>0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2"/>
      <c r="BL11" s="72"/>
      <c r="BM11" s="72"/>
      <c r="BN11" s="66"/>
      <c r="BO11" s="68"/>
      <c r="BP11" s="70"/>
      <c r="BQ11" s="60"/>
      <c r="BR11" s="70"/>
      <c r="BS11" s="60"/>
      <c r="BT11" s="70"/>
      <c r="BU11" s="60"/>
      <c r="BV11" s="70"/>
      <c r="BW11" s="60"/>
      <c r="BX11" s="60"/>
      <c r="BY11" s="70"/>
      <c r="BZ11" s="60"/>
      <c r="CA11" s="131"/>
      <c r="CB11" s="71"/>
      <c r="CC11" s="184"/>
    </row>
    <row r="12" spans="2:81" ht="64.5" customHeight="1" x14ac:dyDescent="0.25">
      <c r="B12" s="123"/>
      <c r="C12" s="125"/>
      <c r="D12" s="129"/>
      <c r="E12" s="135"/>
      <c r="F12" s="187" t="s">
        <v>177</v>
      </c>
      <c r="G12" s="74" t="s">
        <v>81</v>
      </c>
      <c r="H12" s="74"/>
      <c r="I12" s="74" t="s">
        <v>179</v>
      </c>
      <c r="J12" s="78">
        <v>0</v>
      </c>
      <c r="K12" s="79" t="s">
        <v>178</v>
      </c>
      <c r="L12" s="74" t="s">
        <v>81</v>
      </c>
      <c r="M12" s="78">
        <v>1</v>
      </c>
      <c r="N12" s="25"/>
      <c r="O12" s="25"/>
      <c r="P12" s="25"/>
      <c r="Q12" s="25"/>
      <c r="R12" s="25"/>
      <c r="S12" s="25"/>
      <c r="T12" s="25"/>
      <c r="U12" s="78"/>
      <c r="V12" s="80"/>
      <c r="W12" s="80"/>
      <c r="X12" s="80"/>
      <c r="Y12" s="80"/>
      <c r="Z12" s="80"/>
      <c r="AA12" s="78">
        <v>1</v>
      </c>
      <c r="AB12" s="80">
        <v>1</v>
      </c>
      <c r="AC12" s="80">
        <v>1</v>
      </c>
      <c r="AD12" s="81">
        <f>(AC12*AM12)/BN4</f>
        <v>1.0196733533514246E-4</v>
      </c>
      <c r="AE12" s="80"/>
      <c r="AF12" s="80"/>
      <c r="AG12" s="78"/>
      <c r="AH12" s="80"/>
      <c r="AI12" s="80"/>
      <c r="AJ12" s="80"/>
      <c r="AK12" s="80"/>
      <c r="AL12" s="80"/>
      <c r="AM12" s="77">
        <v>10000</v>
      </c>
      <c r="AN12" s="77"/>
      <c r="AO12" s="77"/>
      <c r="AP12" s="32"/>
      <c r="AQ12" s="33"/>
      <c r="AR12" s="24"/>
      <c r="AS12" s="32">
        <f t="shared" si="0"/>
        <v>0</v>
      </c>
      <c r="AT12" s="33">
        <f t="shared" si="1"/>
        <v>0</v>
      </c>
      <c r="AU12" s="34">
        <f t="shared" si="2"/>
        <v>10000</v>
      </c>
      <c r="AV12" s="38">
        <f t="shared" si="3"/>
        <v>10000</v>
      </c>
      <c r="AW12" s="33">
        <f t="shared" si="4"/>
        <v>1</v>
      </c>
      <c r="AX12" s="39">
        <f t="shared" si="5"/>
        <v>0</v>
      </c>
      <c r="AY12" s="43">
        <f t="shared" si="6"/>
        <v>0</v>
      </c>
      <c r="AZ12" s="33">
        <f t="shared" si="7"/>
        <v>0</v>
      </c>
      <c r="BA12" s="24">
        <f t="shared" si="8"/>
        <v>0</v>
      </c>
      <c r="BB12" s="82"/>
      <c r="BC12" s="78"/>
      <c r="BD12" s="83"/>
      <c r="BE12" s="84"/>
      <c r="BF12" s="78"/>
      <c r="BG12" s="78"/>
      <c r="BH12" s="78"/>
      <c r="BI12" s="78"/>
      <c r="BJ12" s="78"/>
      <c r="BK12" s="78"/>
      <c r="BL12" s="78"/>
      <c r="BM12" s="78"/>
      <c r="BN12" s="85"/>
      <c r="BO12" s="85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131"/>
      <c r="CB12" s="159"/>
      <c r="CC12" s="86"/>
    </row>
    <row r="13" spans="2:81" ht="64.5" customHeight="1" x14ac:dyDescent="0.25">
      <c r="B13" s="123"/>
      <c r="C13" s="125"/>
      <c r="D13" s="129"/>
      <c r="E13" s="135"/>
      <c r="F13" s="188"/>
      <c r="G13" s="74" t="s">
        <v>180</v>
      </c>
      <c r="H13" s="74"/>
      <c r="I13" s="74" t="s">
        <v>78</v>
      </c>
      <c r="J13" s="78">
        <v>0</v>
      </c>
      <c r="K13" s="79" t="s">
        <v>181</v>
      </c>
      <c r="L13" s="74" t="s">
        <v>182</v>
      </c>
      <c r="M13" s="78">
        <v>8</v>
      </c>
      <c r="N13" s="25"/>
      <c r="O13" s="25"/>
      <c r="P13" s="25"/>
      <c r="Q13" s="25"/>
      <c r="R13" s="25"/>
      <c r="S13" s="25"/>
      <c r="T13" s="25"/>
      <c r="U13" s="78">
        <v>2</v>
      </c>
      <c r="V13" s="26">
        <v>0.3</v>
      </c>
      <c r="W13" s="26">
        <v>0.15</v>
      </c>
      <c r="X13" s="28">
        <f>(W13*$AM13)/$BN$4</f>
        <v>7.6475501501356846E-6</v>
      </c>
      <c r="Y13" s="26">
        <v>0.15</v>
      </c>
      <c r="Z13" s="28">
        <f>(Y13*AM13)/$BN$4</f>
        <v>7.6475501501356846E-6</v>
      </c>
      <c r="AA13" s="78">
        <v>2</v>
      </c>
      <c r="AB13" s="80">
        <v>0.4</v>
      </c>
      <c r="AC13" s="80">
        <v>0.2</v>
      </c>
      <c r="AD13" s="87">
        <f>(AC13*AM13)/$BN$4</f>
        <v>1.0196733533514246E-5</v>
      </c>
      <c r="AE13" s="80">
        <v>0.2</v>
      </c>
      <c r="AF13" s="88">
        <f>(AE13*AM13)/$BN$4</f>
        <v>1.0196733533514246E-5</v>
      </c>
      <c r="AG13" s="78">
        <v>2</v>
      </c>
      <c r="AH13" s="80">
        <v>0.3</v>
      </c>
      <c r="AI13" s="80">
        <v>0.15</v>
      </c>
      <c r="AJ13" s="88">
        <f>(AI13*AM13)/$BN$4</f>
        <v>7.6475501501356846E-6</v>
      </c>
      <c r="AK13" s="80">
        <v>0.15</v>
      </c>
      <c r="AL13" s="88">
        <f>(AK13*AM13)/$BN$4</f>
        <v>7.6475501501356846E-6</v>
      </c>
      <c r="AM13" s="77">
        <v>5000</v>
      </c>
      <c r="AN13" s="77"/>
      <c r="AO13" s="77"/>
      <c r="AP13" s="32"/>
      <c r="AQ13" s="33"/>
      <c r="AR13" s="24"/>
      <c r="AS13" s="32">
        <f t="shared" si="0"/>
        <v>1500</v>
      </c>
      <c r="AT13" s="33">
        <f t="shared" si="1"/>
        <v>0.3</v>
      </c>
      <c r="AU13" s="34">
        <f t="shared" si="2"/>
        <v>3500</v>
      </c>
      <c r="AV13" s="38">
        <f t="shared" si="3"/>
        <v>2000</v>
      </c>
      <c r="AW13" s="33">
        <f t="shared" si="4"/>
        <v>0.4</v>
      </c>
      <c r="AX13" s="39">
        <f t="shared" si="5"/>
        <v>1500</v>
      </c>
      <c r="AY13" s="43">
        <f t="shared" si="6"/>
        <v>1500</v>
      </c>
      <c r="AZ13" s="33">
        <f t="shared" si="7"/>
        <v>0.3</v>
      </c>
      <c r="BA13" s="24">
        <f t="shared" si="8"/>
        <v>0</v>
      </c>
      <c r="BB13" s="82"/>
      <c r="BC13" s="78"/>
      <c r="BD13" s="83"/>
      <c r="BE13" s="84"/>
      <c r="BF13" s="78"/>
      <c r="BG13" s="78"/>
      <c r="BH13" s="78"/>
      <c r="BI13" s="78"/>
      <c r="BJ13" s="78"/>
      <c r="BK13" s="78"/>
      <c r="BL13" s="78"/>
      <c r="BM13" s="78"/>
      <c r="BN13" s="85"/>
      <c r="BO13" s="85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131"/>
      <c r="CB13" s="116"/>
      <c r="CC13" s="86"/>
    </row>
    <row r="14" spans="2:81" ht="64.5" customHeight="1" x14ac:dyDescent="0.25">
      <c r="B14" s="123"/>
      <c r="C14" s="125"/>
      <c r="D14" s="129"/>
      <c r="E14" s="135"/>
      <c r="F14" s="188"/>
      <c r="G14" s="74" t="s">
        <v>183</v>
      </c>
      <c r="H14" s="74"/>
      <c r="I14" s="89" t="s">
        <v>149</v>
      </c>
      <c r="J14" s="78">
        <v>0</v>
      </c>
      <c r="K14" s="79" t="s">
        <v>184</v>
      </c>
      <c r="L14" s="74" t="s">
        <v>185</v>
      </c>
      <c r="M14" s="78">
        <v>3</v>
      </c>
      <c r="N14" s="25"/>
      <c r="O14" s="25"/>
      <c r="P14" s="25"/>
      <c r="Q14" s="25"/>
      <c r="R14" s="25"/>
      <c r="S14" s="25"/>
      <c r="T14" s="25"/>
      <c r="U14" s="78">
        <v>1</v>
      </c>
      <c r="V14" s="80">
        <v>0.3</v>
      </c>
      <c r="W14" s="80">
        <v>0.15</v>
      </c>
      <c r="X14" s="88">
        <f>(W14*AM14)/$BN$4</f>
        <v>7.6475501501356846E-6</v>
      </c>
      <c r="Y14" s="80">
        <v>0.15</v>
      </c>
      <c r="Z14" s="88">
        <f>(Y14*AM14)/$BN$4</f>
        <v>7.6475501501356846E-6</v>
      </c>
      <c r="AA14" s="78">
        <v>1</v>
      </c>
      <c r="AB14" s="80">
        <v>0.4</v>
      </c>
      <c r="AC14" s="80">
        <v>0.2</v>
      </c>
      <c r="AD14" s="87">
        <f>(AC14*AM14)/$BN$4</f>
        <v>1.0196733533514246E-5</v>
      </c>
      <c r="AE14" s="80">
        <v>0.2</v>
      </c>
      <c r="AF14" s="88">
        <f>(AE14*AM14)/$BN$4</f>
        <v>1.0196733533514246E-5</v>
      </c>
      <c r="AG14" s="78">
        <v>1</v>
      </c>
      <c r="AH14" s="80">
        <v>0.3</v>
      </c>
      <c r="AI14" s="90">
        <v>0.15</v>
      </c>
      <c r="AJ14" s="88">
        <f>(AI14*AM14)/$BN$4</f>
        <v>7.6475501501356846E-6</v>
      </c>
      <c r="AK14" s="90">
        <v>0.15</v>
      </c>
      <c r="AL14" s="88">
        <f>(AK14*AM14)/$BN$4</f>
        <v>7.6475501501356846E-6</v>
      </c>
      <c r="AM14" s="77">
        <v>5000</v>
      </c>
      <c r="AN14" s="77"/>
      <c r="AO14" s="91"/>
      <c r="AP14" s="32"/>
      <c r="AQ14" s="33"/>
      <c r="AR14" s="24"/>
      <c r="AS14" s="32">
        <f t="shared" si="0"/>
        <v>1500</v>
      </c>
      <c r="AT14" s="33">
        <f t="shared" si="1"/>
        <v>0.3</v>
      </c>
      <c r="AU14" s="34">
        <f t="shared" si="2"/>
        <v>3500</v>
      </c>
      <c r="AV14" s="38">
        <f t="shared" si="3"/>
        <v>2000</v>
      </c>
      <c r="AW14" s="33">
        <f t="shared" si="4"/>
        <v>0.4</v>
      </c>
      <c r="AX14" s="39">
        <f t="shared" si="5"/>
        <v>1500</v>
      </c>
      <c r="AY14" s="43">
        <f t="shared" si="6"/>
        <v>1500</v>
      </c>
      <c r="AZ14" s="33">
        <f t="shared" si="7"/>
        <v>0.3</v>
      </c>
      <c r="BA14" s="24">
        <f t="shared" si="8"/>
        <v>0</v>
      </c>
      <c r="BB14" s="82"/>
      <c r="BC14" s="78"/>
      <c r="BD14" s="83"/>
      <c r="BE14" s="84"/>
      <c r="BF14" s="78"/>
      <c r="BG14" s="78"/>
      <c r="BH14" s="78"/>
      <c r="BI14" s="78"/>
      <c r="BJ14" s="78"/>
      <c r="BK14" s="78"/>
      <c r="BL14" s="78"/>
      <c r="BM14" s="78"/>
      <c r="BN14" s="85"/>
      <c r="BO14" s="85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131"/>
      <c r="CB14" s="116"/>
      <c r="CC14" s="86"/>
    </row>
    <row r="15" spans="2:81" ht="38.25" customHeight="1" x14ac:dyDescent="0.25">
      <c r="B15" s="123"/>
      <c r="C15" s="125"/>
      <c r="D15" s="129"/>
      <c r="E15" s="135"/>
      <c r="F15" s="189"/>
      <c r="G15" s="76" t="s">
        <v>186</v>
      </c>
      <c r="H15" s="76"/>
      <c r="I15" s="93" t="s">
        <v>187</v>
      </c>
      <c r="J15" s="78">
        <v>4</v>
      </c>
      <c r="K15" s="79" t="s">
        <v>188</v>
      </c>
      <c r="L15" s="74" t="s">
        <v>157</v>
      </c>
      <c r="M15" s="79">
        <v>16</v>
      </c>
      <c r="N15" s="25"/>
      <c r="O15" s="25"/>
      <c r="P15" s="25"/>
      <c r="Q15" s="25"/>
      <c r="R15" s="25"/>
      <c r="S15" s="25"/>
      <c r="T15" s="25"/>
      <c r="U15" s="79">
        <v>4</v>
      </c>
      <c r="V15" s="80">
        <v>0.3</v>
      </c>
      <c r="W15" s="80">
        <v>0.15</v>
      </c>
      <c r="X15" s="88">
        <f>(W15*AM15)/$BN$4</f>
        <v>1.5295100300271369E-5</v>
      </c>
      <c r="Y15" s="80">
        <v>0.15</v>
      </c>
      <c r="Z15" s="88">
        <f>(Y15*AM15)/$BN$4</f>
        <v>1.5295100300271369E-5</v>
      </c>
      <c r="AA15" s="78">
        <v>2</v>
      </c>
      <c r="AB15" s="80">
        <v>0.4</v>
      </c>
      <c r="AC15" s="80">
        <v>0.2</v>
      </c>
      <c r="AD15" s="87">
        <f>(AC15*AM15)/$BN$4</f>
        <v>2.0393467067028492E-5</v>
      </c>
      <c r="AE15" s="80">
        <v>0.2</v>
      </c>
      <c r="AF15" s="88">
        <f>(AE15*AM15)/$BN$4</f>
        <v>2.0393467067028492E-5</v>
      </c>
      <c r="AG15" s="78">
        <v>2</v>
      </c>
      <c r="AH15" s="80">
        <v>0.3</v>
      </c>
      <c r="AI15" s="90">
        <v>0.15</v>
      </c>
      <c r="AJ15" s="88">
        <f>(AI15*AM15)/$BN$4</f>
        <v>1.5295100300271369E-5</v>
      </c>
      <c r="AK15" s="90">
        <v>0.15</v>
      </c>
      <c r="AL15" s="88">
        <f>(AK15*AM15)/$BN$4</f>
        <v>1.5295100300271369E-5</v>
      </c>
      <c r="AM15" s="77">
        <v>10000</v>
      </c>
      <c r="AN15" s="77"/>
      <c r="AO15" s="91"/>
      <c r="AP15" s="32"/>
      <c r="AQ15" s="33"/>
      <c r="AR15" s="24"/>
      <c r="AS15" s="32">
        <f t="shared" si="0"/>
        <v>3000</v>
      </c>
      <c r="AT15" s="33">
        <f t="shared" si="1"/>
        <v>0.3</v>
      </c>
      <c r="AU15" s="34">
        <f t="shared" si="2"/>
        <v>7000</v>
      </c>
      <c r="AV15" s="38">
        <f t="shared" si="3"/>
        <v>4000</v>
      </c>
      <c r="AW15" s="33">
        <f t="shared" si="4"/>
        <v>0.4</v>
      </c>
      <c r="AX15" s="39">
        <f t="shared" si="5"/>
        <v>3000</v>
      </c>
      <c r="AY15" s="43">
        <f t="shared" si="6"/>
        <v>3000</v>
      </c>
      <c r="AZ15" s="33">
        <f t="shared" si="7"/>
        <v>0.3</v>
      </c>
      <c r="BA15" s="24">
        <f t="shared" si="8"/>
        <v>0</v>
      </c>
      <c r="BB15" s="94"/>
      <c r="BC15" s="94"/>
      <c r="BD15" s="94"/>
      <c r="BE15" s="84"/>
      <c r="BF15" s="78"/>
      <c r="BG15" s="77"/>
      <c r="BH15" s="77"/>
      <c r="BI15" s="94"/>
      <c r="BJ15" s="94"/>
      <c r="BK15" s="94"/>
      <c r="BL15" s="94"/>
      <c r="BM15" s="94"/>
      <c r="BN15" s="25"/>
      <c r="BO15" s="8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131"/>
      <c r="CB15" s="116"/>
      <c r="CC15" s="79"/>
    </row>
    <row r="16" spans="2:81" ht="51" customHeight="1" x14ac:dyDescent="0.25">
      <c r="B16" s="123"/>
      <c r="C16" s="125"/>
      <c r="D16" s="129"/>
      <c r="E16" s="135"/>
      <c r="F16" s="187" t="s">
        <v>155</v>
      </c>
      <c r="G16" s="76" t="s">
        <v>189</v>
      </c>
      <c r="H16" s="76"/>
      <c r="I16" s="76" t="s">
        <v>190</v>
      </c>
      <c r="J16" s="96">
        <v>0</v>
      </c>
      <c r="K16" s="97" t="s">
        <v>191</v>
      </c>
      <c r="L16" s="74" t="s">
        <v>192</v>
      </c>
      <c r="M16" s="79">
        <v>400</v>
      </c>
      <c r="N16" s="25"/>
      <c r="O16" s="25"/>
      <c r="P16" s="25"/>
      <c r="Q16" s="25"/>
      <c r="R16" s="25"/>
      <c r="S16" s="25"/>
      <c r="T16" s="25"/>
      <c r="U16" s="79">
        <v>200</v>
      </c>
      <c r="V16" s="80">
        <v>0.5</v>
      </c>
      <c r="W16" s="80">
        <v>0.25</v>
      </c>
      <c r="X16" s="88">
        <f>(W16*AM16)/$BN$4</f>
        <v>2.5491833833785615E-5</v>
      </c>
      <c r="Y16" s="80">
        <v>0.25</v>
      </c>
      <c r="Z16" s="88">
        <f>(Y16*AM16)/$BN$4</f>
        <v>2.5491833833785615E-5</v>
      </c>
      <c r="AA16" s="79">
        <v>200</v>
      </c>
      <c r="AB16" s="80">
        <v>0.5</v>
      </c>
      <c r="AC16" s="80">
        <v>0.25</v>
      </c>
      <c r="AD16" s="87">
        <f>(AC16*AM16)/$BN$4</f>
        <v>2.5491833833785615E-5</v>
      </c>
      <c r="AE16" s="80">
        <v>0.25</v>
      </c>
      <c r="AF16" s="88">
        <f>(AE16*AM16)/$BN$4</f>
        <v>2.5491833833785615E-5</v>
      </c>
      <c r="AG16" s="78"/>
      <c r="AH16" s="80"/>
      <c r="AI16" s="80"/>
      <c r="AJ16" s="80"/>
      <c r="AK16" s="80"/>
      <c r="AL16" s="80"/>
      <c r="AM16" s="77">
        <v>10000</v>
      </c>
      <c r="AN16" s="77"/>
      <c r="AO16" s="77"/>
      <c r="AP16" s="32"/>
      <c r="AQ16" s="33"/>
      <c r="AR16" s="24"/>
      <c r="AS16" s="32">
        <f t="shared" si="0"/>
        <v>5000</v>
      </c>
      <c r="AT16" s="33">
        <f t="shared" si="1"/>
        <v>0.5</v>
      </c>
      <c r="AU16" s="34">
        <f t="shared" si="2"/>
        <v>5000</v>
      </c>
      <c r="AV16" s="38">
        <f t="shared" si="3"/>
        <v>5000</v>
      </c>
      <c r="AW16" s="33">
        <f t="shared" si="4"/>
        <v>0.5</v>
      </c>
      <c r="AX16" s="39">
        <f t="shared" si="5"/>
        <v>0</v>
      </c>
      <c r="AY16" s="43">
        <f t="shared" si="6"/>
        <v>0</v>
      </c>
      <c r="AZ16" s="33">
        <f t="shared" si="7"/>
        <v>0</v>
      </c>
      <c r="BA16" s="24">
        <f t="shared" si="8"/>
        <v>0</v>
      </c>
      <c r="BB16" s="82"/>
      <c r="BC16" s="78"/>
      <c r="BD16" s="83"/>
      <c r="BE16" s="84"/>
      <c r="BF16" s="78"/>
      <c r="BG16" s="78"/>
      <c r="BH16" s="78"/>
      <c r="BI16" s="78"/>
      <c r="BJ16" s="78"/>
      <c r="BK16" s="78"/>
      <c r="BL16" s="78"/>
      <c r="BM16" s="78"/>
      <c r="BN16" s="85"/>
      <c r="BO16" s="85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131"/>
      <c r="CB16" s="116"/>
      <c r="CC16" s="79"/>
    </row>
    <row r="17" spans="1:81" ht="70.5" customHeight="1" x14ac:dyDescent="0.25">
      <c r="B17" s="123"/>
      <c r="C17" s="125"/>
      <c r="D17" s="129"/>
      <c r="E17" s="135"/>
      <c r="F17" s="188"/>
      <c r="G17" s="76" t="s">
        <v>193</v>
      </c>
      <c r="H17" s="76"/>
      <c r="I17" s="76" t="s">
        <v>195</v>
      </c>
      <c r="J17" s="96">
        <v>0</v>
      </c>
      <c r="K17" s="97" t="s">
        <v>194</v>
      </c>
      <c r="L17" s="74" t="s">
        <v>158</v>
      </c>
      <c r="M17" s="79">
        <v>100</v>
      </c>
      <c r="N17" s="25"/>
      <c r="O17" s="25"/>
      <c r="P17" s="25"/>
      <c r="Q17" s="25"/>
      <c r="R17" s="25"/>
      <c r="S17" s="25"/>
      <c r="T17" s="25"/>
      <c r="U17" s="79">
        <v>40</v>
      </c>
      <c r="V17" s="80">
        <v>0.4</v>
      </c>
      <c r="W17" s="80">
        <v>0.2</v>
      </c>
      <c r="X17" s="88">
        <f>(W17*AM17)/$BN$4</f>
        <v>2.0393467067028492E-5</v>
      </c>
      <c r="Y17" s="80">
        <v>0.2</v>
      </c>
      <c r="Z17" s="88">
        <f>(Y17*AM17)/$BN$4</f>
        <v>2.0393467067028492E-5</v>
      </c>
      <c r="AA17" s="79">
        <v>30</v>
      </c>
      <c r="AB17" s="80">
        <v>0.3</v>
      </c>
      <c r="AC17" s="80">
        <v>0.15</v>
      </c>
      <c r="AD17" s="87">
        <f>(AC17*AM17)/$BN$4</f>
        <v>1.5295100300271369E-5</v>
      </c>
      <c r="AE17" s="80">
        <v>0.15</v>
      </c>
      <c r="AF17" s="88">
        <f>(AE17*AM17)/$BN$4</f>
        <v>1.5295100300271369E-5</v>
      </c>
      <c r="AG17" s="78">
        <v>30</v>
      </c>
      <c r="AH17" s="80">
        <v>0.3</v>
      </c>
      <c r="AI17" s="80">
        <v>0.15</v>
      </c>
      <c r="AJ17" s="88">
        <f>(AI17*AM17)/$BN$4</f>
        <v>1.5295100300271369E-5</v>
      </c>
      <c r="AK17" s="80">
        <v>0.15</v>
      </c>
      <c r="AL17" s="88">
        <f>(AK17*AM17)/$BN$4</f>
        <v>1.5295100300271369E-5</v>
      </c>
      <c r="AM17" s="77">
        <v>10000</v>
      </c>
      <c r="AN17" s="77"/>
      <c r="AO17" s="77"/>
      <c r="AP17" s="32"/>
      <c r="AQ17" s="33"/>
      <c r="AR17" s="24"/>
      <c r="AS17" s="32">
        <f t="shared" si="0"/>
        <v>4000</v>
      </c>
      <c r="AT17" s="33">
        <f t="shared" si="1"/>
        <v>0.4</v>
      </c>
      <c r="AU17" s="34">
        <f t="shared" si="2"/>
        <v>6000</v>
      </c>
      <c r="AV17" s="38">
        <f t="shared" si="3"/>
        <v>3000</v>
      </c>
      <c r="AW17" s="33">
        <f t="shared" si="4"/>
        <v>0.3</v>
      </c>
      <c r="AX17" s="39">
        <f t="shared" si="5"/>
        <v>3000</v>
      </c>
      <c r="AY17" s="43">
        <f t="shared" si="6"/>
        <v>3000</v>
      </c>
      <c r="AZ17" s="33">
        <f t="shared" si="7"/>
        <v>0.3</v>
      </c>
      <c r="BA17" s="24">
        <f t="shared" si="8"/>
        <v>0</v>
      </c>
      <c r="BB17" s="82"/>
      <c r="BC17" s="78"/>
      <c r="BD17" s="83"/>
      <c r="BE17" s="84"/>
      <c r="BF17" s="78"/>
      <c r="BG17" s="78"/>
      <c r="BH17" s="78"/>
      <c r="BI17" s="78"/>
      <c r="BJ17" s="78"/>
      <c r="BK17" s="78"/>
      <c r="BL17" s="78"/>
      <c r="BM17" s="78"/>
      <c r="BN17" s="85"/>
      <c r="BO17" s="85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131"/>
      <c r="CB17" s="116"/>
      <c r="CC17" s="79"/>
    </row>
    <row r="18" spans="1:81" ht="76.5" customHeight="1" x14ac:dyDescent="0.25">
      <c r="B18" s="123"/>
      <c r="C18" s="125"/>
      <c r="D18" s="129"/>
      <c r="E18" s="135"/>
      <c r="F18" s="188"/>
      <c r="G18" s="76" t="s">
        <v>196</v>
      </c>
      <c r="H18" s="76"/>
      <c r="I18" s="76" t="s">
        <v>197</v>
      </c>
      <c r="J18" s="96">
        <v>0</v>
      </c>
      <c r="K18" s="97" t="s">
        <v>198</v>
      </c>
      <c r="L18" s="74" t="s">
        <v>159</v>
      </c>
      <c r="M18" s="78">
        <v>400</v>
      </c>
      <c r="N18" s="25"/>
      <c r="O18" s="25"/>
      <c r="P18" s="25"/>
      <c r="Q18" s="25"/>
      <c r="R18" s="25"/>
      <c r="S18" s="25"/>
      <c r="T18" s="25"/>
      <c r="U18" s="79">
        <v>12</v>
      </c>
      <c r="V18" s="80">
        <v>0.4</v>
      </c>
      <c r="W18" s="80">
        <v>0.2</v>
      </c>
      <c r="X18" s="88">
        <f t="shared" ref="X18:X21" si="9">(W18*AM18)/$BN$4</f>
        <v>2.0393467067028492E-5</v>
      </c>
      <c r="Y18" s="80">
        <v>0.2</v>
      </c>
      <c r="Z18" s="88">
        <f t="shared" ref="Z18:Z21" si="10">(Y18*AM18)/$BN$4</f>
        <v>2.0393467067028492E-5</v>
      </c>
      <c r="AA18" s="79">
        <v>12</v>
      </c>
      <c r="AB18" s="80">
        <v>0.3</v>
      </c>
      <c r="AC18" s="80">
        <v>0.15</v>
      </c>
      <c r="AD18" s="87">
        <f t="shared" ref="AD18:AD20" si="11">(AC18*AM18)/$BN$4</f>
        <v>1.5295100300271369E-5</v>
      </c>
      <c r="AE18" s="80">
        <v>0.15</v>
      </c>
      <c r="AF18" s="88">
        <f t="shared" ref="AF18:AF20" si="12">(AE18*AM18)/$BN$4</f>
        <v>1.5295100300271369E-5</v>
      </c>
      <c r="AG18" s="78">
        <v>12</v>
      </c>
      <c r="AH18" s="80">
        <v>0.3</v>
      </c>
      <c r="AI18" s="80">
        <v>0.15</v>
      </c>
      <c r="AJ18" s="88">
        <f t="shared" ref="AJ18:AJ20" si="13">(AI18*AM18)/$BN$4</f>
        <v>1.5295100300271369E-5</v>
      </c>
      <c r="AK18" s="80">
        <v>0.15</v>
      </c>
      <c r="AL18" s="88">
        <f t="shared" ref="AL18:AL23" si="14">(AK18*AM18)/$BN$4</f>
        <v>1.5295100300271369E-5</v>
      </c>
      <c r="AM18" s="77">
        <v>10000</v>
      </c>
      <c r="AN18" s="77"/>
      <c r="AO18" s="77"/>
      <c r="AP18" s="32"/>
      <c r="AQ18" s="33"/>
      <c r="AR18" s="24"/>
      <c r="AS18" s="32">
        <f t="shared" si="0"/>
        <v>4000</v>
      </c>
      <c r="AT18" s="33">
        <f t="shared" si="1"/>
        <v>0.4</v>
      </c>
      <c r="AU18" s="34">
        <f t="shared" si="2"/>
        <v>6000</v>
      </c>
      <c r="AV18" s="38">
        <f t="shared" si="3"/>
        <v>3000</v>
      </c>
      <c r="AW18" s="33">
        <f t="shared" si="4"/>
        <v>0.3</v>
      </c>
      <c r="AX18" s="39">
        <f t="shared" si="5"/>
        <v>3000</v>
      </c>
      <c r="AY18" s="43">
        <f t="shared" si="6"/>
        <v>3000</v>
      </c>
      <c r="AZ18" s="33">
        <f t="shared" si="7"/>
        <v>0.3</v>
      </c>
      <c r="BA18" s="24">
        <f t="shared" si="8"/>
        <v>0</v>
      </c>
      <c r="BB18" s="82"/>
      <c r="BC18" s="78"/>
      <c r="BD18" s="83"/>
      <c r="BE18" s="78"/>
      <c r="BF18" s="78"/>
      <c r="BG18" s="78"/>
      <c r="BH18" s="78"/>
      <c r="BI18" s="78"/>
      <c r="BJ18" s="78"/>
      <c r="BK18" s="78"/>
      <c r="BL18" s="78"/>
      <c r="BM18" s="78"/>
      <c r="BN18" s="85">
        <f t="shared" ref="BN18:BN23" si="15">+AM18/SUM($AM$12:$AM$23)</f>
        <v>4.5454545454545456E-2</v>
      </c>
      <c r="BO18" s="85">
        <f t="shared" ref="BO18:BO23" si="16">+AM18/$BO$6</f>
        <v>3.5211267605633804E-3</v>
      </c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131"/>
      <c r="CB18" s="116"/>
      <c r="CC18" s="79"/>
    </row>
    <row r="19" spans="1:81" ht="81" customHeight="1" x14ac:dyDescent="0.25">
      <c r="B19" s="123"/>
      <c r="C19" s="125"/>
      <c r="D19" s="129"/>
      <c r="E19" s="135"/>
      <c r="F19" s="188"/>
      <c r="G19" s="74" t="s">
        <v>201</v>
      </c>
      <c r="H19" s="76"/>
      <c r="I19" s="76" t="s">
        <v>199</v>
      </c>
      <c r="J19" s="96">
        <v>0</v>
      </c>
      <c r="K19" s="97" t="s">
        <v>200</v>
      </c>
      <c r="L19" s="74" t="s">
        <v>160</v>
      </c>
      <c r="M19" s="78">
        <v>3000</v>
      </c>
      <c r="N19" s="25"/>
      <c r="O19" s="25"/>
      <c r="P19" s="25"/>
      <c r="Q19" s="25"/>
      <c r="R19" s="25"/>
      <c r="S19" s="25"/>
      <c r="T19" s="25"/>
      <c r="U19" s="79">
        <v>3</v>
      </c>
      <c r="V19" s="80">
        <v>0.4</v>
      </c>
      <c r="W19" s="80">
        <v>0.2</v>
      </c>
      <c r="X19" s="88">
        <f t="shared" si="9"/>
        <v>8.1573868268113969E-5</v>
      </c>
      <c r="Y19" s="80">
        <v>0.2</v>
      </c>
      <c r="Z19" s="88">
        <f t="shared" si="10"/>
        <v>8.1573868268113969E-5</v>
      </c>
      <c r="AA19" s="79">
        <v>3</v>
      </c>
      <c r="AB19" s="80">
        <v>0.3</v>
      </c>
      <c r="AC19" s="80">
        <v>0.15</v>
      </c>
      <c r="AD19" s="87">
        <f t="shared" si="11"/>
        <v>6.1180401201085477E-5</v>
      </c>
      <c r="AE19" s="80">
        <v>0.15</v>
      </c>
      <c r="AF19" s="88">
        <f t="shared" si="12"/>
        <v>6.1180401201085477E-5</v>
      </c>
      <c r="AG19" s="78">
        <v>3</v>
      </c>
      <c r="AH19" s="80">
        <v>0.3</v>
      </c>
      <c r="AI19" s="80">
        <v>0.15</v>
      </c>
      <c r="AJ19" s="88">
        <f t="shared" si="13"/>
        <v>6.1180401201085477E-5</v>
      </c>
      <c r="AK19" s="80">
        <v>0.15</v>
      </c>
      <c r="AL19" s="88">
        <f t="shared" si="14"/>
        <v>6.1180401201085477E-5</v>
      </c>
      <c r="AM19" s="77">
        <v>40000</v>
      </c>
      <c r="AN19" s="77"/>
      <c r="AO19" s="77"/>
      <c r="AP19" s="32"/>
      <c r="AQ19" s="33"/>
      <c r="AR19" s="24"/>
      <c r="AS19" s="32">
        <f t="shared" si="0"/>
        <v>16000</v>
      </c>
      <c r="AT19" s="33">
        <f t="shared" si="1"/>
        <v>0.4</v>
      </c>
      <c r="AU19" s="34">
        <f t="shared" si="2"/>
        <v>24000</v>
      </c>
      <c r="AV19" s="38">
        <f t="shared" si="3"/>
        <v>12000</v>
      </c>
      <c r="AW19" s="33">
        <f t="shared" si="4"/>
        <v>0.3</v>
      </c>
      <c r="AX19" s="39">
        <f t="shared" si="5"/>
        <v>12000</v>
      </c>
      <c r="AY19" s="43">
        <f t="shared" si="6"/>
        <v>12000</v>
      </c>
      <c r="AZ19" s="33">
        <f t="shared" si="7"/>
        <v>0.3</v>
      </c>
      <c r="BA19" s="24">
        <f t="shared" si="8"/>
        <v>0</v>
      </c>
      <c r="BB19" s="82"/>
      <c r="BC19" s="78"/>
      <c r="BD19" s="83"/>
      <c r="BE19" s="78"/>
      <c r="BF19" s="78"/>
      <c r="BG19" s="78"/>
      <c r="BH19" s="78"/>
      <c r="BI19" s="78"/>
      <c r="BJ19" s="78"/>
      <c r="BK19" s="78"/>
      <c r="BL19" s="78"/>
      <c r="BM19" s="78"/>
      <c r="BN19" s="85">
        <f t="shared" si="15"/>
        <v>0.18181818181818182</v>
      </c>
      <c r="BO19" s="85">
        <f t="shared" si="16"/>
        <v>1.4084507042253521E-2</v>
      </c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131"/>
      <c r="CB19" s="116"/>
      <c r="CC19" s="79"/>
    </row>
    <row r="20" spans="1:81" ht="76.5" customHeight="1" x14ac:dyDescent="0.25">
      <c r="B20" s="123"/>
      <c r="C20" s="125"/>
      <c r="D20" s="129"/>
      <c r="E20" s="135"/>
      <c r="F20" s="189"/>
      <c r="G20" s="74" t="s">
        <v>202</v>
      </c>
      <c r="H20" s="74"/>
      <c r="I20" s="74" t="s">
        <v>203</v>
      </c>
      <c r="J20" s="96">
        <v>0</v>
      </c>
      <c r="K20" s="97" t="s">
        <v>204</v>
      </c>
      <c r="L20" s="74" t="s">
        <v>206</v>
      </c>
      <c r="M20" s="79">
        <v>1</v>
      </c>
      <c r="N20" s="25"/>
      <c r="O20" s="25"/>
      <c r="P20" s="25"/>
      <c r="Q20" s="25"/>
      <c r="R20" s="25"/>
      <c r="S20" s="25"/>
      <c r="T20" s="25"/>
      <c r="U20" s="79">
        <v>1</v>
      </c>
      <c r="V20" s="80">
        <v>0.3</v>
      </c>
      <c r="W20" s="80">
        <v>0.15</v>
      </c>
      <c r="X20" s="88">
        <f t="shared" si="9"/>
        <v>3.0590200600542738E-5</v>
      </c>
      <c r="Y20" s="80">
        <v>0.15</v>
      </c>
      <c r="Z20" s="88">
        <f t="shared" si="10"/>
        <v>3.0590200600542738E-5</v>
      </c>
      <c r="AA20" s="79">
        <v>1</v>
      </c>
      <c r="AB20" s="80">
        <v>0.4</v>
      </c>
      <c r="AC20" s="80">
        <v>0.2</v>
      </c>
      <c r="AD20" s="87">
        <f t="shared" si="11"/>
        <v>4.0786934134056984E-5</v>
      </c>
      <c r="AE20" s="80">
        <v>0.2</v>
      </c>
      <c r="AF20" s="88">
        <f t="shared" si="12"/>
        <v>4.0786934134056984E-5</v>
      </c>
      <c r="AG20" s="78">
        <v>1</v>
      </c>
      <c r="AH20" s="80">
        <v>0.15</v>
      </c>
      <c r="AI20" s="80">
        <v>0.15</v>
      </c>
      <c r="AJ20" s="88">
        <f t="shared" si="13"/>
        <v>3.0590200600542738E-5</v>
      </c>
      <c r="AK20" s="80">
        <v>0.15</v>
      </c>
      <c r="AL20" s="88">
        <f t="shared" si="14"/>
        <v>3.0590200600542738E-5</v>
      </c>
      <c r="AM20" s="77">
        <v>20000</v>
      </c>
      <c r="AN20" s="77"/>
      <c r="AO20" s="77"/>
      <c r="AP20" s="32"/>
      <c r="AQ20" s="33"/>
      <c r="AR20" s="24"/>
      <c r="AS20" s="32">
        <f t="shared" si="0"/>
        <v>6000</v>
      </c>
      <c r="AT20" s="33">
        <f t="shared" si="1"/>
        <v>0.3</v>
      </c>
      <c r="AU20" s="34">
        <f t="shared" si="2"/>
        <v>14000</v>
      </c>
      <c r="AV20" s="38">
        <f t="shared" si="3"/>
        <v>8000</v>
      </c>
      <c r="AW20" s="33">
        <f t="shared" si="4"/>
        <v>0.4</v>
      </c>
      <c r="AX20" s="39">
        <f t="shared" si="5"/>
        <v>6000</v>
      </c>
      <c r="AY20" s="43">
        <f t="shared" si="6"/>
        <v>3000</v>
      </c>
      <c r="AZ20" s="33">
        <f t="shared" si="7"/>
        <v>0.15</v>
      </c>
      <c r="BA20" s="24">
        <f t="shared" si="8"/>
        <v>0</v>
      </c>
      <c r="BB20" s="82"/>
      <c r="BC20" s="78"/>
      <c r="BD20" s="83"/>
      <c r="BE20" s="84"/>
      <c r="BF20" s="78"/>
      <c r="BG20" s="78"/>
      <c r="BH20" s="78"/>
      <c r="BI20" s="78"/>
      <c r="BJ20" s="78"/>
      <c r="BK20" s="78"/>
      <c r="BL20" s="78"/>
      <c r="BM20" s="78"/>
      <c r="BN20" s="85">
        <f t="shared" si="15"/>
        <v>9.0909090909090912E-2</v>
      </c>
      <c r="BO20" s="85">
        <f t="shared" si="16"/>
        <v>7.0422535211267607E-3</v>
      </c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131"/>
      <c r="CB20" s="116"/>
      <c r="CC20" s="79"/>
    </row>
    <row r="21" spans="1:81" ht="60.75" customHeight="1" x14ac:dyDescent="0.25">
      <c r="B21" s="123"/>
      <c r="C21" s="125"/>
      <c r="D21" s="129"/>
      <c r="E21" s="135"/>
      <c r="F21" s="126" t="s">
        <v>207</v>
      </c>
      <c r="G21" s="74" t="s">
        <v>208</v>
      </c>
      <c r="H21" s="74"/>
      <c r="I21" s="74" t="s">
        <v>80</v>
      </c>
      <c r="J21" s="96">
        <v>0</v>
      </c>
      <c r="K21" s="97" t="s">
        <v>210</v>
      </c>
      <c r="L21" s="74" t="s">
        <v>209</v>
      </c>
      <c r="M21" s="78">
        <v>16</v>
      </c>
      <c r="N21" s="25"/>
      <c r="O21" s="25"/>
      <c r="P21" s="25"/>
      <c r="Q21" s="25"/>
      <c r="R21" s="25"/>
      <c r="S21" s="25"/>
      <c r="T21" s="25"/>
      <c r="U21" s="78">
        <v>4</v>
      </c>
      <c r="V21" s="80">
        <v>0.3</v>
      </c>
      <c r="W21" s="80">
        <v>0.15</v>
      </c>
      <c r="X21" s="88">
        <f t="shared" si="9"/>
        <v>6.1180401201085477E-5</v>
      </c>
      <c r="Y21" s="80">
        <v>0.15</v>
      </c>
      <c r="Z21" s="88">
        <f t="shared" si="10"/>
        <v>6.1180401201085477E-5</v>
      </c>
      <c r="AA21" s="78">
        <v>4</v>
      </c>
      <c r="AB21" s="80">
        <v>0.4</v>
      </c>
      <c r="AC21" s="80">
        <v>0.2</v>
      </c>
      <c r="AD21" s="87">
        <f t="shared" ref="AD21" si="17">(AC21*AM21)/$BN$4</f>
        <v>8.1573868268113969E-5</v>
      </c>
      <c r="AE21" s="80">
        <v>0.2</v>
      </c>
      <c r="AF21" s="88">
        <f t="shared" ref="AF21" si="18">(AE21*AM21)/$BN$4</f>
        <v>8.1573868268113969E-5</v>
      </c>
      <c r="AG21" s="78">
        <v>1</v>
      </c>
      <c r="AH21" s="80">
        <v>0.3</v>
      </c>
      <c r="AI21" s="80">
        <v>0.15</v>
      </c>
      <c r="AJ21" s="88">
        <f t="shared" ref="AJ21" si="19">(AI21*AM21)/$BN$4</f>
        <v>6.1180401201085477E-5</v>
      </c>
      <c r="AK21" s="80">
        <v>0.15</v>
      </c>
      <c r="AL21" s="88">
        <f t="shared" si="14"/>
        <v>6.1180401201085477E-5</v>
      </c>
      <c r="AM21" s="77">
        <v>40000</v>
      </c>
      <c r="AN21" s="77"/>
      <c r="AO21" s="77"/>
      <c r="AP21" s="32"/>
      <c r="AQ21" s="33"/>
      <c r="AR21" s="24"/>
      <c r="AS21" s="32">
        <f t="shared" si="0"/>
        <v>12000</v>
      </c>
      <c r="AT21" s="33">
        <f t="shared" si="1"/>
        <v>0.3</v>
      </c>
      <c r="AU21" s="34">
        <f t="shared" si="2"/>
        <v>28000</v>
      </c>
      <c r="AV21" s="38">
        <f t="shared" si="3"/>
        <v>16000</v>
      </c>
      <c r="AW21" s="33">
        <f t="shared" si="4"/>
        <v>0.4</v>
      </c>
      <c r="AX21" s="39">
        <f t="shared" si="5"/>
        <v>12000</v>
      </c>
      <c r="AY21" s="43">
        <f t="shared" si="6"/>
        <v>12000</v>
      </c>
      <c r="AZ21" s="33">
        <f t="shared" si="7"/>
        <v>0.3</v>
      </c>
      <c r="BA21" s="24">
        <f t="shared" si="8"/>
        <v>0</v>
      </c>
      <c r="BB21" s="82"/>
      <c r="BC21" s="78"/>
      <c r="BD21" s="78"/>
      <c r="BE21" s="84"/>
      <c r="BF21" s="78"/>
      <c r="BG21" s="78"/>
      <c r="BH21" s="78"/>
      <c r="BI21" s="78"/>
      <c r="BJ21" s="78"/>
      <c r="BK21" s="78"/>
      <c r="BL21" s="78"/>
      <c r="BM21" s="78"/>
      <c r="BN21" s="85">
        <f t="shared" si="15"/>
        <v>0.18181818181818182</v>
      </c>
      <c r="BO21" s="85">
        <f t="shared" si="16"/>
        <v>1.4084507042253521E-2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131"/>
      <c r="CB21" s="116"/>
      <c r="CC21" s="79"/>
    </row>
    <row r="22" spans="1:81" ht="66" customHeight="1" x14ac:dyDescent="0.25">
      <c r="B22" s="123"/>
      <c r="C22" s="125"/>
      <c r="D22" s="129"/>
      <c r="E22" s="135"/>
      <c r="F22" s="190"/>
      <c r="G22" s="98" t="s">
        <v>213</v>
      </c>
      <c r="H22" s="76"/>
      <c r="I22" s="76" t="s">
        <v>79</v>
      </c>
      <c r="J22" s="96">
        <v>0</v>
      </c>
      <c r="K22" s="97" t="s">
        <v>211</v>
      </c>
      <c r="L22" s="74" t="s">
        <v>161</v>
      </c>
      <c r="M22" s="79">
        <v>90</v>
      </c>
      <c r="N22" s="25"/>
      <c r="O22" s="25"/>
      <c r="P22" s="25"/>
      <c r="Q22" s="25"/>
      <c r="R22" s="25"/>
      <c r="S22" s="25"/>
      <c r="T22" s="25"/>
      <c r="U22" s="79">
        <v>30</v>
      </c>
      <c r="V22" s="80">
        <v>0.3</v>
      </c>
      <c r="W22" s="80">
        <v>0.15</v>
      </c>
      <c r="X22" s="88">
        <f t="shared" ref="X22" si="20">(W22*AM22)/$BN$4</f>
        <v>6.1180401201085477E-5</v>
      </c>
      <c r="Y22" s="80">
        <v>0.15</v>
      </c>
      <c r="Z22" s="88">
        <f t="shared" ref="Z22" si="21">(Y22*AM22)/$BN$4</f>
        <v>6.1180401201085477E-5</v>
      </c>
      <c r="AA22" s="78">
        <v>30</v>
      </c>
      <c r="AB22" s="80">
        <v>0.4</v>
      </c>
      <c r="AC22" s="80">
        <v>0.2</v>
      </c>
      <c r="AD22" s="87">
        <f t="shared" ref="AD22" si="22">(AC22*AM22)/$BN$4</f>
        <v>8.1573868268113969E-5</v>
      </c>
      <c r="AE22" s="80">
        <v>0.2</v>
      </c>
      <c r="AF22" s="88">
        <f t="shared" ref="AF22" si="23">(AE22*AM22)/$BN$4</f>
        <v>8.1573868268113969E-5</v>
      </c>
      <c r="AG22" s="78">
        <v>30</v>
      </c>
      <c r="AH22" s="80">
        <v>0.3</v>
      </c>
      <c r="AI22" s="80">
        <v>0.15</v>
      </c>
      <c r="AJ22" s="88">
        <f t="shared" ref="AJ22" si="24">(AI22*AM22)/$BN$4</f>
        <v>6.1180401201085477E-5</v>
      </c>
      <c r="AK22" s="80">
        <v>0.15</v>
      </c>
      <c r="AL22" s="88">
        <f t="shared" si="14"/>
        <v>6.1180401201085477E-5</v>
      </c>
      <c r="AM22" s="77">
        <v>40000</v>
      </c>
      <c r="AN22" s="77"/>
      <c r="AO22" s="77"/>
      <c r="AP22" s="32"/>
      <c r="AQ22" s="33"/>
      <c r="AR22" s="24"/>
      <c r="AS22" s="32">
        <f t="shared" si="0"/>
        <v>12000</v>
      </c>
      <c r="AT22" s="33">
        <f t="shared" si="1"/>
        <v>0.3</v>
      </c>
      <c r="AU22" s="34">
        <f t="shared" si="2"/>
        <v>28000</v>
      </c>
      <c r="AV22" s="38">
        <f t="shared" si="3"/>
        <v>16000</v>
      </c>
      <c r="AW22" s="33">
        <f t="shared" si="4"/>
        <v>0.4</v>
      </c>
      <c r="AX22" s="39">
        <f t="shared" si="5"/>
        <v>12000</v>
      </c>
      <c r="AY22" s="43">
        <f t="shared" si="6"/>
        <v>12000</v>
      </c>
      <c r="AZ22" s="33">
        <f t="shared" si="7"/>
        <v>0.3</v>
      </c>
      <c r="BA22" s="24">
        <f t="shared" si="8"/>
        <v>0</v>
      </c>
      <c r="BB22" s="82"/>
      <c r="BC22" s="78"/>
      <c r="BD22" s="77"/>
      <c r="BE22" s="84"/>
      <c r="BF22" s="78"/>
      <c r="BG22" s="78"/>
      <c r="BH22" s="78"/>
      <c r="BI22" s="78"/>
      <c r="BJ22" s="78"/>
      <c r="BK22" s="78"/>
      <c r="BL22" s="78"/>
      <c r="BM22" s="78"/>
      <c r="BN22" s="85">
        <f t="shared" si="15"/>
        <v>0.18181818181818182</v>
      </c>
      <c r="BO22" s="85">
        <f t="shared" si="16"/>
        <v>1.4084507042253521E-2</v>
      </c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131"/>
      <c r="CB22" s="116"/>
      <c r="CC22" s="78"/>
    </row>
    <row r="23" spans="1:81" ht="77.25" customHeight="1" thickBot="1" x14ac:dyDescent="0.3">
      <c r="B23" s="123"/>
      <c r="C23" s="125"/>
      <c r="D23" s="129"/>
      <c r="E23" s="139"/>
      <c r="F23" s="127"/>
      <c r="G23" s="98" t="s">
        <v>212</v>
      </c>
      <c r="H23" s="76"/>
      <c r="I23" s="76" t="s">
        <v>156</v>
      </c>
      <c r="J23" s="96">
        <v>0</v>
      </c>
      <c r="K23" s="97" t="s">
        <v>214</v>
      </c>
      <c r="L23" s="74" t="s">
        <v>205</v>
      </c>
      <c r="M23" s="78">
        <v>1</v>
      </c>
      <c r="N23" s="25"/>
      <c r="O23" s="25"/>
      <c r="P23" s="25"/>
      <c r="Q23" s="25"/>
      <c r="R23" s="25"/>
      <c r="S23" s="25"/>
      <c r="T23" s="25"/>
      <c r="U23" s="78">
        <v>300</v>
      </c>
      <c r="V23" s="80">
        <v>0.3</v>
      </c>
      <c r="W23" s="80">
        <v>0.15</v>
      </c>
      <c r="X23" s="88">
        <f t="shared" ref="X23" si="25">(W23*AM23)/$BN$4</f>
        <v>3.0590200600542738E-5</v>
      </c>
      <c r="Y23" s="80">
        <v>0.15</v>
      </c>
      <c r="Z23" s="88">
        <f t="shared" ref="Z23" si="26">(Y23*AM23)/$BN$4</f>
        <v>3.0590200600542738E-5</v>
      </c>
      <c r="AA23" s="78">
        <v>300</v>
      </c>
      <c r="AB23" s="80">
        <v>0.4</v>
      </c>
      <c r="AC23" s="80">
        <v>0.2</v>
      </c>
      <c r="AD23" s="87">
        <f t="shared" ref="AD23" si="27">(AC23*AM23)/$BN$4</f>
        <v>4.0786934134056984E-5</v>
      </c>
      <c r="AE23" s="80">
        <v>0.2</v>
      </c>
      <c r="AF23" s="88">
        <f t="shared" ref="AF23" si="28">(AE23*AM23)/$BN$4</f>
        <v>4.0786934134056984E-5</v>
      </c>
      <c r="AG23" s="78">
        <v>300</v>
      </c>
      <c r="AH23" s="80">
        <v>0.3</v>
      </c>
      <c r="AI23" s="80">
        <v>0.15</v>
      </c>
      <c r="AJ23" s="88">
        <f t="shared" ref="AJ23" si="29">(AI23*AM23)/$BN$4</f>
        <v>3.0590200600542738E-5</v>
      </c>
      <c r="AK23" s="80">
        <v>1.1499999999999999</v>
      </c>
      <c r="AL23" s="88">
        <f t="shared" si="14"/>
        <v>2.3452487127082768E-4</v>
      </c>
      <c r="AM23" s="77">
        <v>20000</v>
      </c>
      <c r="AN23" s="77"/>
      <c r="AO23" s="77"/>
      <c r="AP23" s="32"/>
      <c r="AQ23" s="33"/>
      <c r="AR23" s="24"/>
      <c r="AS23" s="32">
        <f t="shared" si="0"/>
        <v>6000</v>
      </c>
      <c r="AT23" s="33">
        <f t="shared" si="1"/>
        <v>0.3</v>
      </c>
      <c r="AU23" s="34">
        <f t="shared" si="2"/>
        <v>14000</v>
      </c>
      <c r="AV23" s="40">
        <f t="shared" si="3"/>
        <v>8000</v>
      </c>
      <c r="AW23" s="41">
        <f t="shared" si="4"/>
        <v>0.4</v>
      </c>
      <c r="AX23" s="42">
        <f t="shared" si="5"/>
        <v>6000</v>
      </c>
      <c r="AY23" s="43">
        <f t="shared" si="6"/>
        <v>6000</v>
      </c>
      <c r="AZ23" s="33">
        <f t="shared" si="7"/>
        <v>0.3</v>
      </c>
      <c r="BA23" s="24">
        <f t="shared" si="8"/>
        <v>0</v>
      </c>
      <c r="BB23" s="78"/>
      <c r="BC23" s="78"/>
      <c r="BD23" s="77"/>
      <c r="BE23" s="84"/>
      <c r="BF23" s="78"/>
      <c r="BG23" s="78"/>
      <c r="BH23" s="78"/>
      <c r="BI23" s="78"/>
      <c r="BJ23" s="78"/>
      <c r="BK23" s="78"/>
      <c r="BL23" s="78"/>
      <c r="BM23" s="78"/>
      <c r="BN23" s="85">
        <f t="shared" si="15"/>
        <v>9.0909090909090912E-2</v>
      </c>
      <c r="BO23" s="85">
        <f t="shared" si="16"/>
        <v>7.0422535211267607E-3</v>
      </c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131"/>
      <c r="CB23" s="116"/>
      <c r="CC23" s="79"/>
    </row>
    <row r="24" spans="1:81" x14ac:dyDescent="0.25">
      <c r="B24" s="99"/>
      <c r="C24" s="100"/>
      <c r="D24" s="101"/>
      <c r="E24" s="44"/>
      <c r="F24" s="45"/>
      <c r="G24" s="46"/>
      <c r="H24" s="46"/>
      <c r="I24" s="46"/>
      <c r="J24" s="47"/>
      <c r="K24" s="23"/>
      <c r="L24" s="23"/>
      <c r="M24" s="23"/>
      <c r="N24" s="48"/>
      <c r="O24" s="48"/>
      <c r="P24" s="48"/>
      <c r="Q24" s="48"/>
      <c r="R24" s="48"/>
      <c r="S24" s="48"/>
      <c r="T24" s="48"/>
      <c r="U24" s="47"/>
      <c r="V24" s="49"/>
      <c r="W24" s="49"/>
      <c r="X24" s="49"/>
      <c r="Y24" s="49"/>
      <c r="Z24" s="49"/>
      <c r="AA24" s="47"/>
      <c r="AB24" s="49"/>
      <c r="AC24" s="49"/>
      <c r="AD24" s="49"/>
      <c r="AE24" s="49"/>
      <c r="AF24" s="49"/>
      <c r="AG24" s="23"/>
      <c r="AH24" s="49"/>
      <c r="AI24" s="49"/>
      <c r="AJ24" s="49"/>
      <c r="AK24" s="49"/>
      <c r="AL24" s="49"/>
      <c r="AM24" s="50"/>
      <c r="AN24" s="50"/>
      <c r="AO24" s="50"/>
      <c r="AP24" s="51"/>
      <c r="AQ24" s="52"/>
      <c r="AR24" s="53"/>
      <c r="AS24" s="47"/>
      <c r="AT24" s="52"/>
      <c r="AU24" s="52"/>
      <c r="AV24" s="54"/>
      <c r="AW24" s="54"/>
      <c r="AX24" s="54"/>
      <c r="AY24" s="47"/>
      <c r="AZ24" s="47"/>
      <c r="BA24" s="47"/>
      <c r="BB24" s="50"/>
      <c r="BC24" s="52"/>
      <c r="BD24" s="55"/>
      <c r="BE24" s="55"/>
      <c r="BF24" s="47"/>
      <c r="BG24" s="55"/>
      <c r="BI24" s="50"/>
      <c r="BJ24" s="52"/>
      <c r="BK24" s="47"/>
      <c r="BL24" s="47"/>
      <c r="BM24" s="47"/>
      <c r="BN24" s="48"/>
      <c r="BO24" s="48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131"/>
      <c r="CB24" s="102"/>
      <c r="CC24" s="103"/>
    </row>
    <row r="25" spans="1:81" x14ac:dyDescent="0.25">
      <c r="A25" s="104"/>
      <c r="B25" s="55"/>
      <c r="C25" s="55"/>
      <c r="D25" s="105" t="s">
        <v>83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6">
        <f>SUM(AM8:AM23)</f>
        <v>2840000</v>
      </c>
      <c r="AN25" s="105"/>
      <c r="AO25" s="105"/>
      <c r="AP25" s="105"/>
      <c r="AQ25" s="105"/>
      <c r="AR25" s="106">
        <f>SUM(AR12:AR23)</f>
        <v>0</v>
      </c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31"/>
      <c r="CB25" s="55"/>
      <c r="CC25" s="107"/>
    </row>
    <row r="26" spans="1:81" x14ac:dyDescent="0.2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6"/>
      <c r="AN26" s="105"/>
      <c r="AO26" s="105"/>
      <c r="AP26" s="105"/>
      <c r="AQ26" s="105"/>
      <c r="AR26" s="106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31"/>
      <c r="CB26" s="105"/>
      <c r="CC26" s="107"/>
    </row>
    <row r="27" spans="1:81" x14ac:dyDescent="0.25">
      <c r="A27" s="108"/>
      <c r="B27" s="108"/>
      <c r="C27" s="108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6"/>
      <c r="AN27" s="105"/>
      <c r="AO27" s="105"/>
      <c r="AP27" s="105"/>
      <c r="AQ27" s="105"/>
      <c r="AR27" s="106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31"/>
      <c r="CB27" s="105"/>
      <c r="CC27" s="107"/>
    </row>
    <row r="28" spans="1:81" ht="38.25" x14ac:dyDescent="0.25">
      <c r="B28" s="133" t="s">
        <v>142</v>
      </c>
      <c r="C28" s="135" t="s">
        <v>84</v>
      </c>
      <c r="D28" s="136" t="s">
        <v>143</v>
      </c>
      <c r="E28" s="136" t="s">
        <v>85</v>
      </c>
      <c r="F28" s="118" t="s">
        <v>86</v>
      </c>
      <c r="G28" s="74" t="s">
        <v>87</v>
      </c>
      <c r="H28" s="74"/>
      <c r="I28" s="118" t="s">
        <v>88</v>
      </c>
      <c r="J28" s="109">
        <v>0</v>
      </c>
      <c r="K28" s="110" t="s">
        <v>89</v>
      </c>
      <c r="L28" s="76" t="s">
        <v>90</v>
      </c>
      <c r="M28" s="78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78">
        <v>1</v>
      </c>
      <c r="V28" s="80">
        <v>1</v>
      </c>
      <c r="W28" s="80"/>
      <c r="X28" s="80"/>
      <c r="Y28" s="80"/>
      <c r="Z28" s="80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94">
        <v>40000</v>
      </c>
      <c r="AN28" s="77"/>
      <c r="AO28" s="77"/>
      <c r="AP28" s="77">
        <v>0</v>
      </c>
      <c r="AQ28" s="84">
        <v>0</v>
      </c>
      <c r="AR28" s="111">
        <v>0</v>
      </c>
      <c r="AS28" s="94">
        <v>40000</v>
      </c>
      <c r="AT28" s="112">
        <v>1</v>
      </c>
      <c r="AU28" s="84"/>
      <c r="AV28" s="94"/>
      <c r="AW28" s="94"/>
      <c r="AX28" s="77"/>
      <c r="AY28" s="94"/>
      <c r="AZ28" s="94"/>
      <c r="BA28" s="77"/>
      <c r="BB28" s="94"/>
      <c r="BC28" s="94"/>
      <c r="BD28" s="94">
        <v>40000</v>
      </c>
      <c r="BE28" s="84">
        <v>1</v>
      </c>
      <c r="BF28" s="78">
        <v>23301</v>
      </c>
      <c r="BG28" s="77"/>
      <c r="BH28" s="77"/>
      <c r="BI28" s="94"/>
      <c r="BJ28" s="94"/>
      <c r="BK28" s="94"/>
      <c r="BL28" s="94"/>
      <c r="BM28" s="94"/>
      <c r="BN28" s="25">
        <f>+AM28/SUM($AM$12:$AM$29)</f>
        <v>1.2658227848101266E-2</v>
      </c>
      <c r="BO28" s="85">
        <f t="shared" ref="BO28:BO37" si="30">+AM28/$BO$6</f>
        <v>1.4084507042253521E-2</v>
      </c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31"/>
      <c r="CB28" s="116"/>
      <c r="CC28" s="78" t="s">
        <v>22</v>
      </c>
    </row>
    <row r="29" spans="1:81" ht="63.75" x14ac:dyDescent="0.25">
      <c r="B29" s="133"/>
      <c r="C29" s="135"/>
      <c r="D29" s="136"/>
      <c r="E29" s="136"/>
      <c r="F29" s="119"/>
      <c r="G29" s="76" t="s">
        <v>91</v>
      </c>
      <c r="H29" s="76"/>
      <c r="I29" s="119"/>
      <c r="J29" s="79" t="s">
        <v>92</v>
      </c>
      <c r="K29" s="79" t="s">
        <v>93</v>
      </c>
      <c r="L29" s="76" t="s">
        <v>94</v>
      </c>
      <c r="M29" s="79">
        <v>11</v>
      </c>
      <c r="N29" s="25" t="e">
        <f>+AP29/M29*11/$O$5/100%</f>
        <v>#DIV/0!</v>
      </c>
      <c r="O29" s="25" t="e">
        <f>6/M29*AP29/$O$5/100%</f>
        <v>#DIV/0!</v>
      </c>
      <c r="P29" s="25">
        <f>6/M29*AM29/$P$5/100%</f>
        <v>0.14876033057851237</v>
      </c>
      <c r="Q29" s="25" t="e">
        <f>5/M29*AP29/$O$5/100%</f>
        <v>#DIV/0!</v>
      </c>
      <c r="R29" s="25">
        <f>5/M29*AM29/$P$5/100%</f>
        <v>0.12396694214876033</v>
      </c>
      <c r="S29" s="25" t="e">
        <f t="shared" ref="S29:T32" si="31">+O29+Q29</f>
        <v>#DIV/0!</v>
      </c>
      <c r="T29" s="25">
        <f t="shared" si="31"/>
        <v>0.27272727272727271</v>
      </c>
      <c r="U29" s="79">
        <v>22</v>
      </c>
      <c r="V29" s="80">
        <f>+U29/44</f>
        <v>0.5</v>
      </c>
      <c r="W29" s="80"/>
      <c r="X29" s="80"/>
      <c r="Y29" s="80"/>
      <c r="Z29" s="80"/>
      <c r="AA29" s="79">
        <v>33</v>
      </c>
      <c r="AB29" s="80">
        <f>+AA29/44</f>
        <v>0.75</v>
      </c>
      <c r="AC29" s="80"/>
      <c r="AD29" s="80"/>
      <c r="AE29" s="80"/>
      <c r="AF29" s="80"/>
      <c r="AG29" s="79">
        <v>44</v>
      </c>
      <c r="AH29" s="80">
        <f>+AG29/44</f>
        <v>1</v>
      </c>
      <c r="AI29" s="90"/>
      <c r="AJ29" s="90"/>
      <c r="AK29" s="90"/>
      <c r="AL29" s="90"/>
      <c r="AM29" s="113">
        <v>60000</v>
      </c>
      <c r="AN29" s="77"/>
      <c r="AO29" s="91"/>
      <c r="AP29" s="113">
        <v>15000</v>
      </c>
      <c r="AQ29" s="114">
        <v>0.25</v>
      </c>
      <c r="AR29" s="115">
        <f>+AP29-(AP29/M29*11)</f>
        <v>0</v>
      </c>
      <c r="AS29" s="113">
        <v>15000</v>
      </c>
      <c r="AT29" s="114">
        <v>0.5</v>
      </c>
      <c r="AU29" s="91"/>
      <c r="AV29" s="94">
        <v>15000</v>
      </c>
      <c r="AW29" s="84">
        <v>0.75</v>
      </c>
      <c r="AX29" s="77"/>
      <c r="AY29" s="94">
        <v>15000</v>
      </c>
      <c r="AZ29" s="112">
        <v>1</v>
      </c>
      <c r="BA29" s="77"/>
      <c r="BB29" s="94"/>
      <c r="BC29" s="94"/>
      <c r="BD29" s="94">
        <v>60000</v>
      </c>
      <c r="BE29" s="84">
        <v>1</v>
      </c>
      <c r="BF29" s="78">
        <v>23301</v>
      </c>
      <c r="BG29" s="77"/>
      <c r="BH29" s="77"/>
      <c r="BI29" s="94"/>
      <c r="BJ29" s="94"/>
      <c r="BK29" s="94"/>
      <c r="BL29" s="94"/>
      <c r="BM29" s="94"/>
      <c r="BN29" s="25">
        <f>+AM29/SUM($AM$12:$AM$29)</f>
        <v>1.8987341772151899E-2</v>
      </c>
      <c r="BO29" s="85">
        <f t="shared" si="30"/>
        <v>2.1126760563380281E-2</v>
      </c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31"/>
      <c r="CB29" s="116"/>
      <c r="CC29" s="79" t="s">
        <v>23</v>
      </c>
    </row>
    <row r="30" spans="1:81" ht="76.5" x14ac:dyDescent="0.25">
      <c r="B30" s="133"/>
      <c r="C30" s="135"/>
      <c r="D30" s="128" t="s">
        <v>95</v>
      </c>
      <c r="E30" s="128" t="s">
        <v>96</v>
      </c>
      <c r="F30" s="74" t="s">
        <v>97</v>
      </c>
      <c r="G30" s="74" t="s">
        <v>98</v>
      </c>
      <c r="H30" s="74"/>
      <c r="I30" s="76" t="s">
        <v>99</v>
      </c>
      <c r="J30" s="78">
        <v>0</v>
      </c>
      <c r="K30" s="79" t="s">
        <v>100</v>
      </c>
      <c r="L30" s="79" t="s">
        <v>101</v>
      </c>
      <c r="M30" s="78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f t="shared" si="31"/>
        <v>0</v>
      </c>
      <c r="T30" s="25">
        <f t="shared" si="31"/>
        <v>0</v>
      </c>
      <c r="U30" s="78">
        <v>10</v>
      </c>
      <c r="V30" s="80">
        <f>+U30/30</f>
        <v>0.33333333333333331</v>
      </c>
      <c r="W30" s="80"/>
      <c r="X30" s="80"/>
      <c r="Y30" s="80"/>
      <c r="Z30" s="80"/>
      <c r="AA30" s="78">
        <v>20</v>
      </c>
      <c r="AB30" s="80">
        <f>+AA30/30</f>
        <v>0.66666666666666663</v>
      </c>
      <c r="AC30" s="80"/>
      <c r="AD30" s="80"/>
      <c r="AE30" s="80"/>
      <c r="AF30" s="80"/>
      <c r="AG30" s="78">
        <v>30</v>
      </c>
      <c r="AH30" s="80">
        <f>+AG30/30</f>
        <v>1</v>
      </c>
      <c r="AI30" s="80"/>
      <c r="AJ30" s="80"/>
      <c r="AK30" s="80"/>
      <c r="AL30" s="80"/>
      <c r="AM30" s="77">
        <v>800000</v>
      </c>
      <c r="AN30" s="77"/>
      <c r="AO30" s="77"/>
      <c r="AP30" s="78">
        <v>0</v>
      </c>
      <c r="AQ30" s="84">
        <v>0</v>
      </c>
      <c r="AR30" s="115">
        <v>0</v>
      </c>
      <c r="AS30" s="78">
        <v>267000</v>
      </c>
      <c r="AT30" s="84">
        <v>0.33</v>
      </c>
      <c r="AU30" s="84"/>
      <c r="AV30" s="78">
        <v>267000</v>
      </c>
      <c r="AW30" s="84">
        <v>0.33</v>
      </c>
      <c r="AX30" s="84"/>
      <c r="AY30" s="78">
        <v>266000</v>
      </c>
      <c r="AZ30" s="84">
        <v>0.33</v>
      </c>
      <c r="BA30" s="84"/>
      <c r="BB30" s="82"/>
      <c r="BC30" s="78"/>
      <c r="BD30" s="78">
        <v>800000</v>
      </c>
      <c r="BE30" s="84">
        <v>1</v>
      </c>
      <c r="BF30" s="78">
        <v>23301</v>
      </c>
      <c r="BG30" s="78"/>
      <c r="BH30" s="78"/>
      <c r="BI30" s="78"/>
      <c r="BJ30" s="78"/>
      <c r="BK30" s="78"/>
      <c r="BL30" s="78"/>
      <c r="BM30" s="78"/>
      <c r="BN30" s="85">
        <f>+AM30/SUM($AM$12:$AM$29)</f>
        <v>0.25316455696202533</v>
      </c>
      <c r="BO30" s="85">
        <f t="shared" si="30"/>
        <v>0.28169014084507044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131"/>
      <c r="CB30" s="116"/>
      <c r="CC30" s="79" t="s">
        <v>24</v>
      </c>
    </row>
    <row r="31" spans="1:81" ht="51" x14ac:dyDescent="0.25">
      <c r="B31" s="133"/>
      <c r="C31" s="135"/>
      <c r="D31" s="129"/>
      <c r="E31" s="129"/>
      <c r="F31" s="76" t="s">
        <v>102</v>
      </c>
      <c r="G31" s="76" t="s">
        <v>103</v>
      </c>
      <c r="H31" s="76"/>
      <c r="I31" s="76" t="s">
        <v>104</v>
      </c>
      <c r="J31" s="79" t="s">
        <v>105</v>
      </c>
      <c r="K31" s="79" t="s">
        <v>106</v>
      </c>
      <c r="L31" s="79" t="s">
        <v>107</v>
      </c>
      <c r="M31" s="78">
        <v>100</v>
      </c>
      <c r="N31" s="25" t="e">
        <f>+AP31/M31*93/$O$5/100%</f>
        <v>#DIV/0!</v>
      </c>
      <c r="O31" s="25" t="e">
        <f>45/M31*AP31/$O$5/100%</f>
        <v>#DIV/0!</v>
      </c>
      <c r="P31" s="25">
        <f>45/M31*AM31/$P$5/100%</f>
        <v>0.36818181818181817</v>
      </c>
      <c r="Q31" s="25" t="e">
        <f>48/M31*AP31/$O$5/100%</f>
        <v>#DIV/0!</v>
      </c>
      <c r="R31" s="25">
        <f>48/M31*AM31/$P$5/100%</f>
        <v>0.3927272727272727</v>
      </c>
      <c r="S31" s="25" t="e">
        <f t="shared" si="31"/>
        <v>#DIV/0!</v>
      </c>
      <c r="T31" s="25">
        <f t="shared" si="31"/>
        <v>0.76090909090909087</v>
      </c>
      <c r="U31" s="78">
        <v>160</v>
      </c>
      <c r="V31" s="80">
        <f>+U31/160</f>
        <v>1</v>
      </c>
      <c r="W31" s="80"/>
      <c r="X31" s="80"/>
      <c r="Y31" s="80"/>
      <c r="Z31" s="80"/>
      <c r="AA31" s="78"/>
      <c r="AB31" s="80"/>
      <c r="AC31" s="80"/>
      <c r="AD31" s="80"/>
      <c r="AE31" s="80"/>
      <c r="AF31" s="80"/>
      <c r="AG31" s="78"/>
      <c r="AH31" s="80"/>
      <c r="AI31" s="80"/>
      <c r="AJ31" s="80"/>
      <c r="AK31" s="80"/>
      <c r="AL31" s="80"/>
      <c r="AM31" s="77">
        <v>180000</v>
      </c>
      <c r="AN31" s="77"/>
      <c r="AO31" s="77"/>
      <c r="AP31" s="83">
        <v>112500</v>
      </c>
      <c r="AQ31" s="78" t="s">
        <v>25</v>
      </c>
      <c r="AR31" s="115">
        <f>+AP31-(AP31/M31*93)</f>
        <v>7875</v>
      </c>
      <c r="AS31" s="83">
        <v>67500</v>
      </c>
      <c r="AT31" s="78" t="s">
        <v>26</v>
      </c>
      <c r="AU31" s="78"/>
      <c r="AV31" s="78"/>
      <c r="AW31" s="78"/>
      <c r="AX31" s="78"/>
      <c r="AY31" s="78"/>
      <c r="AZ31" s="78"/>
      <c r="BA31" s="78"/>
      <c r="BB31" s="78"/>
      <c r="BC31" s="78"/>
      <c r="BD31" s="77">
        <v>180000</v>
      </c>
      <c r="BE31" s="84">
        <v>1</v>
      </c>
      <c r="BF31" s="78">
        <v>23317</v>
      </c>
      <c r="BG31" s="78"/>
      <c r="BH31" s="78"/>
      <c r="BI31" s="78"/>
      <c r="BJ31" s="78"/>
      <c r="BK31" s="78"/>
      <c r="BL31" s="78"/>
      <c r="BM31" s="78"/>
      <c r="BN31" s="85">
        <f>+AM31/SUM($AM$12:$AM$29)</f>
        <v>5.6962025316455694E-2</v>
      </c>
      <c r="BO31" s="85">
        <f t="shared" si="30"/>
        <v>6.3380281690140844E-2</v>
      </c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131"/>
      <c r="CB31" s="116"/>
      <c r="CC31" s="79" t="s">
        <v>27</v>
      </c>
    </row>
    <row r="32" spans="1:81" ht="86.25" customHeight="1" x14ac:dyDescent="0.25">
      <c r="B32" s="133"/>
      <c r="C32" s="135"/>
      <c r="D32" s="129"/>
      <c r="E32" s="129"/>
      <c r="F32" s="76" t="s">
        <v>108</v>
      </c>
      <c r="G32" s="76" t="s">
        <v>109</v>
      </c>
      <c r="H32" s="76"/>
      <c r="I32" s="76" t="s">
        <v>110</v>
      </c>
      <c r="J32" s="79">
        <v>40</v>
      </c>
      <c r="K32" s="76" t="s">
        <v>111</v>
      </c>
      <c r="L32" s="76" t="s">
        <v>112</v>
      </c>
      <c r="M32" s="78">
        <v>12</v>
      </c>
      <c r="N32" s="25" t="e">
        <f>+AP32/M32*9/$O$5/100%</f>
        <v>#DIV/0!</v>
      </c>
      <c r="O32" s="25" t="e">
        <f>0/M32*AP32/$O$5/100%</f>
        <v>#DIV/0!</v>
      </c>
      <c r="P32" s="25">
        <f>0/M32*AM32/$P$5/100%</f>
        <v>0</v>
      </c>
      <c r="Q32" s="25" t="e">
        <f>9/M32*AP32/$O$5/100%</f>
        <v>#DIV/0!</v>
      </c>
      <c r="R32" s="25">
        <f>9/M32*AM32/$P$5/100%</f>
        <v>0.3</v>
      </c>
      <c r="S32" s="25" t="e">
        <f t="shared" si="31"/>
        <v>#DIV/0!</v>
      </c>
      <c r="T32" s="25">
        <f t="shared" si="31"/>
        <v>0.3</v>
      </c>
      <c r="U32" s="78">
        <v>24</v>
      </c>
      <c r="V32" s="80">
        <f>+U32/48</f>
        <v>0.5</v>
      </c>
      <c r="W32" s="80"/>
      <c r="X32" s="80"/>
      <c r="Y32" s="80"/>
      <c r="Z32" s="80"/>
      <c r="AA32" s="78">
        <v>36</v>
      </c>
      <c r="AB32" s="80">
        <f>+AA32/48</f>
        <v>0.75</v>
      </c>
      <c r="AC32" s="80"/>
      <c r="AD32" s="80"/>
      <c r="AE32" s="80"/>
      <c r="AF32" s="80"/>
      <c r="AG32" s="78">
        <v>48</v>
      </c>
      <c r="AH32" s="80">
        <f>+AG32/48</f>
        <v>1</v>
      </c>
      <c r="AI32" s="80"/>
      <c r="AJ32" s="80"/>
      <c r="AK32" s="80"/>
      <c r="AL32" s="80"/>
      <c r="AM32" s="77">
        <v>88000</v>
      </c>
      <c r="AN32" s="77"/>
      <c r="AO32" s="77"/>
      <c r="AP32" s="83">
        <v>22000</v>
      </c>
      <c r="AQ32" s="84">
        <v>0.25</v>
      </c>
      <c r="AR32" s="115">
        <f>+AP32-(AP32/M32*9)</f>
        <v>5500</v>
      </c>
      <c r="AS32" s="83">
        <v>22000</v>
      </c>
      <c r="AT32" s="84">
        <v>0.25</v>
      </c>
      <c r="AU32" s="84"/>
      <c r="AV32" s="78">
        <v>22000</v>
      </c>
      <c r="AW32" s="84">
        <v>0.25</v>
      </c>
      <c r="AX32" s="84"/>
      <c r="AY32" s="78">
        <v>22000</v>
      </c>
      <c r="AZ32" s="84">
        <v>0.25</v>
      </c>
      <c r="BA32" s="84"/>
      <c r="BB32" s="78"/>
      <c r="BC32" s="78"/>
      <c r="BD32" s="77">
        <v>88000</v>
      </c>
      <c r="BE32" s="84">
        <v>1</v>
      </c>
      <c r="BF32" s="78">
        <v>23301</v>
      </c>
      <c r="BG32" s="78"/>
      <c r="BH32" s="78"/>
      <c r="BI32" s="78"/>
      <c r="BJ32" s="78"/>
      <c r="BK32" s="78"/>
      <c r="BL32" s="78"/>
      <c r="BM32" s="78"/>
      <c r="BN32" s="85">
        <f>+AM32/SUM($AM$12:$AM$29)</f>
        <v>2.7848101265822784E-2</v>
      </c>
      <c r="BO32" s="85">
        <f t="shared" si="30"/>
        <v>3.0985915492957747E-2</v>
      </c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131"/>
      <c r="CB32" s="116"/>
      <c r="CC32" s="79" t="s">
        <v>113</v>
      </c>
    </row>
    <row r="33" spans="2:81" ht="76.5" customHeight="1" x14ac:dyDescent="0.25">
      <c r="B33" s="133"/>
      <c r="C33" s="128" t="s">
        <v>114</v>
      </c>
      <c r="D33" s="138" t="s">
        <v>115</v>
      </c>
      <c r="E33" s="128" t="s">
        <v>116</v>
      </c>
      <c r="F33" s="76" t="s">
        <v>117</v>
      </c>
      <c r="G33" s="76" t="s">
        <v>118</v>
      </c>
      <c r="H33" s="76"/>
      <c r="I33" s="76" t="s">
        <v>119</v>
      </c>
      <c r="J33" s="78">
        <v>0</v>
      </c>
      <c r="K33" s="76" t="s">
        <v>120</v>
      </c>
      <c r="L33" s="76" t="s">
        <v>121</v>
      </c>
      <c r="M33" s="78">
        <v>0</v>
      </c>
      <c r="N33" s="80">
        <f>+M33/4</f>
        <v>0</v>
      </c>
      <c r="O33" s="25">
        <v>0</v>
      </c>
      <c r="P33" s="25">
        <v>0</v>
      </c>
      <c r="Q33" s="25">
        <v>0</v>
      </c>
      <c r="R33" s="25">
        <v>0</v>
      </c>
      <c r="S33" s="25">
        <f t="shared" ref="S33:T37" si="32">+O33+Q33</f>
        <v>0</v>
      </c>
      <c r="T33" s="25">
        <f t="shared" si="32"/>
        <v>0</v>
      </c>
      <c r="U33" s="78">
        <v>2</v>
      </c>
      <c r="V33" s="80">
        <f>+U33/4</f>
        <v>0.5</v>
      </c>
      <c r="W33" s="80"/>
      <c r="X33" s="80"/>
      <c r="Y33" s="80"/>
      <c r="Z33" s="80"/>
      <c r="AA33" s="78">
        <v>3</v>
      </c>
      <c r="AB33" s="80">
        <f>+AA33/4</f>
        <v>0.75</v>
      </c>
      <c r="AC33" s="80"/>
      <c r="AD33" s="80"/>
      <c r="AE33" s="80"/>
      <c r="AF33" s="80"/>
      <c r="AG33" s="78">
        <v>4</v>
      </c>
      <c r="AH33" s="80">
        <f>+AG33/4</f>
        <v>1</v>
      </c>
      <c r="AI33" s="80"/>
      <c r="AJ33" s="80"/>
      <c r="AK33" s="80"/>
      <c r="AL33" s="80"/>
      <c r="AM33" s="77">
        <v>200000</v>
      </c>
      <c r="AN33" s="77"/>
      <c r="AO33" s="77"/>
      <c r="AP33" s="77">
        <v>30000</v>
      </c>
      <c r="AQ33" s="84">
        <v>0</v>
      </c>
      <c r="AR33" s="115">
        <v>0</v>
      </c>
      <c r="AS33" s="77">
        <v>37500</v>
      </c>
      <c r="AT33" s="84">
        <v>0.5</v>
      </c>
      <c r="AU33" s="84"/>
      <c r="AV33" s="77">
        <v>18750</v>
      </c>
      <c r="AW33" s="84">
        <v>0.25</v>
      </c>
      <c r="AX33" s="84"/>
      <c r="AY33" s="77">
        <v>18750</v>
      </c>
      <c r="AZ33" s="84">
        <v>0.25</v>
      </c>
      <c r="BA33" s="84"/>
      <c r="BB33" s="77">
        <v>75000</v>
      </c>
      <c r="BC33" s="84">
        <v>1</v>
      </c>
      <c r="BD33" s="77"/>
      <c r="BE33" s="84"/>
      <c r="BF33" s="78">
        <v>23329</v>
      </c>
      <c r="BG33" s="78"/>
      <c r="BH33" s="78"/>
      <c r="BI33" s="78"/>
      <c r="BJ33" s="78"/>
      <c r="BK33" s="78"/>
      <c r="BL33" s="78"/>
      <c r="BM33" s="78"/>
      <c r="BN33" s="85">
        <f>+AM33/SUM($AM$30:$AM37)</f>
        <v>9.9601593625498003E-2</v>
      </c>
      <c r="BO33" s="85">
        <f t="shared" si="30"/>
        <v>7.0422535211267609E-2</v>
      </c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131"/>
      <c r="CB33" s="116"/>
      <c r="CC33" s="79" t="s">
        <v>122</v>
      </c>
    </row>
    <row r="34" spans="2:81" ht="51" x14ac:dyDescent="0.25">
      <c r="B34" s="133"/>
      <c r="C34" s="129"/>
      <c r="D34" s="135"/>
      <c r="E34" s="129"/>
      <c r="F34" s="76" t="s">
        <v>123</v>
      </c>
      <c r="G34" s="76" t="s">
        <v>123</v>
      </c>
      <c r="H34" s="76"/>
      <c r="I34" s="76" t="s">
        <v>124</v>
      </c>
      <c r="J34" s="79">
        <v>0</v>
      </c>
      <c r="K34" s="76" t="s">
        <v>125</v>
      </c>
      <c r="L34" s="76" t="s">
        <v>126</v>
      </c>
      <c r="M34" s="78">
        <v>0</v>
      </c>
      <c r="N34" s="80">
        <f>+M34/600</f>
        <v>0</v>
      </c>
      <c r="O34" s="25">
        <v>0</v>
      </c>
      <c r="P34" s="25">
        <v>0</v>
      </c>
      <c r="Q34" s="25">
        <v>0</v>
      </c>
      <c r="R34" s="25">
        <v>0</v>
      </c>
      <c r="S34" s="25">
        <f t="shared" si="32"/>
        <v>0</v>
      </c>
      <c r="T34" s="25">
        <f t="shared" si="32"/>
        <v>0</v>
      </c>
      <c r="U34" s="78">
        <v>1</v>
      </c>
      <c r="V34" s="78">
        <v>100</v>
      </c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7">
        <v>100000</v>
      </c>
      <c r="AN34" s="77"/>
      <c r="AO34" s="77"/>
      <c r="AP34" s="78">
        <v>0</v>
      </c>
      <c r="AQ34" s="84">
        <v>0</v>
      </c>
      <c r="AR34" s="115">
        <v>0</v>
      </c>
      <c r="AS34" s="77">
        <v>50000</v>
      </c>
      <c r="AT34" s="84">
        <v>1</v>
      </c>
      <c r="AU34" s="84"/>
      <c r="AV34" s="77"/>
      <c r="AW34" s="78"/>
      <c r="AX34" s="78"/>
      <c r="AY34" s="77"/>
      <c r="AZ34" s="78"/>
      <c r="BA34" s="78"/>
      <c r="BB34" s="77">
        <v>50000</v>
      </c>
      <c r="BC34" s="84">
        <v>1</v>
      </c>
      <c r="BD34" s="77"/>
      <c r="BE34" s="84"/>
      <c r="BF34" s="78">
        <v>23329</v>
      </c>
      <c r="BG34" s="78"/>
      <c r="BH34" s="78"/>
      <c r="BI34" s="78"/>
      <c r="BJ34" s="78"/>
      <c r="BK34" s="78"/>
      <c r="BL34" s="78"/>
      <c r="BM34" s="78"/>
      <c r="BN34" s="85">
        <f>+AM34/SUM($AM$30:$AM38)</f>
        <v>4.9800796812749001E-2</v>
      </c>
      <c r="BO34" s="85">
        <f t="shared" si="30"/>
        <v>3.5211267605633804E-2</v>
      </c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131"/>
      <c r="CB34" s="116"/>
      <c r="CC34" s="79" t="s">
        <v>127</v>
      </c>
    </row>
    <row r="35" spans="2:81" ht="76.5" x14ac:dyDescent="0.25">
      <c r="B35" s="133"/>
      <c r="C35" s="129"/>
      <c r="D35" s="135"/>
      <c r="E35" s="129"/>
      <c r="F35" s="76" t="s">
        <v>152</v>
      </c>
      <c r="G35" s="76" t="s">
        <v>128</v>
      </c>
      <c r="H35" s="76"/>
      <c r="I35" s="76" t="s">
        <v>129</v>
      </c>
      <c r="J35" s="79">
        <v>0</v>
      </c>
      <c r="K35" s="76" t="s">
        <v>130</v>
      </c>
      <c r="L35" s="76" t="s">
        <v>131</v>
      </c>
      <c r="M35" s="78">
        <v>0</v>
      </c>
      <c r="N35" s="80">
        <f>+M35/3</f>
        <v>0</v>
      </c>
      <c r="O35" s="25">
        <v>0</v>
      </c>
      <c r="P35" s="25">
        <v>0</v>
      </c>
      <c r="Q35" s="25">
        <v>0</v>
      </c>
      <c r="R35" s="25">
        <v>0</v>
      </c>
      <c r="S35" s="25">
        <f t="shared" si="32"/>
        <v>0</v>
      </c>
      <c r="T35" s="25">
        <f t="shared" si="32"/>
        <v>0</v>
      </c>
      <c r="U35" s="79">
        <v>1</v>
      </c>
      <c r="V35" s="80">
        <f>+U35/3</f>
        <v>0.33333333333333331</v>
      </c>
      <c r="W35" s="80"/>
      <c r="X35" s="80"/>
      <c r="Y35" s="80"/>
      <c r="Z35" s="80"/>
      <c r="AA35" s="79">
        <v>2</v>
      </c>
      <c r="AB35" s="80">
        <f>+AA35/3</f>
        <v>0.66666666666666663</v>
      </c>
      <c r="AC35" s="80"/>
      <c r="AD35" s="80"/>
      <c r="AE35" s="80"/>
      <c r="AF35" s="80"/>
      <c r="AG35" s="79">
        <v>3</v>
      </c>
      <c r="AH35" s="80">
        <f>+AG35/3</f>
        <v>1</v>
      </c>
      <c r="AI35" s="80"/>
      <c r="AJ35" s="80"/>
      <c r="AK35" s="80"/>
      <c r="AL35" s="80"/>
      <c r="AM35" s="77">
        <v>250000</v>
      </c>
      <c r="AN35" s="77"/>
      <c r="AO35" s="77"/>
      <c r="AP35" s="78">
        <v>0</v>
      </c>
      <c r="AQ35" s="84">
        <v>0</v>
      </c>
      <c r="AR35" s="115">
        <v>0</v>
      </c>
      <c r="AS35" s="77">
        <v>138200</v>
      </c>
      <c r="AT35" s="84">
        <v>0.33</v>
      </c>
      <c r="AU35" s="84"/>
      <c r="AV35" s="77">
        <v>138200</v>
      </c>
      <c r="AW35" s="84">
        <v>0.33</v>
      </c>
      <c r="AX35" s="84"/>
      <c r="AY35" s="77">
        <v>143600</v>
      </c>
      <c r="AZ35" s="84">
        <v>0.34</v>
      </c>
      <c r="BA35" s="84"/>
      <c r="BB35" s="77">
        <v>420000</v>
      </c>
      <c r="BC35" s="84">
        <v>1</v>
      </c>
      <c r="BD35" s="77"/>
      <c r="BE35" s="84"/>
      <c r="BF35" s="78">
        <v>23329</v>
      </c>
      <c r="BG35" s="78"/>
      <c r="BH35" s="78"/>
      <c r="BI35" s="78"/>
      <c r="BJ35" s="78"/>
      <c r="BK35" s="78"/>
      <c r="BL35" s="78"/>
      <c r="BM35" s="78"/>
      <c r="BN35" s="85">
        <f>+AM35/SUM($AM$30:$AM39)</f>
        <v>0.12450199203187251</v>
      </c>
      <c r="BO35" s="85">
        <f t="shared" si="30"/>
        <v>8.8028169014084501E-2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131"/>
      <c r="CB35" s="116"/>
      <c r="CC35" s="79" t="s">
        <v>127</v>
      </c>
    </row>
    <row r="36" spans="2:81" ht="76.5" x14ac:dyDescent="0.25">
      <c r="B36" s="133"/>
      <c r="C36" s="129"/>
      <c r="D36" s="135"/>
      <c r="E36" s="129"/>
      <c r="F36" s="76" t="s">
        <v>132</v>
      </c>
      <c r="G36" s="76" t="s">
        <v>133</v>
      </c>
      <c r="H36" s="76"/>
      <c r="I36" s="76" t="s">
        <v>134</v>
      </c>
      <c r="J36" s="79">
        <v>75</v>
      </c>
      <c r="K36" s="79" t="s">
        <v>135</v>
      </c>
      <c r="L36" s="79" t="s">
        <v>136</v>
      </c>
      <c r="M36" s="78">
        <v>0</v>
      </c>
      <c r="N36" s="80">
        <f>+M36/8</f>
        <v>0</v>
      </c>
      <c r="O36" s="25">
        <v>0</v>
      </c>
      <c r="P36" s="25">
        <v>0</v>
      </c>
      <c r="Q36" s="25">
        <v>0</v>
      </c>
      <c r="R36" s="25">
        <v>0</v>
      </c>
      <c r="S36" s="25">
        <f t="shared" si="32"/>
        <v>0</v>
      </c>
      <c r="T36" s="25">
        <f t="shared" si="32"/>
        <v>0</v>
      </c>
      <c r="U36" s="78">
        <v>4</v>
      </c>
      <c r="V36" s="80">
        <f>+U36/8</f>
        <v>0.5</v>
      </c>
      <c r="W36" s="80"/>
      <c r="X36" s="80"/>
      <c r="Y36" s="80"/>
      <c r="Z36" s="80"/>
      <c r="AA36" s="78">
        <v>6</v>
      </c>
      <c r="AB36" s="80">
        <f>+AA36/8</f>
        <v>0.75</v>
      </c>
      <c r="AC36" s="80"/>
      <c r="AD36" s="80"/>
      <c r="AE36" s="80"/>
      <c r="AF36" s="80"/>
      <c r="AG36" s="78">
        <v>8</v>
      </c>
      <c r="AH36" s="80">
        <f>+AG36/8</f>
        <v>1</v>
      </c>
      <c r="AI36" s="80"/>
      <c r="AJ36" s="80"/>
      <c r="AK36" s="80"/>
      <c r="AL36" s="80"/>
      <c r="AM36" s="77">
        <v>250000</v>
      </c>
      <c r="AN36" s="77"/>
      <c r="AO36" s="77"/>
      <c r="AP36" s="78">
        <v>0</v>
      </c>
      <c r="AQ36" s="84">
        <v>0</v>
      </c>
      <c r="AR36" s="115">
        <v>0</v>
      </c>
      <c r="AS36" s="77">
        <v>50000</v>
      </c>
      <c r="AT36" s="84">
        <v>0.5</v>
      </c>
      <c r="AU36" s="84"/>
      <c r="AV36" s="77">
        <v>25000</v>
      </c>
      <c r="AW36" s="84">
        <v>0.25</v>
      </c>
      <c r="AX36" s="84"/>
      <c r="AY36" s="77">
        <v>25000</v>
      </c>
      <c r="AZ36" s="84">
        <v>0.25</v>
      </c>
      <c r="BA36" s="84"/>
      <c r="BB36" s="77">
        <v>100000</v>
      </c>
      <c r="BC36" s="84">
        <v>1</v>
      </c>
      <c r="BD36" s="77"/>
      <c r="BE36" s="84"/>
      <c r="BF36" s="78">
        <v>23329</v>
      </c>
      <c r="BG36" s="78"/>
      <c r="BH36" s="78"/>
      <c r="BI36" s="78"/>
      <c r="BJ36" s="78"/>
      <c r="BK36" s="78"/>
      <c r="BL36" s="78"/>
      <c r="BM36" s="78"/>
      <c r="BN36" s="85">
        <f>+AM36/SUM($AM$30:$AM40)</f>
        <v>0.12450199203187251</v>
      </c>
      <c r="BO36" s="85">
        <f t="shared" si="30"/>
        <v>8.8028169014084501E-2</v>
      </c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131"/>
      <c r="CB36" s="116"/>
      <c r="CC36" s="79" t="s">
        <v>122</v>
      </c>
    </row>
    <row r="37" spans="2:81" ht="89.25" x14ac:dyDescent="0.25">
      <c r="B37" s="134"/>
      <c r="C37" s="137"/>
      <c r="D37" s="139"/>
      <c r="E37" s="137"/>
      <c r="F37" s="76" t="s">
        <v>137</v>
      </c>
      <c r="G37" s="76" t="s">
        <v>138</v>
      </c>
      <c r="H37" s="76"/>
      <c r="I37" s="76" t="s">
        <v>139</v>
      </c>
      <c r="J37" s="79">
        <v>0</v>
      </c>
      <c r="K37" s="76" t="s">
        <v>140</v>
      </c>
      <c r="L37" s="76" t="s">
        <v>141</v>
      </c>
      <c r="M37" s="78">
        <v>2</v>
      </c>
      <c r="N37" s="25">
        <f>+AP37/M37*2/$AM$31/100%</f>
        <v>0.1388888888888889</v>
      </c>
      <c r="O37" s="25">
        <v>0</v>
      </c>
      <c r="P37" s="25">
        <v>0</v>
      </c>
      <c r="Q37" s="25">
        <f>2/M37*AP37/$AM$31/100%</f>
        <v>0.1388888888888889</v>
      </c>
      <c r="R37" s="25">
        <f>2/M37*AM37/$P$5/100%</f>
        <v>0.63636363636363635</v>
      </c>
      <c r="S37" s="25">
        <f t="shared" si="32"/>
        <v>0.1388888888888889</v>
      </c>
      <c r="T37" s="25">
        <f t="shared" si="32"/>
        <v>0.63636363636363635</v>
      </c>
      <c r="U37" s="78">
        <v>4</v>
      </c>
      <c r="V37" s="80">
        <f>+U37/8</f>
        <v>0.5</v>
      </c>
      <c r="W37" s="80"/>
      <c r="X37" s="80"/>
      <c r="Y37" s="80"/>
      <c r="Z37" s="80"/>
      <c r="AA37" s="78">
        <v>6</v>
      </c>
      <c r="AB37" s="80">
        <f>+AA37/8</f>
        <v>0.75</v>
      </c>
      <c r="AC37" s="80"/>
      <c r="AD37" s="80"/>
      <c r="AE37" s="80"/>
      <c r="AF37" s="80"/>
      <c r="AG37" s="78">
        <v>8</v>
      </c>
      <c r="AH37" s="80">
        <f>+AG37/8</f>
        <v>1</v>
      </c>
      <c r="AI37" s="80"/>
      <c r="AJ37" s="80"/>
      <c r="AK37" s="80"/>
      <c r="AL37" s="80"/>
      <c r="AM37" s="77">
        <v>140000</v>
      </c>
      <c r="AN37" s="77"/>
      <c r="AO37" s="77"/>
      <c r="AP37" s="77">
        <v>25000</v>
      </c>
      <c r="AQ37" s="84">
        <v>0.25</v>
      </c>
      <c r="AR37" s="115">
        <v>0</v>
      </c>
      <c r="AS37" s="77">
        <v>25000</v>
      </c>
      <c r="AT37" s="84">
        <v>0.25</v>
      </c>
      <c r="AU37" s="84"/>
      <c r="AV37" s="77">
        <v>25000</v>
      </c>
      <c r="AW37" s="84">
        <v>0.25</v>
      </c>
      <c r="AX37" s="84"/>
      <c r="AY37" s="77">
        <v>25000</v>
      </c>
      <c r="AZ37" s="84">
        <v>0.25</v>
      </c>
      <c r="BA37" s="84"/>
      <c r="BB37" s="77">
        <v>100000</v>
      </c>
      <c r="BC37" s="84">
        <v>1</v>
      </c>
      <c r="BD37" s="77"/>
      <c r="BE37" s="84"/>
      <c r="BF37" s="78">
        <v>23329</v>
      </c>
      <c r="BG37" s="78"/>
      <c r="BH37" s="78"/>
      <c r="BI37" s="78"/>
      <c r="BJ37" s="78"/>
      <c r="BK37" s="78"/>
      <c r="BL37" s="78"/>
      <c r="BM37" s="78"/>
      <c r="BN37" s="25">
        <f>+AM37/SUM($AM$30:$AM41)</f>
        <v>6.9721115537848599E-2</v>
      </c>
      <c r="BO37" s="25">
        <f t="shared" si="30"/>
        <v>4.9295774647887321E-2</v>
      </c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132"/>
      <c r="CB37" s="117"/>
      <c r="CC37" s="79" t="s">
        <v>127</v>
      </c>
    </row>
  </sheetData>
  <mergeCells count="90">
    <mergeCell ref="F12:F15"/>
    <mergeCell ref="F16:F20"/>
    <mergeCell ref="F21:F23"/>
    <mergeCell ref="E8:E23"/>
    <mergeCell ref="G3:G7"/>
    <mergeCell ref="G9:G10"/>
    <mergeCell ref="J3:J7"/>
    <mergeCell ref="K3:K7"/>
    <mergeCell ref="L3:L7"/>
    <mergeCell ref="O6:P6"/>
    <mergeCell ref="M4:T4"/>
    <mergeCell ref="B3:B7"/>
    <mergeCell ref="C3:C7"/>
    <mergeCell ref="D3:D7"/>
    <mergeCell ref="E3:E7"/>
    <mergeCell ref="F3:F7"/>
    <mergeCell ref="CC8:CC11"/>
    <mergeCell ref="AP3:AZ3"/>
    <mergeCell ref="AA4:AF4"/>
    <mergeCell ref="AG4:AL4"/>
    <mergeCell ref="U5:U6"/>
    <mergeCell ref="V5:V6"/>
    <mergeCell ref="W5:Z5"/>
    <mergeCell ref="AP6:AR6"/>
    <mergeCell ref="AS6:AU6"/>
    <mergeCell ref="U4:Z4"/>
    <mergeCell ref="AY6:BA6"/>
    <mergeCell ref="AV6:AX6"/>
    <mergeCell ref="Y6:Z6"/>
    <mergeCell ref="AC6:AD6"/>
    <mergeCell ref="AE6:AF6"/>
    <mergeCell ref="AI6:AJ6"/>
    <mergeCell ref="BN3:BO3"/>
    <mergeCell ref="BN4:BO4"/>
    <mergeCell ref="CB12:CB23"/>
    <mergeCell ref="BB3:BM3"/>
    <mergeCell ref="CA3:CC6"/>
    <mergeCell ref="BI6:BJ6"/>
    <mergeCell ref="BK6:BM6"/>
    <mergeCell ref="BG6:BH6"/>
    <mergeCell ref="BX5:BZ6"/>
    <mergeCell ref="BB6:BC6"/>
    <mergeCell ref="BD6:BF6"/>
    <mergeCell ref="BP5:BW5"/>
    <mergeCell ref="BP6:BQ6"/>
    <mergeCell ref="BR6:BS6"/>
    <mergeCell ref="BT6:BU6"/>
    <mergeCell ref="BV6:BW6"/>
    <mergeCell ref="D33:D37"/>
    <mergeCell ref="E33:E37"/>
    <mergeCell ref="AM3:AM6"/>
    <mergeCell ref="AN3:AN6"/>
    <mergeCell ref="AO3:AO6"/>
    <mergeCell ref="AK6:AL6"/>
    <mergeCell ref="H3:H7"/>
    <mergeCell ref="N3:AL3"/>
    <mergeCell ref="M5:M6"/>
    <mergeCell ref="N5:N6"/>
    <mergeCell ref="S5:T5"/>
    <mergeCell ref="AC5:AF5"/>
    <mergeCell ref="I3:I7"/>
    <mergeCell ref="Q6:R6"/>
    <mergeCell ref="AI5:AL5"/>
    <mergeCell ref="W6:X6"/>
    <mergeCell ref="B8:B23"/>
    <mergeCell ref="C8:C23"/>
    <mergeCell ref="F9:F10"/>
    <mergeCell ref="D8:D23"/>
    <mergeCell ref="CA8:CA37"/>
    <mergeCell ref="BW28:BW29"/>
    <mergeCell ref="BX28:BX29"/>
    <mergeCell ref="BY28:BY29"/>
    <mergeCell ref="BZ28:BZ29"/>
    <mergeCell ref="B28:B37"/>
    <mergeCell ref="C28:C32"/>
    <mergeCell ref="D28:D29"/>
    <mergeCell ref="E28:E29"/>
    <mergeCell ref="D30:D32"/>
    <mergeCell ref="E30:E32"/>
    <mergeCell ref="C33:C37"/>
    <mergeCell ref="CB28:CB37"/>
    <mergeCell ref="F28:F29"/>
    <mergeCell ref="I28:I29"/>
    <mergeCell ref="BP28:BP29"/>
    <mergeCell ref="BQ28:BQ29"/>
    <mergeCell ref="BR28:BR29"/>
    <mergeCell ref="BS28:BS29"/>
    <mergeCell ref="BT28:BT29"/>
    <mergeCell ref="BU28:BU29"/>
    <mergeCell ref="BV28:BV29"/>
  </mergeCells>
  <pageMargins left="0.37" right="0.63" top="0.61" bottom="0.43" header="0" footer="0"/>
  <pageSetup scale="75" orientation="landscape" r:id="rId1"/>
  <ignoredErrors>
    <ignoredError sqref="P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workbookViewId="0">
      <selection activeCell="J24" sqref="J24"/>
    </sheetView>
  </sheetViews>
  <sheetFormatPr baseColWidth="10" defaultRowHeight="15" x14ac:dyDescent="0.25"/>
  <cols>
    <col min="2" max="2" width="64" customWidth="1"/>
  </cols>
  <sheetData>
    <row r="1" spans="2:5" x14ac:dyDescent="0.25">
      <c r="B1" s="11" t="s">
        <v>76</v>
      </c>
      <c r="C1" t="s">
        <v>75</v>
      </c>
      <c r="E1" t="s">
        <v>74</v>
      </c>
    </row>
    <row r="2" spans="2:5" x14ac:dyDescent="0.25">
      <c r="B2" s="10" t="s">
        <v>73</v>
      </c>
      <c r="C2" s="1"/>
      <c r="D2" s="191">
        <f>SUM(C2:C15)</f>
        <v>37</v>
      </c>
      <c r="E2" s="192">
        <v>0.2</v>
      </c>
    </row>
    <row r="3" spans="2:5" x14ac:dyDescent="0.25">
      <c r="B3" s="9" t="s">
        <v>72</v>
      </c>
      <c r="C3" s="1">
        <v>3</v>
      </c>
      <c r="D3" s="191"/>
      <c r="E3" s="191"/>
    </row>
    <row r="4" spans="2:5" x14ac:dyDescent="0.25">
      <c r="B4" t="s">
        <v>71</v>
      </c>
      <c r="C4" s="1"/>
      <c r="D4" s="191"/>
      <c r="E4" s="191"/>
    </row>
    <row r="5" spans="2:5" x14ac:dyDescent="0.25">
      <c r="B5" t="s">
        <v>70</v>
      </c>
      <c r="C5" s="1">
        <v>15</v>
      </c>
      <c r="D5" s="191"/>
      <c r="E5" s="191"/>
    </row>
    <row r="6" spans="2:5" x14ac:dyDescent="0.25">
      <c r="B6" t="s">
        <v>69</v>
      </c>
      <c r="C6" s="1"/>
      <c r="D6" s="191"/>
      <c r="E6" s="191"/>
    </row>
    <row r="7" spans="2:5" s="2" customFormat="1" x14ac:dyDescent="0.25">
      <c r="B7" s="2" t="s">
        <v>68</v>
      </c>
      <c r="C7" s="8"/>
      <c r="D7" s="191"/>
      <c r="E7" s="191"/>
    </row>
    <row r="8" spans="2:5" x14ac:dyDescent="0.25">
      <c r="B8" s="7" t="s">
        <v>67</v>
      </c>
      <c r="C8" s="1"/>
      <c r="D8" s="191"/>
      <c r="E8" s="191"/>
    </row>
    <row r="9" spans="2:5" x14ac:dyDescent="0.25">
      <c r="B9" s="6" t="s">
        <v>66</v>
      </c>
      <c r="C9" s="1"/>
      <c r="D9" s="191"/>
      <c r="E9" s="191"/>
    </row>
    <row r="10" spans="2:5" x14ac:dyDescent="0.25">
      <c r="B10" s="5" t="s">
        <v>65</v>
      </c>
      <c r="C10" s="1">
        <v>1</v>
      </c>
      <c r="D10" s="191"/>
      <c r="E10" s="191"/>
    </row>
    <row r="11" spans="2:5" x14ac:dyDescent="0.25">
      <c r="B11" s="5" t="s">
        <v>64</v>
      </c>
      <c r="C11" s="1"/>
      <c r="D11" s="191"/>
      <c r="E11" s="191"/>
    </row>
    <row r="12" spans="2:5" x14ac:dyDescent="0.25">
      <c r="B12" s="5" t="s">
        <v>63</v>
      </c>
      <c r="C12" s="1">
        <v>1</v>
      </c>
      <c r="D12" s="191"/>
      <c r="E12" s="191"/>
    </row>
    <row r="13" spans="2:5" x14ac:dyDescent="0.25">
      <c r="B13" s="5" t="s">
        <v>62</v>
      </c>
      <c r="C13" s="1">
        <v>8</v>
      </c>
      <c r="D13" s="191"/>
      <c r="E13" s="191"/>
    </row>
    <row r="14" spans="2:5" x14ac:dyDescent="0.25">
      <c r="B14" s="5" t="s">
        <v>61</v>
      </c>
      <c r="C14" s="1">
        <v>1</v>
      </c>
      <c r="D14" s="191"/>
      <c r="E14" s="191"/>
    </row>
    <row r="15" spans="2:5" x14ac:dyDescent="0.25">
      <c r="B15" s="5" t="s">
        <v>60</v>
      </c>
      <c r="C15" s="1">
        <v>8</v>
      </c>
      <c r="D15" s="191"/>
      <c r="E15" s="191"/>
    </row>
    <row r="16" spans="2:5" x14ac:dyDescent="0.25">
      <c r="B16" t="s">
        <v>59</v>
      </c>
      <c r="C16" s="1">
        <v>15</v>
      </c>
      <c r="D16" s="191">
        <f>SUM(C16:C20)</f>
        <v>73</v>
      </c>
      <c r="E16" s="192">
        <v>0.2</v>
      </c>
    </row>
    <row r="17" spans="2:5" x14ac:dyDescent="0.25">
      <c r="B17" s="4" t="s">
        <v>58</v>
      </c>
      <c r="C17" s="1">
        <v>2</v>
      </c>
      <c r="D17" s="191"/>
      <c r="E17" s="191"/>
    </row>
    <row r="18" spans="2:5" x14ac:dyDescent="0.25">
      <c r="B18" t="s">
        <v>57</v>
      </c>
      <c r="C18" s="1">
        <v>1</v>
      </c>
      <c r="D18" s="191"/>
      <c r="E18" s="191"/>
    </row>
    <row r="19" spans="2:5" x14ac:dyDescent="0.25">
      <c r="B19" s="4" t="s">
        <v>56</v>
      </c>
      <c r="C19" s="1">
        <v>10</v>
      </c>
      <c r="D19" s="191"/>
      <c r="E19" s="191"/>
    </row>
    <row r="20" spans="2:5" x14ac:dyDescent="0.25">
      <c r="B20" s="4" t="s">
        <v>55</v>
      </c>
      <c r="C20" s="1">
        <v>45</v>
      </c>
      <c r="D20" s="191"/>
      <c r="E20" s="191"/>
    </row>
    <row r="21" spans="2:5" x14ac:dyDescent="0.25">
      <c r="B21" s="4" t="s">
        <v>54</v>
      </c>
      <c r="C21" s="1">
        <v>90</v>
      </c>
      <c r="D21" s="191">
        <f>SUM(C21:C24)</f>
        <v>135</v>
      </c>
      <c r="E21" s="192">
        <v>0.6</v>
      </c>
    </row>
    <row r="22" spans="2:5" x14ac:dyDescent="0.25">
      <c r="B22" t="s">
        <v>53</v>
      </c>
      <c r="C22" s="1"/>
      <c r="D22" s="191"/>
      <c r="E22" s="191"/>
    </row>
    <row r="23" spans="2:5" x14ac:dyDescent="0.25">
      <c r="B23" s="4" t="s">
        <v>52</v>
      </c>
      <c r="C23" s="1">
        <v>30</v>
      </c>
      <c r="D23" s="191"/>
      <c r="E23" s="191"/>
    </row>
    <row r="24" spans="2:5" x14ac:dyDescent="0.25">
      <c r="B24" s="4" t="s">
        <v>51</v>
      </c>
      <c r="C24" s="1">
        <v>15</v>
      </c>
      <c r="D24" s="191"/>
      <c r="E24" s="191"/>
    </row>
    <row r="25" spans="2:5" x14ac:dyDescent="0.25">
      <c r="C25">
        <f>SUM(C2:C24)</f>
        <v>245</v>
      </c>
      <c r="E25">
        <f>SUM(E2:E24)</f>
        <v>1</v>
      </c>
    </row>
  </sheetData>
  <mergeCells count="6">
    <mergeCell ref="D2:D15"/>
    <mergeCell ref="E2:E15"/>
    <mergeCell ref="D16:D20"/>
    <mergeCell ref="E16:E20"/>
    <mergeCell ref="D21:D24"/>
    <mergeCell ref="E21:E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UMATA</vt:lpstr>
      <vt:lpstr>Actividades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Umata</dc:creator>
  <cp:lastModifiedBy>David Suarez Sanchez</cp:lastModifiedBy>
  <cp:lastPrinted>2013-02-27T15:56:58Z</cp:lastPrinted>
  <dcterms:created xsi:type="dcterms:W3CDTF">2013-01-17T13:55:12Z</dcterms:created>
  <dcterms:modified xsi:type="dcterms:W3CDTF">2014-03-11T16:08:57Z</dcterms:modified>
</cp:coreProperties>
</file>