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595" tabRatio="775" activeTab="5"/>
  </bookViews>
  <sheets>
    <sheet name="INGRESOS 2014" sheetId="1" r:id="rId1"/>
    <sheet name="INGRESOS 2014 (2)" sheetId="2" r:id="rId2"/>
    <sheet name="ICLD 2014" sheetId="3" r:id="rId3"/>
    <sheet name="LEY 617" sheetId="4" r:id="rId4"/>
    <sheet name="FUNCIONAMIENTO 2014" sheetId="5" r:id="rId5"/>
    <sheet name="PLAN DE ACCIÓN 2014" sheetId="6" r:id="rId6"/>
    <sheet name="CAPACIDAD ENDEUDAMIENTO" sheetId="7" r:id="rId7"/>
    <sheet name="INGRESOS PROYECTADOS MARCO FISC" sheetId="8" r:id="rId8"/>
    <sheet name="MARCO GASTOS" sheetId="9" r:id="rId9"/>
    <sheet name="Meta Superavit fiscal" sheetId="10" r:id="rId10"/>
    <sheet name="POAI MODIFC PARA CONCEJO DE (2" sheetId="11" state="hidden" r:id="rId11"/>
  </sheets>
  <externalReferences>
    <externalReference r:id="rId14"/>
    <externalReference r:id="rId15"/>
    <externalReference r:id="rId16"/>
    <externalReference r:id="rId17"/>
  </externalReferences>
  <definedNames>
    <definedName name="_xlnm._FilterDatabase" localSheetId="0" hidden="1">'INGRESOS 2014'!$A$8:$H$125</definedName>
    <definedName name="_xlnm._FilterDatabase" localSheetId="1" hidden="1">'INGRESOS 2014 (2)'!$A$8:$H$125</definedName>
    <definedName name="_xlnm._FilterDatabase" localSheetId="5" hidden="1">'PLAN DE ACCIÓN 2014'!$A$3:$N$353</definedName>
    <definedName name="_xlnm.Print_Area" localSheetId="3">'LEY 617'!$A$1:$R$70</definedName>
    <definedName name="oooooooo" localSheetId="1">#REF!</definedName>
    <definedName name="oooooooo">#REF!</definedName>
    <definedName name="_xlnm.Print_Titles" localSheetId="6">'CAPACIDAD ENDEUDAMIENTO'!$1:$5</definedName>
    <definedName name="_xlnm.Print_Titles" localSheetId="2">'ICLD 2014'!$1:$9</definedName>
    <definedName name="_xlnm.Print_Titles" localSheetId="3">'LEY 617'!$A:$A,'LEY 617'!$1:$7</definedName>
    <definedName name="Z_B5F3EECB_BF0E_4DAB_ADC1_BBF1EF194DEB_.wvu.Cols" localSheetId="6" hidden="1">'CAPACIDAD ENDEUDAMIENTO'!$C:$G</definedName>
    <definedName name="Z_B5F3EECB_BF0E_4DAB_ADC1_BBF1EF194DEB_.wvu.Cols" localSheetId="4" hidden="1">'FUNCIONAMIENTO 2014'!$C:$E</definedName>
    <definedName name="Z_B5F3EECB_BF0E_4DAB_ADC1_BBF1EF194DEB_.wvu.Cols" localSheetId="2" hidden="1">'ICLD 2014'!$C:$C</definedName>
    <definedName name="Z_B5F3EECB_BF0E_4DAB_ADC1_BBF1EF194DEB_.wvu.Cols" localSheetId="7" hidden="1">'INGRESOS PROYECTADOS MARCO FISC'!$C:$E</definedName>
    <definedName name="Z_B5F3EECB_BF0E_4DAB_ADC1_BBF1EF194DEB_.wvu.Cols" localSheetId="3" hidden="1">'LEY 617'!$B:$D,'LEY 617'!$S:$AI</definedName>
    <definedName name="Z_B5F3EECB_BF0E_4DAB_ADC1_BBF1EF194DEB_.wvu.Cols" localSheetId="8" hidden="1">'MARCO GASTOS'!$B:$D,'MARCO GASTOS'!$R:$AA</definedName>
    <definedName name="Z_B5F3EECB_BF0E_4DAB_ADC1_BBF1EF194DEB_.wvu.Cols" localSheetId="9" hidden="1">'Meta Superavit fiscal'!$B:$D</definedName>
    <definedName name="Z_B5F3EECB_BF0E_4DAB_ADC1_BBF1EF194DEB_.wvu.Cols" localSheetId="10" hidden="1">'POAI MODIFC PARA CONCEJO DE (2'!$A:$A,'POAI MODIFC PARA CONCEJO DE (2'!$C:$C,'POAI MODIFC PARA CONCEJO DE (2'!$E:$I,'POAI MODIFC PARA CONCEJO DE (2'!$K:$K,'POAI MODIFC PARA CONCEJO DE (2'!$M:$N,'POAI MODIFC PARA CONCEJO DE (2'!$P:$W,'POAI MODIFC PARA CONCEJO DE (2'!$AK:$AK,'POAI MODIFC PARA CONCEJO DE (2'!$AO:$AO,'POAI MODIFC PARA CONCEJO DE (2'!$BA:$BA</definedName>
    <definedName name="Z_B5F3EECB_BF0E_4DAB_ADC1_BBF1EF194DEB_.wvu.FilterData" localSheetId="0" hidden="1">'INGRESOS 2014'!$A$8:$F$125</definedName>
    <definedName name="Z_B5F3EECB_BF0E_4DAB_ADC1_BBF1EF194DEB_.wvu.FilterData" localSheetId="1" hidden="1">'INGRESOS 2014 (2)'!$A$8:$F$125</definedName>
    <definedName name="Z_B5F3EECB_BF0E_4DAB_ADC1_BBF1EF194DEB_.wvu.FilterData" localSheetId="7" hidden="1">'INGRESOS PROYECTADOS MARCO FISC'!$A$8:$Q$124</definedName>
    <definedName name="Z_B5F3EECB_BF0E_4DAB_ADC1_BBF1EF194DEB_.wvu.PrintArea" localSheetId="6" hidden="1">'CAPACIDAD ENDEUDAMIENTO'!$A$1:$Q$67</definedName>
    <definedName name="Z_B5F3EECB_BF0E_4DAB_ADC1_BBF1EF194DEB_.wvu.PrintArea" localSheetId="3" hidden="1">'LEY 617'!$A$2:$AD$60</definedName>
    <definedName name="Z_B5F3EECB_BF0E_4DAB_ADC1_BBF1EF194DEB_.wvu.PrintArea" localSheetId="8" hidden="1">'MARCO GASTOS'!$A$6:$AA$21</definedName>
    <definedName name="Z_B5F3EECB_BF0E_4DAB_ADC1_BBF1EF194DEB_.wvu.PrintTitles" localSheetId="6" hidden="1">'CAPACIDAD ENDEUDAMIENTO'!$A$1:$IQ$5</definedName>
    <definedName name="Z_B5F3EECB_BF0E_4DAB_ADC1_BBF1EF194DEB_.wvu.Rows" localSheetId="6" hidden="1">'CAPACIDAD ENDEUDAMIENTO'!$59:$59,'CAPACIDAD ENDEUDAMIENTO'!$62:$67,'CAPACIDAD ENDEUDAMIENTO'!$69:$72</definedName>
    <definedName name="Z_B5F3EECB_BF0E_4DAB_ADC1_BBF1EF194DEB_.wvu.Rows" localSheetId="4" hidden="1">'FUNCIONAMIENTO 2014'!$113:$113</definedName>
    <definedName name="Z_B5F3EECB_BF0E_4DAB_ADC1_BBF1EF194DEB_.wvu.Rows" localSheetId="2" hidden="1">'ICLD 2014'!$23:$23,'ICLD 2014'!$26:$26,'ICLD 2014'!$39:$39,'ICLD 2014'!$45:$45,'ICLD 2014'!$48:$48,'ICLD 2014'!$53:$53,'ICLD 2014'!$54:$54</definedName>
    <definedName name="Z_B5F3EECB_BF0E_4DAB_ADC1_BBF1EF194DEB_.wvu.Rows" localSheetId="0" hidden="1">'INGRESOS 2014'!$1:$5</definedName>
    <definedName name="Z_B5F3EECB_BF0E_4DAB_ADC1_BBF1EF194DEB_.wvu.Rows" localSheetId="1" hidden="1">'INGRESOS 2014 (2)'!$1:$5</definedName>
    <definedName name="Z_B5F3EECB_BF0E_4DAB_ADC1_BBF1EF194DEB_.wvu.Rows" localSheetId="3" hidden="1">'LEY 617'!$44:$44,'LEY 617'!$60:$64</definedName>
    <definedName name="Z_B5F3EECB_BF0E_4DAB_ADC1_BBF1EF194DEB_.wvu.Rows" localSheetId="8" hidden="1">'MARCO GASTOS'!$11:$11</definedName>
    <definedName name="Z_B5F3EECB_BF0E_4DAB_ADC1_BBF1EF194DEB_.wvu.Rows" localSheetId="9" hidden="1">'Meta Superavit fiscal'!$16:$19</definedName>
  </definedNames>
  <calcPr fullCalcOnLoad="1"/>
</workbook>
</file>

<file path=xl/comments1.xml><?xml version="1.0" encoding="utf-8"?>
<comments xmlns="http://schemas.openxmlformats.org/spreadsheetml/2006/main">
  <authors>
    <author>?</author>
    <author>isaura plata diaz</author>
  </authors>
  <commentList>
    <comment ref="C9" authorId="0">
      <text>
        <r>
          <rPr>
            <b/>
            <sz val="8"/>
            <rFont val="Tahoma"/>
            <family val="2"/>
          </rPr>
          <t> :</t>
        </r>
        <r>
          <rPr>
            <sz val="8"/>
            <rFont val="Tahoma"/>
            <family val="2"/>
          </rPr>
          <t xml:space="preserve">
EL 20% SE DEJA PARA EL FONDO DE CONTINGENCIAS</t>
        </r>
      </text>
    </comment>
    <comment ref="C78" authorId="0">
      <text>
        <r>
          <rPr>
            <b/>
            <sz val="8"/>
            <rFont val="Tahoma"/>
            <family val="2"/>
          </rPr>
          <t> :</t>
        </r>
        <r>
          <rPr>
            <sz val="8"/>
            <rFont val="Tahoma"/>
            <family val="2"/>
          </rPr>
          <t xml:space="preserve">
SOBRETASA DRUMMON
10% LIBRE DESTINACION INVERSION</t>
        </r>
      </text>
    </comment>
    <comment ref="C79" authorId="0">
      <text>
        <r>
          <rPr>
            <b/>
            <sz val="8"/>
            <rFont val="Tahoma"/>
            <family val="2"/>
          </rPr>
          <t> SOBRETASA DRUMMO</t>
        </r>
        <r>
          <rPr>
            <sz val="8"/>
            <rFont val="Tahoma"/>
            <family val="2"/>
          </rPr>
          <t xml:space="preserve">
90% A PROYECTOS AMBIENTALES ESTATUTO DE RENTAS
</t>
        </r>
      </text>
    </comment>
    <comment ref="C95" authorId="0">
      <text>
        <r>
          <rPr>
            <b/>
            <sz val="8"/>
            <rFont val="Tahoma"/>
            <family val="2"/>
          </rPr>
          <t> :</t>
        </r>
        <r>
          <rPr>
            <sz val="8"/>
            <rFont val="Tahoma"/>
            <family val="2"/>
          </rPr>
          <t xml:space="preserve">
CUENTA ANTIGUA QUE LLEGA ES PARA FAMILIAS EN ACCION O RED JUNTOS</t>
        </r>
      </text>
    </comment>
    <comment ref="F10" authorId="1">
      <text>
        <r>
          <rPr>
            <b/>
            <sz val="9"/>
            <rFont val="Tahoma"/>
            <family val="2"/>
          </rPr>
          <t>isaura plata diaz:</t>
        </r>
        <r>
          <rPr>
            <sz val="9"/>
            <rFont val="Tahoma"/>
            <family val="2"/>
          </rPr>
          <t xml:space="preserve">
se debe corregir no es un impuesto de debe llevar como una transferencia del departamento
</t>
        </r>
      </text>
    </comment>
    <comment ref="F76" authorId="1">
      <text>
        <r>
          <rPr>
            <b/>
            <sz val="9"/>
            <rFont val="Tahoma"/>
            <family val="2"/>
          </rPr>
          <t>isaura plata diaz:</t>
        </r>
        <r>
          <rPr>
            <sz val="9"/>
            <rFont val="Tahoma"/>
            <family val="2"/>
          </rPr>
          <t xml:space="preserve">
se debe corregir no es un impuesto de debe llevar como una transferencia del departamento
</t>
        </r>
      </text>
    </comment>
    <comment ref="G10" authorId="1">
      <text>
        <r>
          <rPr>
            <b/>
            <sz val="9"/>
            <rFont val="Tahoma"/>
            <family val="2"/>
          </rPr>
          <t>isaura plata diaz:</t>
        </r>
        <r>
          <rPr>
            <sz val="9"/>
            <rFont val="Tahoma"/>
            <family val="2"/>
          </rPr>
          <t xml:space="preserve">
se debe corregir no es un impuesto de debe llevar como una transferencia del departamento
</t>
        </r>
      </text>
    </comment>
    <comment ref="G86" authorId="1">
      <text>
        <r>
          <rPr>
            <b/>
            <sz val="9"/>
            <rFont val="Tahoma"/>
            <family val="0"/>
          </rPr>
          <t>isaura plata diaz:</t>
        </r>
        <r>
          <rPr>
            <sz val="9"/>
            <rFont val="Tahoma"/>
            <family val="0"/>
          </rPr>
          <t xml:space="preserve">
ojo Revisar este ingreso esta muy alto el recaudo</t>
        </r>
      </text>
    </comment>
    <comment ref="G77" authorId="1">
      <text>
        <r>
          <rPr>
            <b/>
            <sz val="9"/>
            <rFont val="Tahoma"/>
            <family val="0"/>
          </rPr>
          <t>isaura plata diaz:</t>
        </r>
        <r>
          <rPr>
            <sz val="9"/>
            <rFont val="Tahoma"/>
            <family val="0"/>
          </rPr>
          <t xml:space="preserve">
Averiguar si a la Jagua le deja el Departamento el Deguello de Ganado Mayor</t>
        </r>
      </text>
    </comment>
  </commentList>
</comments>
</file>

<file path=xl/comments11.xml><?xml version="1.0" encoding="utf-8"?>
<comments xmlns="http://schemas.openxmlformats.org/spreadsheetml/2006/main">
  <authors>
    <author>SAMSUNG</author>
    <author>Luffi</author>
  </authors>
  <commentList>
    <comment ref="BJ3" authorId="0">
      <text>
        <r>
          <rPr>
            <b/>
            <sz val="9"/>
            <rFont val="Tahoma"/>
            <family val="2"/>
          </rPr>
          <t>SAMSUNG:</t>
        </r>
        <r>
          <rPr>
            <sz val="9"/>
            <rFont val="Tahoma"/>
            <family val="2"/>
          </rPr>
          <t xml:space="preserve">
TRANSFERENCIA ESTAMPILLAS</t>
        </r>
      </text>
    </comment>
    <comment ref="AJ327" authorId="1">
      <text>
        <r>
          <rPr>
            <b/>
            <sz val="9"/>
            <rFont val="Tahoma"/>
            <family val="2"/>
          </rPr>
          <t>Luffi:</t>
        </r>
        <r>
          <rPr>
            <sz val="9"/>
            <rFont val="Tahoma"/>
            <family val="2"/>
          </rPr>
          <t xml:space="preserve">
SE TRASLADO PARA EL SECTOR AGROPECUARIO
</t>
        </r>
      </text>
    </comment>
  </commentList>
</comments>
</file>

<file path=xl/comments2.xml><?xml version="1.0" encoding="utf-8"?>
<comments xmlns="http://schemas.openxmlformats.org/spreadsheetml/2006/main">
  <authors>
    <author>?</author>
    <author>isaura plata diaz</author>
  </authors>
  <commentList>
    <comment ref="C9" authorId="0">
      <text>
        <r>
          <rPr>
            <b/>
            <sz val="8"/>
            <rFont val="Tahoma"/>
            <family val="2"/>
          </rPr>
          <t> :</t>
        </r>
        <r>
          <rPr>
            <sz val="8"/>
            <rFont val="Tahoma"/>
            <family val="2"/>
          </rPr>
          <t xml:space="preserve">
EL 20% SE DEJA PARA EL FONDO DE CONTINGENCIAS</t>
        </r>
      </text>
    </comment>
    <comment ref="F10" authorId="1">
      <text>
        <r>
          <rPr>
            <b/>
            <sz val="9"/>
            <rFont val="Tahoma"/>
            <family val="2"/>
          </rPr>
          <t>isaura plata diaz:</t>
        </r>
        <r>
          <rPr>
            <sz val="9"/>
            <rFont val="Tahoma"/>
            <family val="2"/>
          </rPr>
          <t xml:space="preserve">
se debe corregir no es un impuesto de debe llevar como una transferencia del departamento
</t>
        </r>
      </text>
    </comment>
    <comment ref="G10" authorId="1">
      <text>
        <r>
          <rPr>
            <b/>
            <sz val="9"/>
            <rFont val="Tahoma"/>
            <family val="2"/>
          </rPr>
          <t>isaura plata diaz:</t>
        </r>
        <r>
          <rPr>
            <sz val="9"/>
            <rFont val="Tahoma"/>
            <family val="2"/>
          </rPr>
          <t xml:space="preserve">
se debe corregir no es un impuesto de debe llevar como una transferencia del departamento
</t>
        </r>
      </text>
    </comment>
    <comment ref="F76" authorId="1">
      <text>
        <r>
          <rPr>
            <b/>
            <sz val="9"/>
            <rFont val="Tahoma"/>
            <family val="2"/>
          </rPr>
          <t>isaura plata diaz:</t>
        </r>
        <r>
          <rPr>
            <sz val="9"/>
            <rFont val="Tahoma"/>
            <family val="2"/>
          </rPr>
          <t xml:space="preserve">
se debe corregir no es un impuesto de debe llevar como una transferencia del departamento
</t>
        </r>
      </text>
    </comment>
    <comment ref="G77" authorId="1">
      <text>
        <r>
          <rPr>
            <b/>
            <sz val="9"/>
            <rFont val="Tahoma"/>
            <family val="0"/>
          </rPr>
          <t>isaura plata diaz:</t>
        </r>
        <r>
          <rPr>
            <sz val="9"/>
            <rFont val="Tahoma"/>
            <family val="0"/>
          </rPr>
          <t xml:space="preserve">
Averiguar si a la Jagua le deja el Departamento el Deguello de Ganado Mayor</t>
        </r>
      </text>
    </comment>
    <comment ref="C78" authorId="0">
      <text>
        <r>
          <rPr>
            <b/>
            <sz val="8"/>
            <rFont val="Tahoma"/>
            <family val="2"/>
          </rPr>
          <t> :</t>
        </r>
        <r>
          <rPr>
            <sz val="8"/>
            <rFont val="Tahoma"/>
            <family val="2"/>
          </rPr>
          <t xml:space="preserve">
SOBRETASA DRUMMON
10% LIBRE DESTINACION INVERSION</t>
        </r>
      </text>
    </comment>
    <comment ref="C79" authorId="0">
      <text>
        <r>
          <rPr>
            <b/>
            <sz val="8"/>
            <rFont val="Tahoma"/>
            <family val="2"/>
          </rPr>
          <t> SOBRETASA DRUMMO</t>
        </r>
        <r>
          <rPr>
            <sz val="8"/>
            <rFont val="Tahoma"/>
            <family val="2"/>
          </rPr>
          <t xml:space="preserve">
90% A PROYECTOS AMBIENTALES ESTATUTO DE RENTAS
</t>
        </r>
      </text>
    </comment>
    <comment ref="G86" authorId="1">
      <text>
        <r>
          <rPr>
            <b/>
            <sz val="9"/>
            <rFont val="Tahoma"/>
            <family val="0"/>
          </rPr>
          <t>isaura plata diaz:</t>
        </r>
        <r>
          <rPr>
            <sz val="9"/>
            <rFont val="Tahoma"/>
            <family val="0"/>
          </rPr>
          <t xml:space="preserve">
ojo Revisar este ingreso esta muy alto el recaudo</t>
        </r>
      </text>
    </comment>
    <comment ref="C95" authorId="0">
      <text>
        <r>
          <rPr>
            <b/>
            <sz val="8"/>
            <rFont val="Tahoma"/>
            <family val="2"/>
          </rPr>
          <t> :</t>
        </r>
        <r>
          <rPr>
            <sz val="8"/>
            <rFont val="Tahoma"/>
            <family val="2"/>
          </rPr>
          <t xml:space="preserve">
CUENTA ANTIGUA QUE LLEGA ES PARA FAMILIAS EN ACCION O RED JUNTOS</t>
        </r>
      </text>
    </comment>
  </commentList>
</comments>
</file>

<file path=xl/comments3.xml><?xml version="1.0" encoding="utf-8"?>
<comments xmlns="http://schemas.openxmlformats.org/spreadsheetml/2006/main">
  <authors>
    <author>?</author>
    <author>Rafael</author>
  </authors>
  <commentList>
    <comment ref="B10" authorId="0">
      <text>
        <r>
          <rPr>
            <b/>
            <sz val="8"/>
            <rFont val="Tahoma"/>
            <family val="2"/>
          </rPr>
          <t> :</t>
        </r>
        <r>
          <rPr>
            <sz val="8"/>
            <rFont val="Tahoma"/>
            <family val="2"/>
          </rPr>
          <t xml:space="preserve">
SOLO EL 80% SE DESTINA A FUNCIONAMIENTO POR QUE EL 20% VA PARA EL FONDO DE CONTIGENCIAS</t>
        </r>
      </text>
    </comment>
    <comment ref="V9" authorId="1">
      <text>
        <r>
          <rPr>
            <sz val="9"/>
            <rFont val="Tahoma"/>
            <family val="2"/>
          </rPr>
          <t>ISAURA
se dismuyo lo del fondo del gestion del riesgo y lo del fondo de contigencias</t>
        </r>
      </text>
    </comment>
  </commentList>
</comments>
</file>

<file path=xl/comments5.xml><?xml version="1.0" encoding="utf-8"?>
<comments xmlns="http://schemas.openxmlformats.org/spreadsheetml/2006/main">
  <authors>
    <author>?</author>
    <author>Luffi</author>
  </authors>
  <commentList>
    <comment ref="B112" authorId="0">
      <text>
        <r>
          <rPr>
            <b/>
            <sz val="8"/>
            <rFont val="Tahoma"/>
            <family val="2"/>
          </rPr>
          <t> :</t>
        </r>
        <r>
          <rPr>
            <sz val="8"/>
            <rFont val="Tahoma"/>
            <family val="2"/>
          </rPr>
          <t xml:space="preserve">
20% de sobretsa a la gasolina</t>
        </r>
      </text>
    </comment>
    <comment ref="B108" authorId="0">
      <text>
        <r>
          <rPr>
            <b/>
            <sz val="8"/>
            <rFont val="Tahoma"/>
            <family val="2"/>
          </rPr>
          <t> :</t>
        </r>
        <r>
          <rPr>
            <sz val="8"/>
            <rFont val="Tahoma"/>
            <family val="2"/>
          </rPr>
          <t xml:space="preserve">
es el valor de la sobre tasa bomberil</t>
        </r>
      </text>
    </comment>
    <comment ref="B122" authorId="0">
      <text>
        <r>
          <rPr>
            <b/>
            <sz val="8"/>
            <rFont val="Tahoma"/>
            <family val="2"/>
          </rPr>
          <t> :</t>
        </r>
        <r>
          <rPr>
            <sz val="8"/>
            <rFont val="Tahoma"/>
            <family val="2"/>
          </rPr>
          <t xml:space="preserve">
es el valor de la sobre tasa bomberil</t>
        </r>
      </text>
    </comment>
    <comment ref="B126" authorId="0">
      <text>
        <r>
          <rPr>
            <b/>
            <sz val="8"/>
            <rFont val="Tahoma"/>
            <family val="2"/>
          </rPr>
          <t> :</t>
        </r>
        <r>
          <rPr>
            <sz val="8"/>
            <rFont val="Tahoma"/>
            <family val="2"/>
          </rPr>
          <t xml:space="preserve">
20% de sobretsa a la gasolina</t>
        </r>
      </text>
    </comment>
    <comment ref="B113" authorId="0">
      <text>
        <r>
          <rPr>
            <b/>
            <sz val="8"/>
            <rFont val="Tahoma"/>
            <family val="2"/>
          </rPr>
          <t> :</t>
        </r>
        <r>
          <rPr>
            <sz val="8"/>
            <rFont val="Tahoma"/>
            <family val="2"/>
          </rPr>
          <t xml:space="preserve">
20% de sobretsa a la gasolina</t>
        </r>
      </text>
    </comment>
    <comment ref="F10" authorId="1">
      <text>
        <r>
          <rPr>
            <b/>
            <sz val="9"/>
            <rFont val="Tahoma"/>
            <family val="2"/>
          </rPr>
          <t>Luffi:</t>
        </r>
        <r>
          <rPr>
            <sz val="9"/>
            <rFont val="Tahoma"/>
            <family val="2"/>
          </rPr>
          <t xml:space="preserve">
SE PRESUPUESTO 500 MLL DE UNA POSIBLE REESTRUCTURACION ADMON DONDE SE PREVEE UNA PROFESIONALIZACION DE LA ADMON</t>
        </r>
      </text>
    </comment>
  </commentList>
</comments>
</file>

<file path=xl/comments6.xml><?xml version="1.0" encoding="utf-8"?>
<comments xmlns="http://schemas.openxmlformats.org/spreadsheetml/2006/main">
  <authors>
    <author>Rafael</author>
  </authors>
  <commentList>
    <comment ref="O243" authorId="0">
      <text>
        <r>
          <rPr>
            <b/>
            <sz val="9"/>
            <rFont val="Tahoma"/>
            <family val="2"/>
          </rPr>
          <t>Rafael:</t>
        </r>
        <r>
          <rPr>
            <sz val="9"/>
            <rFont val="Tahoma"/>
            <family val="2"/>
          </rPr>
          <t xml:space="preserve">
VA LO DEL IMPUESTO DE ALUMBRADO
</t>
        </r>
      </text>
    </comment>
    <comment ref="O245" authorId="0">
      <text>
        <r>
          <rPr>
            <b/>
            <sz val="9"/>
            <rFont val="Tahoma"/>
            <family val="2"/>
          </rPr>
          <t>Rafael:</t>
        </r>
        <r>
          <rPr>
            <sz val="9"/>
            <rFont val="Tahoma"/>
            <family val="2"/>
          </rPr>
          <t xml:space="preserve">
VA EL 3% DE ICLD SEGÚN ACUERDO MUNICIPAL</t>
        </r>
      </text>
    </comment>
  </commentList>
</comments>
</file>

<file path=xl/comments7.xml><?xml version="1.0" encoding="utf-8"?>
<comments xmlns="http://schemas.openxmlformats.org/spreadsheetml/2006/main">
  <authors>
    <author>avalenzu</author>
    <author>USER</author>
  </authors>
  <commentList>
    <comment ref="F4" authorId="0">
      <text>
        <r>
          <rPr>
            <b/>
            <sz val="10"/>
            <rFont val="Tahoma"/>
            <family val="2"/>
          </rPr>
          <t>avalenzu:</t>
        </r>
        <r>
          <rPr>
            <sz val="10"/>
            <rFont val="Tahoma"/>
            <family val="2"/>
          </rPr>
          <t xml:space="preserve">
SE CONSIDERA QUE LA VIGENCIA ACTUAL CORRESPONDE AL AÑO 1  DE LA PROYECCION</t>
        </r>
      </text>
    </comment>
    <comment ref="C9" authorId="1">
      <text>
        <r>
          <rPr>
            <b/>
            <sz val="8"/>
            <rFont val="Tahoma"/>
            <family val="2"/>
          </rPr>
          <t xml:space="preserve">
</t>
        </r>
      </text>
    </comment>
    <comment ref="E9" authorId="0">
      <text>
        <r>
          <rPr>
            <b/>
            <sz val="8"/>
            <rFont val="Tahoma"/>
            <family val="2"/>
          </rPr>
          <t>avalenzu:</t>
        </r>
        <r>
          <rPr>
            <sz val="8"/>
            <rFont val="Tahoma"/>
            <family val="2"/>
          </rPr>
          <t xml:space="preserve">
DESCUENTA EL VALOR INDEXADO DE LA TRANSFERENCIA AL FONPET (ART. 49 LEY 863/03).</t>
        </r>
      </text>
    </comment>
    <comment ref="E16" authorId="0">
      <text>
        <r>
          <rPr>
            <b/>
            <sz val="8"/>
            <rFont val="Tahoma"/>
            <family val="2"/>
          </rPr>
          <t>avalenzu:</t>
        </r>
        <r>
          <rPr>
            <sz val="8"/>
            <rFont val="Tahoma"/>
            <family val="2"/>
          </rPr>
          <t xml:space="preserve">
DESCUENTA EL VALOR INDEXADO DE LA TRANSFERENCIA AL FONPET (ART. 49 LEY 863/03).</t>
        </r>
      </text>
    </comment>
    <comment ref="D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F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G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H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I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J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K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L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M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N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O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Q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U20" authorId="0">
      <text>
        <r>
          <rPr>
            <b/>
            <sz val="8"/>
            <rFont val="Tahoma"/>
            <family val="2"/>
          </rPr>
          <t>avalenzu:</t>
        </r>
        <r>
          <rPr>
            <sz val="8"/>
            <rFont val="Tahoma"/>
            <family val="2"/>
          </rPr>
          <t xml:space="preserve">
TENGA EN CUENTA QUE ESTE INDICE ESTA PROYECTADO CON BASE EN EL ANALISIS DE LA CAPACIDAD DE PAGO PARA EL AÑO 2005. 
SI REQUIERE ANALIZAR AÑOS ANTERIORES AL 2005, SOLICITE AL ADMINISTRADOR DEL SISTEMA EL DESBLOQUEO DE LA CELDA PARA MODIFICAR EL INDICE.</t>
        </r>
      </text>
    </comment>
    <comment ref="D23" authorId="0">
      <text>
        <r>
          <rPr>
            <b/>
            <sz val="9"/>
            <rFont val="Tahoma"/>
            <family val="2"/>
          </rPr>
          <t>avalenzu:</t>
        </r>
        <r>
          <rPr>
            <sz val="9"/>
            <rFont val="Tahoma"/>
            <family val="2"/>
          </rPr>
          <t xml:space="preserve">
DIGITAR EN MILLONES EL VALOR DEL SALDO DE LA DEUDA A DICIEMBRE DEL AÑO ANTERIOR.</t>
        </r>
      </text>
    </comment>
    <comment ref="D24" authorId="0">
      <text>
        <r>
          <rPr>
            <b/>
            <sz val="9"/>
            <rFont val="Tahoma"/>
            <family val="2"/>
          </rPr>
          <t>avalenzu:</t>
        </r>
        <r>
          <rPr>
            <sz val="9"/>
            <rFont val="Tahoma"/>
            <family val="2"/>
          </rPr>
          <t xml:space="preserve">
DIGITAR EN MILLONES EL VALOR DE LOS DESEMBOLSOS DE CREDITOS YA CONTRATADOS Y QUE ESTAN PROGRAMADOS PARA  ESTA VIGENCIA .</t>
        </r>
      </text>
    </comment>
    <comment ref="F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G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H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I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J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K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L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M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N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O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Q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D28" authorId="0">
      <text>
        <r>
          <rPr>
            <b/>
            <sz val="9"/>
            <rFont val="Tahoma"/>
            <family val="2"/>
          </rPr>
          <t>avalenzu:</t>
        </r>
        <r>
          <rPr>
            <sz val="9"/>
            <rFont val="Tahoma"/>
            <family val="2"/>
          </rPr>
          <t xml:space="preserve">
DIGITAR EN MILLONES EL VALOR DE LAS AMORTIZACIONES PAGADAS ENTRE ENERO Y HASTA LA FECHA DE ANALISIS.</t>
        </r>
      </text>
    </comment>
    <comment ref="F28" authorId="0">
      <text>
        <r>
          <rPr>
            <b/>
            <sz val="10"/>
            <rFont val="Tahoma"/>
            <family val="2"/>
          </rPr>
          <t>avalenzu:</t>
        </r>
        <r>
          <rPr>
            <sz val="10"/>
            <rFont val="Tahoma"/>
            <family val="2"/>
          </rPr>
          <t xml:space="preserve">
DIGITAR EN MILLONES EL VALOR PROYECTADO DE LAS AMORTIZACIONES</t>
        </r>
      </text>
    </comment>
    <comment ref="G28" authorId="0">
      <text>
        <r>
          <rPr>
            <b/>
            <sz val="10"/>
            <rFont val="Tahoma"/>
            <family val="2"/>
          </rPr>
          <t>avalenzu:</t>
        </r>
        <r>
          <rPr>
            <sz val="10"/>
            <rFont val="Tahoma"/>
            <family val="2"/>
          </rPr>
          <t xml:space="preserve">
DIGITAR EN MILLONES EL VALOR PROYECTADO DE LAS AMORTIZACIONES</t>
        </r>
      </text>
    </comment>
    <comment ref="H28" authorId="0">
      <text>
        <r>
          <rPr>
            <b/>
            <sz val="10"/>
            <rFont val="Tahoma"/>
            <family val="2"/>
          </rPr>
          <t>avalenzu:</t>
        </r>
        <r>
          <rPr>
            <sz val="10"/>
            <rFont val="Tahoma"/>
            <family val="2"/>
          </rPr>
          <t xml:space="preserve">
DIGITAR EN MILLONES EL VALOR PROYECTADO DE LAS AMORTIZACIONES</t>
        </r>
      </text>
    </comment>
    <comment ref="I28" authorId="0">
      <text>
        <r>
          <rPr>
            <b/>
            <sz val="10"/>
            <rFont val="Tahoma"/>
            <family val="2"/>
          </rPr>
          <t>avalenzu:</t>
        </r>
        <r>
          <rPr>
            <sz val="10"/>
            <rFont val="Tahoma"/>
            <family val="2"/>
          </rPr>
          <t xml:space="preserve">
DIGITAR EN MILLONES EL VALOR PROYECTADO DE LAS AMORTIZACIONES</t>
        </r>
      </text>
    </comment>
    <comment ref="J28" authorId="0">
      <text>
        <r>
          <rPr>
            <b/>
            <sz val="10"/>
            <rFont val="Tahoma"/>
            <family val="2"/>
          </rPr>
          <t>avalenzu:</t>
        </r>
        <r>
          <rPr>
            <sz val="10"/>
            <rFont val="Tahoma"/>
            <family val="2"/>
          </rPr>
          <t xml:space="preserve">
DIGITAR EN MILLONES EL VALOR PROYECTADO DE LAS AMORTIZACIONES</t>
        </r>
      </text>
    </comment>
    <comment ref="K28" authorId="0">
      <text>
        <r>
          <rPr>
            <b/>
            <sz val="10"/>
            <rFont val="Tahoma"/>
            <family val="2"/>
          </rPr>
          <t>avalenzu:</t>
        </r>
        <r>
          <rPr>
            <sz val="10"/>
            <rFont val="Tahoma"/>
            <family val="2"/>
          </rPr>
          <t xml:space="preserve">
DIGITAR EN MILLONES EL VALOR PROYECTADO DE LAS AMORTIZACIONES</t>
        </r>
      </text>
    </comment>
    <comment ref="L28" authorId="0">
      <text>
        <r>
          <rPr>
            <b/>
            <sz val="10"/>
            <rFont val="Tahoma"/>
            <family val="2"/>
          </rPr>
          <t>avalenzu:</t>
        </r>
        <r>
          <rPr>
            <sz val="10"/>
            <rFont val="Tahoma"/>
            <family val="2"/>
          </rPr>
          <t xml:space="preserve">
DIGITAR EN MILLONES EL VALOR PROYECTADO DE LAS AMORTIZACIONES</t>
        </r>
      </text>
    </comment>
    <comment ref="M28" authorId="0">
      <text>
        <r>
          <rPr>
            <b/>
            <sz val="10"/>
            <rFont val="Tahoma"/>
            <family val="2"/>
          </rPr>
          <t>avalenzu:</t>
        </r>
        <r>
          <rPr>
            <sz val="10"/>
            <rFont val="Tahoma"/>
            <family val="2"/>
          </rPr>
          <t xml:space="preserve">
DIGITAR EN MILLONES EL VALOR PROYECTADO DE LAS AMORTIZACIONES</t>
        </r>
      </text>
    </comment>
    <comment ref="N28" authorId="0">
      <text>
        <r>
          <rPr>
            <b/>
            <sz val="10"/>
            <rFont val="Tahoma"/>
            <family val="2"/>
          </rPr>
          <t>avalenzu:</t>
        </r>
        <r>
          <rPr>
            <sz val="10"/>
            <rFont val="Tahoma"/>
            <family val="2"/>
          </rPr>
          <t xml:space="preserve">
DIGITAR EN MILLONES EL VALOR PROYECTADO DE LAS AMORTIZACIONES</t>
        </r>
      </text>
    </comment>
    <comment ref="O28" authorId="0">
      <text>
        <r>
          <rPr>
            <b/>
            <sz val="10"/>
            <rFont val="Tahoma"/>
            <family val="2"/>
          </rPr>
          <t>avalenzu:</t>
        </r>
        <r>
          <rPr>
            <sz val="10"/>
            <rFont val="Tahoma"/>
            <family val="2"/>
          </rPr>
          <t xml:space="preserve">
DIGITAR EN MILLONES EL VALOR PROYECTADO DE LAS AMORTIZACIONES</t>
        </r>
      </text>
    </comment>
    <comment ref="Q28" authorId="0">
      <text>
        <r>
          <rPr>
            <b/>
            <sz val="10"/>
            <rFont val="Tahoma"/>
            <family val="2"/>
          </rPr>
          <t>avalenzu:</t>
        </r>
        <r>
          <rPr>
            <sz val="10"/>
            <rFont val="Tahoma"/>
            <family val="2"/>
          </rPr>
          <t xml:space="preserve">
DIGITAR EN MILLONES EL VALOR PROYECTADO DE LAS AMORTIZACIONES</t>
        </r>
      </text>
    </comment>
    <comment ref="D29" authorId="0">
      <text>
        <r>
          <rPr>
            <b/>
            <sz val="9"/>
            <rFont val="Tahoma"/>
            <family val="2"/>
          </rPr>
          <t>avalenzu:</t>
        </r>
        <r>
          <rPr>
            <sz val="9"/>
            <rFont val="Tahoma"/>
            <family val="2"/>
          </rPr>
          <t xml:space="preserve">
DIGITAR EN MILLONES EL VALOR DE LAS AMORTIZACIONES POR PAGAR EN EL RESTO DE LA VIGENCIA.</t>
        </r>
      </text>
    </comment>
    <comment ref="F29" authorId="0">
      <text>
        <r>
          <rPr>
            <b/>
            <sz val="10"/>
            <rFont val="Tahoma"/>
            <family val="2"/>
          </rPr>
          <t>avalenzu:</t>
        </r>
        <r>
          <rPr>
            <sz val="10"/>
            <rFont val="Tahoma"/>
            <family val="2"/>
          </rPr>
          <t xml:space="preserve">
DIGITAR EN MILLONES EL VALOR PROYECTADO DE LAS AMORTIZACIONES</t>
        </r>
      </text>
    </comment>
    <comment ref="G29" authorId="0">
      <text>
        <r>
          <rPr>
            <b/>
            <sz val="10"/>
            <rFont val="Tahoma"/>
            <family val="2"/>
          </rPr>
          <t>avalenzu:</t>
        </r>
        <r>
          <rPr>
            <sz val="10"/>
            <rFont val="Tahoma"/>
            <family val="2"/>
          </rPr>
          <t xml:space="preserve">
DIGITAR EN MILLONES EL VALOR PROYECTADO DE LAS AMORTIZACIONES</t>
        </r>
      </text>
    </comment>
    <comment ref="H29" authorId="0">
      <text>
        <r>
          <rPr>
            <b/>
            <sz val="10"/>
            <rFont val="Tahoma"/>
            <family val="2"/>
          </rPr>
          <t>avalenzu:</t>
        </r>
        <r>
          <rPr>
            <sz val="10"/>
            <rFont val="Tahoma"/>
            <family val="2"/>
          </rPr>
          <t xml:space="preserve">
DIGITAR EN MILLONES EL VALOR PROYECTADO DE LAS AMORTIZACIONES</t>
        </r>
      </text>
    </comment>
    <comment ref="I29" authorId="0">
      <text>
        <r>
          <rPr>
            <b/>
            <sz val="10"/>
            <rFont val="Tahoma"/>
            <family val="2"/>
          </rPr>
          <t>avalenzu:</t>
        </r>
        <r>
          <rPr>
            <sz val="10"/>
            <rFont val="Tahoma"/>
            <family val="2"/>
          </rPr>
          <t xml:space="preserve">
DIGITAR EN MILLONES EL VALOR PROYECTADO DE LAS AMORTIZACIONES</t>
        </r>
      </text>
    </comment>
    <comment ref="D31" authorId="0">
      <text>
        <r>
          <rPr>
            <b/>
            <sz val="9"/>
            <rFont val="Tahoma"/>
            <family val="2"/>
          </rPr>
          <t>avalenzu:</t>
        </r>
        <r>
          <rPr>
            <sz val="9"/>
            <rFont val="Tahoma"/>
            <family val="2"/>
          </rPr>
          <t xml:space="preserve">
DIGITAR EN MILLONES EL VALOR DE LOS INTERESES PAGADOS ENTRE ENERO Y HASTA LA FECHA DE ANALISIS.</t>
        </r>
      </text>
    </comment>
    <comment ref="D32" authorId="0">
      <text>
        <r>
          <rPr>
            <b/>
            <sz val="9"/>
            <rFont val="Tahoma"/>
            <family val="2"/>
          </rPr>
          <t>avalenzu:</t>
        </r>
        <r>
          <rPr>
            <sz val="9"/>
            <rFont val="Tahoma"/>
            <family val="2"/>
          </rPr>
          <t xml:space="preserve">
DIGITAR EN MILLONES EL VALOR DE LOS INTERESES POR PAGAR EN EL RESTO DE LA VIGENCIA.</t>
        </r>
      </text>
    </comment>
    <comment ref="F32" authorId="0">
      <text>
        <r>
          <rPr>
            <b/>
            <sz val="10"/>
            <rFont val="Tahoma"/>
            <family val="2"/>
          </rPr>
          <t>avalenzu:</t>
        </r>
        <r>
          <rPr>
            <sz val="10"/>
            <rFont val="Tahoma"/>
            <family val="2"/>
          </rPr>
          <t xml:space="preserve">
DIGITAR EN MILLONES EL VALOR PROYECTADO DE LOS INTERESES</t>
        </r>
      </text>
    </comment>
    <comment ref="G32" authorId="0">
      <text>
        <r>
          <rPr>
            <b/>
            <sz val="10"/>
            <rFont val="Tahoma"/>
            <family val="2"/>
          </rPr>
          <t>avalenzu:</t>
        </r>
        <r>
          <rPr>
            <sz val="10"/>
            <rFont val="Tahoma"/>
            <family val="2"/>
          </rPr>
          <t xml:space="preserve">
DIGITAR EN MILLONES EL VALOR PROYECTADO DE LOS INTERESES</t>
        </r>
      </text>
    </comment>
    <comment ref="H32" authorId="0">
      <text>
        <r>
          <rPr>
            <b/>
            <sz val="10"/>
            <rFont val="Tahoma"/>
            <family val="2"/>
          </rPr>
          <t>avalenzu:</t>
        </r>
        <r>
          <rPr>
            <sz val="10"/>
            <rFont val="Tahoma"/>
            <family val="2"/>
          </rPr>
          <t xml:space="preserve">
DIGITAR EN MILLONES EL VALOR PROYECTADO DE LOS INTERESES</t>
        </r>
      </text>
    </comment>
    <comment ref="I32" authorId="0">
      <text>
        <r>
          <rPr>
            <b/>
            <sz val="10"/>
            <rFont val="Tahoma"/>
            <family val="2"/>
          </rPr>
          <t>avalenzu:</t>
        </r>
        <r>
          <rPr>
            <sz val="10"/>
            <rFont val="Tahoma"/>
            <family val="2"/>
          </rPr>
          <t xml:space="preserve">
DIGITAR EN MILLONES EL VALOR PROYECTADO DE LOS INTERESES</t>
        </r>
      </text>
    </comment>
    <comment ref="J32" authorId="0">
      <text>
        <r>
          <rPr>
            <b/>
            <sz val="10"/>
            <rFont val="Tahoma"/>
            <family val="2"/>
          </rPr>
          <t>avalenzu:</t>
        </r>
        <r>
          <rPr>
            <sz val="10"/>
            <rFont val="Tahoma"/>
            <family val="2"/>
          </rPr>
          <t xml:space="preserve">
DIGITAR EN MILLONES EL VALOR PROYECTADO DE LOS INTERESES</t>
        </r>
      </text>
    </comment>
    <comment ref="K32" authorId="0">
      <text>
        <r>
          <rPr>
            <b/>
            <sz val="10"/>
            <rFont val="Tahoma"/>
            <family val="2"/>
          </rPr>
          <t>avalenzu:</t>
        </r>
        <r>
          <rPr>
            <sz val="10"/>
            <rFont val="Tahoma"/>
            <family val="2"/>
          </rPr>
          <t xml:space="preserve">
DIGITAR EN MILLONES EL VALOR PROYECTADO DE LOS INTERESES</t>
        </r>
      </text>
    </comment>
    <comment ref="L32" authorId="0">
      <text>
        <r>
          <rPr>
            <b/>
            <sz val="10"/>
            <rFont val="Tahoma"/>
            <family val="2"/>
          </rPr>
          <t>avalenzu:</t>
        </r>
        <r>
          <rPr>
            <sz val="10"/>
            <rFont val="Tahoma"/>
            <family val="2"/>
          </rPr>
          <t xml:space="preserve">
DIGITAR EN MILLONES EL VALOR PROYECTADO DE LOS INTERESES</t>
        </r>
      </text>
    </comment>
    <comment ref="M32" authorId="0">
      <text>
        <r>
          <rPr>
            <b/>
            <sz val="10"/>
            <rFont val="Tahoma"/>
            <family val="2"/>
          </rPr>
          <t>avalenzu:</t>
        </r>
        <r>
          <rPr>
            <sz val="10"/>
            <rFont val="Tahoma"/>
            <family val="2"/>
          </rPr>
          <t xml:space="preserve">
DIGITAR EN MILLONES EL VALOR PROYECTADO DE LOS INTERESES</t>
        </r>
      </text>
    </comment>
    <comment ref="N32" authorId="0">
      <text>
        <r>
          <rPr>
            <b/>
            <sz val="10"/>
            <rFont val="Tahoma"/>
            <family val="2"/>
          </rPr>
          <t>avalenzu:</t>
        </r>
        <r>
          <rPr>
            <sz val="10"/>
            <rFont val="Tahoma"/>
            <family val="2"/>
          </rPr>
          <t xml:space="preserve">
DIGITAR EN MILLONES EL VALOR PROYECTADO DE LOS INTERESES</t>
        </r>
      </text>
    </comment>
    <comment ref="O32" authorId="0">
      <text>
        <r>
          <rPr>
            <b/>
            <sz val="10"/>
            <rFont val="Tahoma"/>
            <family val="2"/>
          </rPr>
          <t>avalenzu:</t>
        </r>
        <r>
          <rPr>
            <sz val="10"/>
            <rFont val="Tahoma"/>
            <family val="2"/>
          </rPr>
          <t xml:space="preserve">
DIGITAR EN MILLONES EL VALOR PROYECTADO DE LOS INTERESES</t>
        </r>
      </text>
    </comment>
    <comment ref="Q32" authorId="0">
      <text>
        <r>
          <rPr>
            <b/>
            <sz val="10"/>
            <rFont val="Tahoma"/>
            <family val="2"/>
          </rPr>
          <t>avalenzu:</t>
        </r>
        <r>
          <rPr>
            <sz val="10"/>
            <rFont val="Tahoma"/>
            <family val="2"/>
          </rPr>
          <t xml:space="preserve">
DIGITAR EN MILLONES EL VALOR PROYECTADO DE LOS INTERESES</t>
        </r>
      </text>
    </comment>
    <comment ref="D34" authorId="0">
      <text>
        <r>
          <rPr>
            <b/>
            <sz val="10"/>
            <rFont val="Tahoma"/>
            <family val="2"/>
          </rPr>
          <t>avalenzu:</t>
        </r>
        <r>
          <rPr>
            <sz val="10"/>
            <rFont val="Tahoma"/>
            <family val="2"/>
          </rPr>
          <t xml:space="preserve">
DIGITAR EN MILLONES EL VALOR TOTAL DEL NUEVO CREDITO. </t>
        </r>
      </text>
    </comment>
    <comment ref="F34" authorId="0">
      <text>
        <r>
          <rPr>
            <b/>
            <sz val="10"/>
            <rFont val="Tahoma"/>
            <family val="2"/>
          </rPr>
          <t>avalenzu:</t>
        </r>
        <r>
          <rPr>
            <sz val="10"/>
            <rFont val="Tahoma"/>
            <family val="2"/>
          </rPr>
          <t xml:space="preserve">
DIGITAR EN MILLONES EL VALOR PROYECTADO DEL DESEMBOLSO DE UN NUEVO CREDITO. </t>
        </r>
      </text>
    </comment>
    <comment ref="G34" authorId="0">
      <text>
        <r>
          <rPr>
            <b/>
            <sz val="10"/>
            <rFont val="Tahoma"/>
            <family val="2"/>
          </rPr>
          <t>avalenzu:</t>
        </r>
        <r>
          <rPr>
            <sz val="10"/>
            <rFont val="Tahoma"/>
            <family val="2"/>
          </rPr>
          <t xml:space="preserve">
DIGITAR EN MILLONES EL VALOR PROYECTADO DEL DESEMBOLSO DE UN NUEVO CREDITO. </t>
        </r>
      </text>
    </comment>
    <comment ref="H34" authorId="0">
      <text>
        <r>
          <rPr>
            <b/>
            <sz val="10"/>
            <rFont val="Tahoma"/>
            <family val="2"/>
          </rPr>
          <t>avalenzu:</t>
        </r>
        <r>
          <rPr>
            <sz val="10"/>
            <rFont val="Tahoma"/>
            <family val="2"/>
          </rPr>
          <t xml:space="preserve">
DIGITAR EN MILLONES EL VALOR PROYECTADO DEL DESEMBOLSO DE UN NUEVO CREDITO. </t>
        </r>
      </text>
    </comment>
    <comment ref="I34" authorId="0">
      <text>
        <r>
          <rPr>
            <b/>
            <sz val="10"/>
            <rFont val="Tahoma"/>
            <family val="2"/>
          </rPr>
          <t>avalenzu:</t>
        </r>
        <r>
          <rPr>
            <sz val="10"/>
            <rFont val="Tahoma"/>
            <family val="2"/>
          </rPr>
          <t xml:space="preserve">
DIGITAR EN MILLONES EL VALOR PROYECTADO DEL DESEMBOLSO DE UN NUEVO CREDITO. </t>
        </r>
      </text>
    </comment>
    <comment ref="J34" authorId="0">
      <text>
        <r>
          <rPr>
            <b/>
            <sz val="10"/>
            <rFont val="Tahoma"/>
            <family val="2"/>
          </rPr>
          <t>avalenzu:</t>
        </r>
        <r>
          <rPr>
            <sz val="10"/>
            <rFont val="Tahoma"/>
            <family val="2"/>
          </rPr>
          <t xml:space="preserve">
DIGITAR EN MILLONES EL VALOR PROYECTADO DEL DESEMBOLSO DE UN NUEVO CREDITO. </t>
        </r>
      </text>
    </comment>
    <comment ref="K34" authorId="0">
      <text>
        <r>
          <rPr>
            <b/>
            <sz val="10"/>
            <rFont val="Tahoma"/>
            <family val="2"/>
          </rPr>
          <t>avalenzu:</t>
        </r>
        <r>
          <rPr>
            <sz val="10"/>
            <rFont val="Tahoma"/>
            <family val="2"/>
          </rPr>
          <t xml:space="preserve">
DIGITAR EN MILLONES EL VALOR PROYECTADO DEL DESEMBOLSO DE UN NUEVO CREDITO. </t>
        </r>
      </text>
    </comment>
    <comment ref="L34" authorId="0">
      <text>
        <r>
          <rPr>
            <b/>
            <sz val="10"/>
            <rFont val="Tahoma"/>
            <family val="2"/>
          </rPr>
          <t>avalenzu:</t>
        </r>
        <r>
          <rPr>
            <sz val="10"/>
            <rFont val="Tahoma"/>
            <family val="2"/>
          </rPr>
          <t xml:space="preserve">
DIGITAR EN MILLONES EL VALOR PROYECTADO DEL DESEMBOLSO DE UN NUEVO CREDITO. </t>
        </r>
      </text>
    </comment>
    <comment ref="M34" authorId="0">
      <text>
        <r>
          <rPr>
            <b/>
            <sz val="10"/>
            <rFont val="Tahoma"/>
            <family val="2"/>
          </rPr>
          <t>avalenzu:</t>
        </r>
        <r>
          <rPr>
            <sz val="10"/>
            <rFont val="Tahoma"/>
            <family val="2"/>
          </rPr>
          <t xml:space="preserve">
DIGITAR EN MILLONES EL VALOR PROYECTADO DEL DESEMBOLSO DE UN NUEVO CREDITO. </t>
        </r>
      </text>
    </comment>
    <comment ref="N34" authorId="0">
      <text>
        <r>
          <rPr>
            <b/>
            <sz val="10"/>
            <rFont val="Tahoma"/>
            <family val="2"/>
          </rPr>
          <t>avalenzu:</t>
        </r>
        <r>
          <rPr>
            <sz val="10"/>
            <rFont val="Tahoma"/>
            <family val="2"/>
          </rPr>
          <t xml:space="preserve">
DIGITAR EN MILLONES EL VALOR PROYECTADO DEL DESEMBOLSO DE UN NUEVO CREDITO. </t>
        </r>
      </text>
    </comment>
    <comment ref="O34" authorId="0">
      <text>
        <r>
          <rPr>
            <b/>
            <sz val="10"/>
            <rFont val="Tahoma"/>
            <family val="2"/>
          </rPr>
          <t>avalenzu:</t>
        </r>
        <r>
          <rPr>
            <sz val="10"/>
            <rFont val="Tahoma"/>
            <family val="2"/>
          </rPr>
          <t xml:space="preserve">
DIGITAR EN MILLONES EL VALOR PROYECTADO DEL DESEMBOLSO DE UN NUEVO CREDITO. </t>
        </r>
      </text>
    </comment>
    <comment ref="Q34" authorId="0">
      <text>
        <r>
          <rPr>
            <b/>
            <sz val="10"/>
            <rFont val="Tahoma"/>
            <family val="2"/>
          </rPr>
          <t>avalenzu:</t>
        </r>
        <r>
          <rPr>
            <sz val="10"/>
            <rFont val="Tahoma"/>
            <family val="2"/>
          </rPr>
          <t xml:space="preserve">
DIGITAR EN MILLONES EL VALOR PROYECTADO DEL DESEMBOLSO DE UN NUEVO CREDITO. </t>
        </r>
      </text>
    </comment>
    <comment ref="F35" authorId="0">
      <text>
        <r>
          <rPr>
            <b/>
            <sz val="10"/>
            <rFont val="Tahoma"/>
            <family val="2"/>
          </rPr>
          <t>avalenzu:</t>
        </r>
        <r>
          <rPr>
            <sz val="10"/>
            <rFont val="Tahoma"/>
            <family val="2"/>
          </rPr>
          <t xml:space="preserve">
DIGITAR EN MILLONES EL VALOR PROYECTADO DE LAS AMORTIZACIONES DEL NUEVO CREDITO.</t>
        </r>
      </text>
    </comment>
    <comment ref="G35" authorId="0">
      <text>
        <r>
          <rPr>
            <b/>
            <sz val="10"/>
            <rFont val="Tahoma"/>
            <family val="2"/>
          </rPr>
          <t>avalenzu:</t>
        </r>
        <r>
          <rPr>
            <sz val="10"/>
            <rFont val="Tahoma"/>
            <family val="2"/>
          </rPr>
          <t xml:space="preserve">
DIGITAR EN MILLONES EL VALOR PROYECTADO DE LAS AMORTIZACIONES DEL NUEVO CREDITO.</t>
        </r>
      </text>
    </comment>
    <comment ref="H35" authorId="0">
      <text>
        <r>
          <rPr>
            <b/>
            <sz val="10"/>
            <rFont val="Tahoma"/>
            <family val="2"/>
          </rPr>
          <t>avalenzu:</t>
        </r>
        <r>
          <rPr>
            <sz val="10"/>
            <rFont val="Tahoma"/>
            <family val="2"/>
          </rPr>
          <t xml:space="preserve">
DIGITAR EN MILLONES EL VALOR PROYECTADO DE LAS AMORTIZACIONES DEL NUEVO CREDITO.</t>
        </r>
      </text>
    </comment>
    <comment ref="I35" authorId="0">
      <text>
        <r>
          <rPr>
            <b/>
            <sz val="10"/>
            <rFont val="Tahoma"/>
            <family val="2"/>
          </rPr>
          <t>avalenzu:</t>
        </r>
        <r>
          <rPr>
            <sz val="10"/>
            <rFont val="Tahoma"/>
            <family val="2"/>
          </rPr>
          <t xml:space="preserve">
DIGITAR EN MILLONES EL VALOR PROYECTADO DE LAS AMORTIZACIONES DEL NUEVO CREDITO.</t>
        </r>
      </text>
    </comment>
    <comment ref="J35" authorId="0">
      <text>
        <r>
          <rPr>
            <b/>
            <sz val="10"/>
            <rFont val="Tahoma"/>
            <family val="2"/>
          </rPr>
          <t>avalenzu:</t>
        </r>
        <r>
          <rPr>
            <sz val="10"/>
            <rFont val="Tahoma"/>
            <family val="2"/>
          </rPr>
          <t xml:space="preserve">
DIGITAR EN MILLONES EL VALOR PROYECTADO DE LAS AMORTIZACIONES DEL NUEVO CREDITO.</t>
        </r>
      </text>
    </comment>
    <comment ref="K35" authorId="0">
      <text>
        <r>
          <rPr>
            <b/>
            <sz val="10"/>
            <rFont val="Tahoma"/>
            <family val="2"/>
          </rPr>
          <t>avalenzu:</t>
        </r>
        <r>
          <rPr>
            <sz val="10"/>
            <rFont val="Tahoma"/>
            <family val="2"/>
          </rPr>
          <t xml:space="preserve">
DIGITAR EN MILLONES EL VALOR PROYECTADO DE LAS AMORTIZACIONES DEL NUEVO CREDITO.</t>
        </r>
      </text>
    </comment>
    <comment ref="L35" authorId="0">
      <text>
        <r>
          <rPr>
            <b/>
            <sz val="10"/>
            <rFont val="Tahoma"/>
            <family val="2"/>
          </rPr>
          <t>avalenzu:</t>
        </r>
        <r>
          <rPr>
            <sz val="10"/>
            <rFont val="Tahoma"/>
            <family val="2"/>
          </rPr>
          <t xml:space="preserve">
DIGITAR EN MILLONES EL VALOR PROYECTADO DE LAS AMORTIZACIONES DEL NUEVO CREDITO.</t>
        </r>
      </text>
    </comment>
    <comment ref="M35" authorId="0">
      <text>
        <r>
          <rPr>
            <b/>
            <sz val="10"/>
            <rFont val="Tahoma"/>
            <family val="2"/>
          </rPr>
          <t>avalenzu:</t>
        </r>
        <r>
          <rPr>
            <sz val="10"/>
            <rFont val="Tahoma"/>
            <family val="2"/>
          </rPr>
          <t xml:space="preserve">
DIGITAR EN MILLONES EL VALOR PROYECTADO DE LAS AMORTIZACIONES DEL NUEVO CREDITO.</t>
        </r>
      </text>
    </comment>
    <comment ref="N35" authorId="0">
      <text>
        <r>
          <rPr>
            <b/>
            <sz val="10"/>
            <rFont val="Tahoma"/>
            <family val="2"/>
          </rPr>
          <t>avalenzu:</t>
        </r>
        <r>
          <rPr>
            <sz val="10"/>
            <rFont val="Tahoma"/>
            <family val="2"/>
          </rPr>
          <t xml:space="preserve">
DIGITAR EN MILLONES EL VALOR PROYECTADO DE LAS AMORTIZACIONES DEL NUEVO CREDITO.</t>
        </r>
      </text>
    </comment>
    <comment ref="O35" authorId="0">
      <text>
        <r>
          <rPr>
            <b/>
            <sz val="10"/>
            <rFont val="Tahoma"/>
            <family val="2"/>
          </rPr>
          <t>avalenzu:</t>
        </r>
        <r>
          <rPr>
            <sz val="10"/>
            <rFont val="Tahoma"/>
            <family val="2"/>
          </rPr>
          <t xml:space="preserve">
DIGITAR EN MILLONES EL VALOR PROYECTADO DE LAS AMORTIZACIONES DEL NUEVO CREDITO.</t>
        </r>
      </text>
    </comment>
    <comment ref="Q35" authorId="0">
      <text>
        <r>
          <rPr>
            <b/>
            <sz val="10"/>
            <rFont val="Tahoma"/>
            <family val="2"/>
          </rPr>
          <t>avalenzu:</t>
        </r>
        <r>
          <rPr>
            <sz val="10"/>
            <rFont val="Tahoma"/>
            <family val="2"/>
          </rPr>
          <t xml:space="preserve">
DIGITAR EN MILLONES EL VALOR PROYECTADO DE LAS AMORTIZACIONES DEL NUEVO CREDITO.</t>
        </r>
      </text>
    </comment>
    <comment ref="F36" authorId="0">
      <text>
        <r>
          <rPr>
            <b/>
            <sz val="10"/>
            <rFont val="Tahoma"/>
            <family val="2"/>
          </rPr>
          <t>avalenzu:</t>
        </r>
        <r>
          <rPr>
            <sz val="10"/>
            <rFont val="Tahoma"/>
            <family val="2"/>
          </rPr>
          <t xml:space="preserve">
DIGITAR EN MILLONES EL VALOR PROYECTADO DE LOS INTERESES DEL NUEVO CREDITO.</t>
        </r>
      </text>
    </comment>
    <comment ref="G36" authorId="0">
      <text>
        <r>
          <rPr>
            <b/>
            <sz val="10"/>
            <rFont val="Tahoma"/>
            <family val="2"/>
          </rPr>
          <t>avalenzu:</t>
        </r>
        <r>
          <rPr>
            <sz val="10"/>
            <rFont val="Tahoma"/>
            <family val="2"/>
          </rPr>
          <t xml:space="preserve">
DIGITAR EN MILLONES EL VALOR PROYECTADO DE LOS INTERESES DEL NUEVO CREDITO.</t>
        </r>
      </text>
    </comment>
    <comment ref="H36" authorId="0">
      <text>
        <r>
          <rPr>
            <b/>
            <sz val="10"/>
            <rFont val="Tahoma"/>
            <family val="2"/>
          </rPr>
          <t>avalenzu:</t>
        </r>
        <r>
          <rPr>
            <sz val="10"/>
            <rFont val="Tahoma"/>
            <family val="2"/>
          </rPr>
          <t xml:space="preserve">
DIGITAR EN MILLONES EL VALOR PROYECTADO DE LOS INTERESES DEL NUEVO CREDITO.</t>
        </r>
      </text>
    </comment>
    <comment ref="I36" authorId="0">
      <text>
        <r>
          <rPr>
            <b/>
            <sz val="10"/>
            <rFont val="Tahoma"/>
            <family val="2"/>
          </rPr>
          <t>avalenzu:</t>
        </r>
        <r>
          <rPr>
            <sz val="10"/>
            <rFont val="Tahoma"/>
            <family val="2"/>
          </rPr>
          <t xml:space="preserve">
DIGITAR EN MILLONES EL VALOR PROYECTADO DE LOS INTERESES DEL NUEVO CREDITO.</t>
        </r>
      </text>
    </comment>
    <comment ref="J36" authorId="0">
      <text>
        <r>
          <rPr>
            <b/>
            <sz val="10"/>
            <rFont val="Tahoma"/>
            <family val="2"/>
          </rPr>
          <t>avalenzu:</t>
        </r>
        <r>
          <rPr>
            <sz val="10"/>
            <rFont val="Tahoma"/>
            <family val="2"/>
          </rPr>
          <t xml:space="preserve">
DIGITAR EN MILLONES EL VALOR PROYECTADO DE LOS INTERESES DEL NUEVO CREDITO.</t>
        </r>
      </text>
    </comment>
    <comment ref="K36" authorId="0">
      <text>
        <r>
          <rPr>
            <b/>
            <sz val="10"/>
            <rFont val="Tahoma"/>
            <family val="2"/>
          </rPr>
          <t>avalenzu:</t>
        </r>
        <r>
          <rPr>
            <sz val="10"/>
            <rFont val="Tahoma"/>
            <family val="2"/>
          </rPr>
          <t xml:space="preserve">
DIGITAR EN MILLONES EL VALOR PROYECTADO DE LOS INTERESES DEL NUEVO CREDITO.</t>
        </r>
      </text>
    </comment>
    <comment ref="L36" authorId="0">
      <text>
        <r>
          <rPr>
            <b/>
            <sz val="10"/>
            <rFont val="Tahoma"/>
            <family val="2"/>
          </rPr>
          <t>avalenzu:</t>
        </r>
        <r>
          <rPr>
            <sz val="10"/>
            <rFont val="Tahoma"/>
            <family val="2"/>
          </rPr>
          <t xml:space="preserve">
DIGITAR EN MILLONES EL VALOR PROYECTADO DE LOS INTERESES DEL NUEVO CREDITO.</t>
        </r>
      </text>
    </comment>
    <comment ref="M36" authorId="0">
      <text>
        <r>
          <rPr>
            <b/>
            <sz val="10"/>
            <rFont val="Tahoma"/>
            <family val="2"/>
          </rPr>
          <t>avalenzu:</t>
        </r>
        <r>
          <rPr>
            <sz val="10"/>
            <rFont val="Tahoma"/>
            <family val="2"/>
          </rPr>
          <t xml:space="preserve">
DIGITAR EN MILLONES EL VALOR PROYECTADO DE LOS INTERESES DEL NUEVO CREDITO.</t>
        </r>
      </text>
    </comment>
    <comment ref="N36" authorId="0">
      <text>
        <r>
          <rPr>
            <b/>
            <sz val="10"/>
            <rFont val="Tahoma"/>
            <family val="2"/>
          </rPr>
          <t>avalenzu:</t>
        </r>
        <r>
          <rPr>
            <sz val="10"/>
            <rFont val="Tahoma"/>
            <family val="2"/>
          </rPr>
          <t xml:space="preserve">
DIGITAR EN MILLONES EL VALOR PROYECTADO DE LOS INTERESES DEL NUEVO CREDITO.</t>
        </r>
      </text>
    </comment>
    <comment ref="O36" authorId="0">
      <text>
        <r>
          <rPr>
            <b/>
            <sz val="10"/>
            <rFont val="Tahoma"/>
            <family val="2"/>
          </rPr>
          <t>avalenzu:</t>
        </r>
        <r>
          <rPr>
            <sz val="10"/>
            <rFont val="Tahoma"/>
            <family val="2"/>
          </rPr>
          <t xml:space="preserve">
DIGITAR EN MILLONES EL VALOR PROYECTADO DE LOS INTERESES DEL NUEVO CREDITO.</t>
        </r>
      </text>
    </comment>
    <comment ref="Q36" authorId="0">
      <text>
        <r>
          <rPr>
            <b/>
            <sz val="10"/>
            <rFont val="Tahoma"/>
            <family val="2"/>
          </rPr>
          <t>avalenzu:</t>
        </r>
        <r>
          <rPr>
            <sz val="10"/>
            <rFont val="Tahoma"/>
            <family val="2"/>
          </rPr>
          <t xml:space="preserve">
DIGITAR EN MILLONES EL VALOR PROYECTADO DE LOS INTERESES DEL NUEVO CREDITO.</t>
        </r>
      </text>
    </comment>
    <comment ref="B65" authorId="0">
      <text>
        <r>
          <rPr>
            <b/>
            <sz val="8"/>
            <rFont val="Tahoma"/>
            <family val="2"/>
          </rPr>
          <t>avalenzu:</t>
        </r>
        <r>
          <rPr>
            <sz val="8"/>
            <rFont val="Tahoma"/>
            <family val="2"/>
          </rPr>
          <t xml:space="preserve">
DIGITAR SOBRE LA LINEA  LA VIGENCIA FISCAL DEL CORTE DE CUENTAS POR PAGAR</t>
        </r>
      </text>
    </comment>
    <comment ref="E65" authorId="0">
      <text>
        <r>
          <rPr>
            <b/>
            <sz val="8"/>
            <rFont val="Tahoma"/>
            <family val="2"/>
          </rPr>
          <t>avalenzu:</t>
        </r>
        <r>
          <rPr>
            <sz val="8"/>
            <rFont val="Tahoma"/>
            <family val="2"/>
          </rPr>
          <t xml:space="preserve">
DIGITAR EN MILLONES EL VALOR DE LAS CUENTAS POR PAGAR SEGÚN SE INDICA EN LA CELDA G64.</t>
        </r>
      </text>
    </comment>
    <comment ref="F9" authorId="0">
      <text>
        <r>
          <rPr>
            <b/>
            <sz val="8"/>
            <rFont val="Tahoma"/>
            <family val="2"/>
          </rPr>
          <t>avalenzu:</t>
        </r>
        <r>
          <rPr>
            <sz val="8"/>
            <rFont val="Tahoma"/>
            <family val="2"/>
          </rPr>
          <t xml:space="preserve">
DESCUENTA EL VALOR INDEXADO DE LA TRANSFERENCIA AL FONPET (ART. 49 LEY 863/03).</t>
        </r>
      </text>
    </comment>
    <comment ref="I9" authorId="0">
      <text>
        <r>
          <rPr>
            <b/>
            <sz val="8"/>
            <rFont val="Tahoma"/>
            <family val="2"/>
          </rPr>
          <t>avalenzu:</t>
        </r>
        <r>
          <rPr>
            <sz val="8"/>
            <rFont val="Tahoma"/>
            <family val="2"/>
          </rPr>
          <t xml:space="preserve">
DESCUENTA EL VALOR INDEXADO DE LA TRANSFERENCIA AL FONPET (ART. 49 LEY 863/03).</t>
        </r>
      </text>
    </comment>
    <comment ref="J9" authorId="0">
      <text>
        <r>
          <rPr>
            <b/>
            <sz val="8"/>
            <rFont val="Tahoma"/>
            <family val="2"/>
          </rPr>
          <t>avalenzu:</t>
        </r>
        <r>
          <rPr>
            <sz val="8"/>
            <rFont val="Tahoma"/>
            <family val="2"/>
          </rPr>
          <t xml:space="preserve">
DESCUENTA EL VALOR INDEXADO DE LA TRANSFERENCIA AL FONPET (ART. 49 LEY 863/03).</t>
        </r>
      </text>
    </comment>
    <comment ref="K9" authorId="0">
      <text>
        <r>
          <rPr>
            <b/>
            <sz val="8"/>
            <rFont val="Tahoma"/>
            <family val="2"/>
          </rPr>
          <t>avalenzu:</t>
        </r>
        <r>
          <rPr>
            <sz val="8"/>
            <rFont val="Tahoma"/>
            <family val="2"/>
          </rPr>
          <t xml:space="preserve">
DESCUENTA EL VALOR INDEXADO DE LA TRANSFERENCIA AL FONPET (ART. 49 LEY 863/03).</t>
        </r>
      </text>
    </comment>
    <comment ref="L9" authorId="0">
      <text>
        <r>
          <rPr>
            <b/>
            <sz val="8"/>
            <rFont val="Tahoma"/>
            <family val="2"/>
          </rPr>
          <t>avalenzu:</t>
        </r>
        <r>
          <rPr>
            <sz val="8"/>
            <rFont val="Tahoma"/>
            <family val="2"/>
          </rPr>
          <t xml:space="preserve">
DESCUENTA EL VALOR INDEXADO DE LA TRANSFERENCIA AL FONPET (ART. 49 LEY 863/03).</t>
        </r>
      </text>
    </comment>
    <comment ref="M9" authorId="0">
      <text>
        <r>
          <rPr>
            <b/>
            <sz val="8"/>
            <rFont val="Tahoma"/>
            <family val="2"/>
          </rPr>
          <t>avalenzu:</t>
        </r>
        <r>
          <rPr>
            <sz val="8"/>
            <rFont val="Tahoma"/>
            <family val="2"/>
          </rPr>
          <t xml:space="preserve">
DESCUENTA EL VALOR INDEXADO DE LA TRANSFERENCIA AL FONPET (ART. 49 LEY 863/03).</t>
        </r>
      </text>
    </comment>
    <comment ref="N9" authorId="0">
      <text>
        <r>
          <rPr>
            <b/>
            <sz val="8"/>
            <rFont val="Tahoma"/>
            <family val="2"/>
          </rPr>
          <t>avalenzu:</t>
        </r>
        <r>
          <rPr>
            <sz val="8"/>
            <rFont val="Tahoma"/>
            <family val="2"/>
          </rPr>
          <t xml:space="preserve">
DESCUENTA EL VALOR INDEXADO DE LA TRANSFERENCIA AL FONPET (ART. 49 LEY 863/03).</t>
        </r>
      </text>
    </comment>
    <comment ref="O9" authorId="0">
      <text>
        <r>
          <rPr>
            <b/>
            <sz val="8"/>
            <rFont val="Tahoma"/>
            <family val="2"/>
          </rPr>
          <t>avalenzu:</t>
        </r>
        <r>
          <rPr>
            <sz val="8"/>
            <rFont val="Tahoma"/>
            <family val="2"/>
          </rPr>
          <t xml:space="preserve">
DESCUENTA EL VALOR INDEXADO DE LA TRANSFERENCIA AL FONPET (ART. 49 LEY 863/03).</t>
        </r>
      </text>
    </comment>
    <comment ref="G9" authorId="0">
      <text>
        <r>
          <rPr>
            <b/>
            <sz val="8"/>
            <rFont val="Tahoma"/>
            <family val="2"/>
          </rPr>
          <t>avalenzu:</t>
        </r>
        <r>
          <rPr>
            <sz val="8"/>
            <rFont val="Tahoma"/>
            <family val="2"/>
          </rPr>
          <t xml:space="preserve">
DESCUENTA EL VALOR INDEXADO DE LA TRANSFERENCIA AL FONPET (ART. 49 LEY 863/03).</t>
        </r>
      </text>
    </comment>
    <comment ref="H9" authorId="0">
      <text>
        <r>
          <rPr>
            <b/>
            <sz val="8"/>
            <rFont val="Tahoma"/>
            <family val="2"/>
          </rPr>
          <t>avalenzu:</t>
        </r>
        <r>
          <rPr>
            <sz val="8"/>
            <rFont val="Tahoma"/>
            <family val="2"/>
          </rPr>
          <t xml:space="preserve">
DESCUENTA EL VALOR INDEXADO DE LA TRANSFERENCIA AL FONPET (ART. 49 LEY 863/03).</t>
        </r>
      </text>
    </comment>
    <comment ref="P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P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P28" authorId="0">
      <text>
        <r>
          <rPr>
            <b/>
            <sz val="10"/>
            <rFont val="Tahoma"/>
            <family val="2"/>
          </rPr>
          <t>avalenzu:</t>
        </r>
        <r>
          <rPr>
            <sz val="10"/>
            <rFont val="Tahoma"/>
            <family val="2"/>
          </rPr>
          <t xml:space="preserve">
DIGITAR EN MILLONES EL VALOR PROYECTADO DE LAS AMORTIZACIONES</t>
        </r>
      </text>
    </comment>
    <comment ref="P32" authorId="0">
      <text>
        <r>
          <rPr>
            <b/>
            <sz val="10"/>
            <rFont val="Tahoma"/>
            <family val="2"/>
          </rPr>
          <t>avalenzu:</t>
        </r>
        <r>
          <rPr>
            <sz val="10"/>
            <rFont val="Tahoma"/>
            <family val="2"/>
          </rPr>
          <t xml:space="preserve">
DIGITAR EN MILLONES EL VALOR PROYECTADO DE LOS INTERESES</t>
        </r>
      </text>
    </comment>
    <comment ref="P34" authorId="0">
      <text>
        <r>
          <rPr>
            <b/>
            <sz val="10"/>
            <rFont val="Tahoma"/>
            <family val="2"/>
          </rPr>
          <t>avalenzu:</t>
        </r>
        <r>
          <rPr>
            <sz val="10"/>
            <rFont val="Tahoma"/>
            <family val="2"/>
          </rPr>
          <t xml:space="preserve">
DIGITAR EN MILLONES EL VALOR PROYECTADO DEL DESEMBOLSO DE UN NUEVO CREDITO. </t>
        </r>
      </text>
    </comment>
    <comment ref="P35" authorId="0">
      <text>
        <r>
          <rPr>
            <b/>
            <sz val="10"/>
            <rFont val="Tahoma"/>
            <family val="2"/>
          </rPr>
          <t>avalenzu:</t>
        </r>
        <r>
          <rPr>
            <sz val="10"/>
            <rFont val="Tahoma"/>
            <family val="2"/>
          </rPr>
          <t xml:space="preserve">
DIGITAR EN MILLONES EL VALOR PROYECTADO DE LAS AMORTIZACIONES DEL NUEVO CREDITO.</t>
        </r>
      </text>
    </comment>
    <comment ref="P36" authorId="0">
      <text>
        <r>
          <rPr>
            <b/>
            <sz val="10"/>
            <rFont val="Tahoma"/>
            <family val="2"/>
          </rPr>
          <t>avalenzu:</t>
        </r>
        <r>
          <rPr>
            <sz val="10"/>
            <rFont val="Tahoma"/>
            <family val="2"/>
          </rPr>
          <t xml:space="preserve">
DIGITAR EN MILLONES EL VALOR PROYECTADO DE LOS INTERESES DEL NUEVO CREDITO.</t>
        </r>
      </text>
    </comment>
    <comment ref="Q9" authorId="0">
      <text>
        <r>
          <rPr>
            <b/>
            <sz val="8"/>
            <rFont val="Tahoma"/>
            <family val="2"/>
          </rPr>
          <t>avalenzu:</t>
        </r>
        <r>
          <rPr>
            <sz val="8"/>
            <rFont val="Tahoma"/>
            <family val="2"/>
          </rPr>
          <t xml:space="preserve">
DESCUENTA EL VALOR INDEXADO DE LA TRANSFERENCIA AL FONPET (ART. 49 LEY 863/03).</t>
        </r>
      </text>
    </comment>
    <comment ref="R9" authorId="0">
      <text>
        <r>
          <rPr>
            <b/>
            <sz val="8"/>
            <rFont val="Tahoma"/>
            <family val="2"/>
          </rPr>
          <t>avalenzu:</t>
        </r>
        <r>
          <rPr>
            <sz val="8"/>
            <rFont val="Tahoma"/>
            <family val="2"/>
          </rPr>
          <t xml:space="preserve">
DESCUENTA EL VALOR INDEXADO DE LA TRANSFERENCIA AL FONPET (ART. 49 LEY 863/03).</t>
        </r>
      </text>
    </comment>
    <comment ref="R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R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R28" authorId="0">
      <text>
        <r>
          <rPr>
            <b/>
            <sz val="10"/>
            <rFont val="Tahoma"/>
            <family val="2"/>
          </rPr>
          <t>avalenzu:</t>
        </r>
        <r>
          <rPr>
            <sz val="10"/>
            <rFont val="Tahoma"/>
            <family val="2"/>
          </rPr>
          <t xml:space="preserve">
DIGITAR EN MILLONES EL VALOR PROYECTADO DE LAS AMORTIZACIONES</t>
        </r>
      </text>
    </comment>
    <comment ref="R32" authorId="0">
      <text>
        <r>
          <rPr>
            <b/>
            <sz val="10"/>
            <rFont val="Tahoma"/>
            <family val="2"/>
          </rPr>
          <t>avalenzu:</t>
        </r>
        <r>
          <rPr>
            <sz val="10"/>
            <rFont val="Tahoma"/>
            <family val="2"/>
          </rPr>
          <t xml:space="preserve">
DIGITAR EN MILLONES EL VALOR PROYECTADO DE LOS INTERESES</t>
        </r>
      </text>
    </comment>
    <comment ref="R34" authorId="0">
      <text>
        <r>
          <rPr>
            <b/>
            <sz val="10"/>
            <rFont val="Tahoma"/>
            <family val="2"/>
          </rPr>
          <t>avalenzu:</t>
        </r>
        <r>
          <rPr>
            <sz val="10"/>
            <rFont val="Tahoma"/>
            <family val="2"/>
          </rPr>
          <t xml:space="preserve">
DIGITAR EN MILLONES EL VALOR PROYECTADO DEL DESEMBOLSO DE UN NUEVO CREDITO. </t>
        </r>
      </text>
    </comment>
    <comment ref="R35" authorId="0">
      <text>
        <r>
          <rPr>
            <b/>
            <sz val="10"/>
            <rFont val="Tahoma"/>
            <family val="2"/>
          </rPr>
          <t>avalenzu:</t>
        </r>
        <r>
          <rPr>
            <sz val="10"/>
            <rFont val="Tahoma"/>
            <family val="2"/>
          </rPr>
          <t xml:space="preserve">
DIGITAR EN MILLONES EL VALOR PROYECTADO DE LAS AMORTIZACIONES DEL NUEVO CREDITO.</t>
        </r>
      </text>
    </comment>
    <comment ref="R36" authorId="0">
      <text>
        <r>
          <rPr>
            <b/>
            <sz val="10"/>
            <rFont val="Tahoma"/>
            <family val="2"/>
          </rPr>
          <t>avalenzu:</t>
        </r>
        <r>
          <rPr>
            <sz val="10"/>
            <rFont val="Tahoma"/>
            <family val="2"/>
          </rPr>
          <t xml:space="preserve">
DIGITAR EN MILLONES EL VALOR PROYECTADO DE LOS INTERESES DEL NUEVO CREDITO.</t>
        </r>
      </text>
    </comment>
    <comment ref="S9" authorId="0">
      <text>
        <r>
          <rPr>
            <b/>
            <sz val="8"/>
            <rFont val="Tahoma"/>
            <family val="2"/>
          </rPr>
          <t>avalenzu:</t>
        </r>
        <r>
          <rPr>
            <sz val="8"/>
            <rFont val="Tahoma"/>
            <family val="2"/>
          </rPr>
          <t xml:space="preserve">
DESCUENTA EL VALOR INDEXADO DE LA TRANSFERENCIA AL FONPET (ART. 49 LEY 863/03).</t>
        </r>
      </text>
    </comment>
    <comment ref="S20" authorId="0">
      <text>
        <r>
          <rPr>
            <b/>
            <sz val="8"/>
            <rFont val="Tahoma"/>
            <family val="2"/>
          </rPr>
          <t>avalenzu:</t>
        </r>
        <r>
          <rPr>
            <sz val="8"/>
            <rFont val="Tahoma"/>
            <family val="2"/>
          </rPr>
          <t xml:space="preserve">
VERIFICAR QUE LA INFLACION ESPERADA QUE ESTA DIGITADA EN ESTE CAMPO, CORRESPONDA A LOS SUPUESTOS OFICIALES MFMP (DIRECCION MACREOECONOMICA DEL MINHACIENDA PARA LA VIGENCIA DE ANALISIS).</t>
        </r>
      </text>
    </comment>
    <comment ref="S24" authorId="0">
      <text>
        <r>
          <rPr>
            <b/>
            <sz val="10"/>
            <rFont val="Tahoma"/>
            <family val="2"/>
          </rPr>
          <t>avalenzu:</t>
        </r>
        <r>
          <rPr>
            <sz val="10"/>
            <rFont val="Tahoma"/>
            <family val="2"/>
          </rPr>
          <t xml:space="preserve">
DIGITAR EL VALOR DE LOS DESEMBOLSOS PROYECTADOS DE LA DEUDA YA CONTRATADA</t>
        </r>
        <r>
          <rPr>
            <sz val="8"/>
            <rFont val="Tahoma"/>
            <family val="2"/>
          </rPr>
          <t>.</t>
        </r>
      </text>
    </comment>
    <comment ref="S28" authorId="0">
      <text>
        <r>
          <rPr>
            <b/>
            <sz val="10"/>
            <rFont val="Tahoma"/>
            <family val="2"/>
          </rPr>
          <t>avalenzu:</t>
        </r>
        <r>
          <rPr>
            <sz val="10"/>
            <rFont val="Tahoma"/>
            <family val="2"/>
          </rPr>
          <t xml:space="preserve">
DIGITAR EN MILLONES EL VALOR PROYECTADO DE LAS AMORTIZACIONES</t>
        </r>
      </text>
    </comment>
    <comment ref="S32" authorId="0">
      <text>
        <r>
          <rPr>
            <b/>
            <sz val="10"/>
            <rFont val="Tahoma"/>
            <family val="2"/>
          </rPr>
          <t>avalenzu:</t>
        </r>
        <r>
          <rPr>
            <sz val="10"/>
            <rFont val="Tahoma"/>
            <family val="2"/>
          </rPr>
          <t xml:space="preserve">
DIGITAR EN MILLONES EL VALOR PROYECTADO DE LOS INTERESES</t>
        </r>
      </text>
    </comment>
    <comment ref="S34" authorId="0">
      <text>
        <r>
          <rPr>
            <b/>
            <sz val="10"/>
            <rFont val="Tahoma"/>
            <family val="2"/>
          </rPr>
          <t>avalenzu:</t>
        </r>
        <r>
          <rPr>
            <sz val="10"/>
            <rFont val="Tahoma"/>
            <family val="2"/>
          </rPr>
          <t xml:space="preserve">
DIGITAR EN MILLONES EL VALOR PROYECTADO DEL DESEMBOLSO DE UN NUEVO CREDITO. </t>
        </r>
      </text>
    </comment>
    <comment ref="S35" authorId="0">
      <text>
        <r>
          <rPr>
            <b/>
            <sz val="10"/>
            <rFont val="Tahoma"/>
            <family val="2"/>
          </rPr>
          <t>avalenzu:</t>
        </r>
        <r>
          <rPr>
            <sz val="10"/>
            <rFont val="Tahoma"/>
            <family val="2"/>
          </rPr>
          <t xml:space="preserve">
DIGITAR EN MILLONES EL VALOR PROYECTADO DE LAS AMORTIZACIONES DEL NUEVO CREDITO.</t>
        </r>
      </text>
    </comment>
    <comment ref="S36" authorId="0">
      <text>
        <r>
          <rPr>
            <b/>
            <sz val="10"/>
            <rFont val="Tahoma"/>
            <family val="2"/>
          </rPr>
          <t>avalenzu:</t>
        </r>
        <r>
          <rPr>
            <sz val="10"/>
            <rFont val="Tahoma"/>
            <family val="2"/>
          </rPr>
          <t xml:space="preserve">
DIGITAR EN MILLONES EL VALOR PROYECTADO DE LOS INTERESES DEL NUEVO CREDITO.</t>
        </r>
      </text>
    </comment>
    <comment ref="P9" authorId="0">
      <text>
        <r>
          <rPr>
            <b/>
            <sz val="8"/>
            <rFont val="Tahoma"/>
            <family val="2"/>
          </rPr>
          <t>avalenzu:</t>
        </r>
        <r>
          <rPr>
            <sz val="8"/>
            <rFont val="Tahoma"/>
            <family val="2"/>
          </rPr>
          <t xml:space="preserve">
DESCUENTA EL VALOR INDEXADO DE LA TRANSFERENCIA AL FONPET (ART. 49 LEY 863/03).</t>
        </r>
      </text>
    </comment>
  </commentList>
</comments>
</file>

<file path=xl/comments8.xml><?xml version="1.0" encoding="utf-8"?>
<comments xmlns="http://schemas.openxmlformats.org/spreadsheetml/2006/main">
  <authors>
    <author>?</author>
  </authors>
  <commentList>
    <comment ref="B79" authorId="0">
      <text>
        <r>
          <rPr>
            <b/>
            <sz val="8"/>
            <rFont val="Tahoma"/>
            <family val="2"/>
          </rPr>
          <t> :</t>
        </r>
        <r>
          <rPr>
            <sz val="8"/>
            <rFont val="Tahoma"/>
            <family val="2"/>
          </rPr>
          <t xml:space="preserve">
SOBRETASA DRUMMON
10% LIBRE DESTINACION INVERSION</t>
        </r>
      </text>
    </comment>
    <comment ref="B80" authorId="0">
      <text>
        <r>
          <rPr>
            <b/>
            <sz val="8"/>
            <rFont val="Tahoma"/>
            <family val="2"/>
          </rPr>
          <t> SOBRETASA DRUMMO</t>
        </r>
        <r>
          <rPr>
            <sz val="8"/>
            <rFont val="Tahoma"/>
            <family val="2"/>
          </rPr>
          <t xml:space="preserve">
90% A PROYECTOS AMBIENTALES ESTATUTO DE RENTAS
</t>
        </r>
      </text>
    </comment>
    <comment ref="B94" authorId="0">
      <text>
        <r>
          <rPr>
            <b/>
            <sz val="8"/>
            <rFont val="Tahoma"/>
            <family val="2"/>
          </rPr>
          <t> :</t>
        </r>
        <r>
          <rPr>
            <sz val="8"/>
            <rFont val="Tahoma"/>
            <family val="2"/>
          </rPr>
          <t xml:space="preserve">
CUENTA ANTIGUA QUE LLEGA ES PARA FAMILIAS EN ACCION O RED JUNTOS</t>
        </r>
      </text>
    </comment>
    <comment ref="B9" authorId="0">
      <text>
        <r>
          <rPr>
            <b/>
            <sz val="8"/>
            <rFont val="Tahoma"/>
            <family val="2"/>
          </rPr>
          <t> :</t>
        </r>
        <r>
          <rPr>
            <sz val="8"/>
            <rFont val="Tahoma"/>
            <family val="2"/>
          </rPr>
          <t xml:space="preserve">
EL 20% SE DEJA PARA EL FONDO DE CONTINGENCIAS</t>
        </r>
      </text>
    </comment>
  </commentList>
</comments>
</file>

<file path=xl/sharedStrings.xml><?xml version="1.0" encoding="utf-8"?>
<sst xmlns="http://schemas.openxmlformats.org/spreadsheetml/2006/main" count="4020" uniqueCount="1855">
  <si>
    <t>RECURSOS DEL DEPARTAMENTO</t>
  </si>
  <si>
    <t>0209910106-98</t>
  </si>
  <si>
    <t>ETESA</t>
  </si>
  <si>
    <t>0209910105-50</t>
  </si>
  <si>
    <t>FOSYGA</t>
  </si>
  <si>
    <t>0209910104-51</t>
  </si>
  <si>
    <t>SALUD PUBLICA</t>
  </si>
  <si>
    <t>0209910102-71</t>
  </si>
  <si>
    <t>0209910101-70</t>
  </si>
  <si>
    <t>FONDO LOCAL DE SALUD</t>
  </si>
  <si>
    <t>02099101</t>
  </si>
  <si>
    <t>OTROS FONDOS ESPECIALES TERRITORIALES</t>
  </si>
  <si>
    <t>020991</t>
  </si>
  <si>
    <t>INGRESOS POR FONDOS ESPECIALES APROBADOS</t>
  </si>
  <si>
    <t>0209</t>
  </si>
  <si>
    <t>ENCARGO FIDUCIARIO DE REGALIAS</t>
  </si>
  <si>
    <t>03-02072009-110</t>
  </si>
  <si>
    <t>INFANCIA Y ADOLESCENCIA</t>
  </si>
  <si>
    <t>03-02072008-109</t>
  </si>
  <si>
    <t>SOBRETASA DRUMOND</t>
  </si>
  <si>
    <t>03-02072007-108</t>
  </si>
  <si>
    <t>FONDO DE SEGURIDAD</t>
  </si>
  <si>
    <t>03-02072006-107</t>
  </si>
  <si>
    <t>ESTAMPILLA PRO ANCIANO</t>
  </si>
  <si>
    <t>03-02072005-106</t>
  </si>
  <si>
    <t>ESTAMPILLA PRO CULTURA</t>
  </si>
  <si>
    <t>03-02072004-105</t>
  </si>
  <si>
    <t>03-02072003-103</t>
  </si>
  <si>
    <t>REGIMEN SUBSIDIADO</t>
  </si>
  <si>
    <t>03-02072002-102</t>
  </si>
  <si>
    <t>REGALIAS Y COMPENSACIONES DEL CARBON</t>
  </si>
  <si>
    <t>03-02072001-101</t>
  </si>
  <si>
    <t>RENDIMIENTOS FINANCIEROS -RECURSOS FORZOSA INVERSION</t>
  </si>
  <si>
    <t>03-020720</t>
  </si>
  <si>
    <t>03-020719</t>
  </si>
  <si>
    <t>RECURSOS DE CAPITAL APROBADOS</t>
  </si>
  <si>
    <t>03-0207</t>
  </si>
  <si>
    <t>TRANSFERENCIA DEL SECTOR ELECTRICO- FORZOSA INVERSION</t>
  </si>
  <si>
    <t>03-020421-96</t>
  </si>
  <si>
    <t>TRANSFERENCIA DEL SECTOR ELECTRICO- LIBRE ASIGNACION</t>
  </si>
  <si>
    <t>03-020420-20</t>
  </si>
  <si>
    <t>SGP- ATENCION INTEGRAL A LA PRIMERA INFANCIA</t>
  </si>
  <si>
    <t>03-02040405-99</t>
  </si>
  <si>
    <t>SGP-OTROS SECTORES</t>
  </si>
  <si>
    <t>03-02040404-94</t>
  </si>
  <si>
    <t>SGP-AGUA POTABLE Y SANEAMIENTO BASICO</t>
  </si>
  <si>
    <t>03-02040403-93</t>
  </si>
  <si>
    <t>SGP-CULTURA</t>
  </si>
  <si>
    <t>03-02040402-92</t>
  </si>
  <si>
    <t>SGP-DEPORTE</t>
  </si>
  <si>
    <t>03-02040401-91</t>
  </si>
  <si>
    <t>SGP-FORZOSA INVERSION</t>
  </si>
  <si>
    <t>03-020404</t>
  </si>
  <si>
    <t>SGP-LIBRE ASIGNACION</t>
  </si>
  <si>
    <t>03-020403-90</t>
  </si>
  <si>
    <t>SGP-PARA EDUCACION</t>
  </si>
  <si>
    <t>03-020402-80</t>
  </si>
  <si>
    <t>TRANSFERENCIAS Y APORTES APROBADOS</t>
  </si>
  <si>
    <t>0204</t>
  </si>
  <si>
    <t>OTROS INGRESOS NO TRIBUTARIOS</t>
  </si>
  <si>
    <t>02039003-20</t>
  </si>
  <si>
    <t>CERTIFICADOS Y PAZ Y SALVOS</t>
  </si>
  <si>
    <t>02039002-20</t>
  </si>
  <si>
    <t>RIFAS</t>
  </si>
  <si>
    <t>02039001-20</t>
  </si>
  <si>
    <t>020390</t>
  </si>
  <si>
    <t>03-020337-41</t>
  </si>
  <si>
    <t>REGALIAS Y COMPENSACIONES CARBONIFERAS COBERTURAS</t>
  </si>
  <si>
    <t>03-020337-40</t>
  </si>
  <si>
    <t>INDUSTRIA Y COMERCIO</t>
  </si>
  <si>
    <t>03-02032402-20</t>
  </si>
  <si>
    <t>PREDIAL</t>
  </si>
  <si>
    <t>03-02032401-20</t>
  </si>
  <si>
    <t>INTERESES POR IMPUESTOS</t>
  </si>
  <si>
    <t>03-020324</t>
  </si>
  <si>
    <t xml:space="preserve">OTRAS SANCIONES </t>
  </si>
  <si>
    <t>02032305-20</t>
  </si>
  <si>
    <t>COSO MUNICIPAL</t>
  </si>
  <si>
    <t>02032304-20</t>
  </si>
  <si>
    <t>MULTAS DE GOBIERNO</t>
  </si>
  <si>
    <t>02032303-20</t>
  </si>
  <si>
    <t>SANCIONES URBANISTICAS</t>
  </si>
  <si>
    <t>02032302-20</t>
  </si>
  <si>
    <t>02032301-20</t>
  </si>
  <si>
    <t>OTRAS MULTAS Y SANCIONES</t>
  </si>
  <si>
    <t>020323</t>
  </si>
  <si>
    <t>CONTRIBUCION SOBRE CONTRATOS DE OBRAS PUBLICAS- FONDO DE SEGURIDAD</t>
  </si>
  <si>
    <t>03-020330-30</t>
  </si>
  <si>
    <t>OTRAS TASAS</t>
  </si>
  <si>
    <t>03-020322-20</t>
  </si>
  <si>
    <t>TASA DE NOMENCLATURA</t>
  </si>
  <si>
    <t>03-020321-20</t>
  </si>
  <si>
    <t>TASAS POR PESAS Y MEDIDAS</t>
  </si>
  <si>
    <t>03-020320-20</t>
  </si>
  <si>
    <t>TASAS  POR  REGISTRO DE MARCAS, QUEMADORES Y HERRETES</t>
  </si>
  <si>
    <t>03-020319-20</t>
  </si>
  <si>
    <t>TASAS-PUBLICACIONES</t>
  </si>
  <si>
    <t>03-020318-20</t>
  </si>
  <si>
    <t xml:space="preserve">TASAS  POR ARRENDAMIENTOS </t>
  </si>
  <si>
    <t>03-020317-20</t>
  </si>
  <si>
    <t>TASAS LICENCIAS DE CONSTRUCCION</t>
  </si>
  <si>
    <t>03-020314-20</t>
  </si>
  <si>
    <t>TASAS MATADERO PUBLICO</t>
  </si>
  <si>
    <t>03-020306-20</t>
  </si>
  <si>
    <t>TASAS PLAZA DE MERCADO</t>
  </si>
  <si>
    <t>03-020304-20</t>
  </si>
  <si>
    <t>INGRESOS NO TRIBUTARIOS APROBADOS</t>
  </si>
  <si>
    <t>03-0203</t>
  </si>
  <si>
    <t>OTROS IMPUESTOS TRIBUTARIOS</t>
  </si>
  <si>
    <t>03-02029301-20</t>
  </si>
  <si>
    <t>OTROS IMPUESTOS  TRIBUTARIOS MUNICIPALES</t>
  </si>
  <si>
    <t>03-020293</t>
  </si>
  <si>
    <t>ESTAMPILLA PARA EL BIENESTAR DEL ADULTO MAYOR</t>
  </si>
  <si>
    <t>03-02026702-24</t>
  </si>
  <si>
    <t>PRO CULTURA MUNICIPAL</t>
  </si>
  <si>
    <t>03-02026701-23</t>
  </si>
  <si>
    <t>ESTAMPILLAS</t>
  </si>
  <si>
    <t>03-020267</t>
  </si>
  <si>
    <t>SOBRETASA BOMBERIL</t>
  </si>
  <si>
    <t>03-020266-22</t>
  </si>
  <si>
    <t>IMPUESTO DE ESPECTACULOS PUBLICOS MUNICIPAL</t>
  </si>
  <si>
    <t>03-020258-20</t>
  </si>
  <si>
    <t>DEGUELLO DE GANADO MENOR</t>
  </si>
  <si>
    <t>03-020257-20</t>
  </si>
  <si>
    <t>IMPUESTO A LA DELINEACION URBANA ESTUDIOS Y APROBACION PLANOS</t>
  </si>
  <si>
    <t>03-020255-20</t>
  </si>
  <si>
    <t>IMPUESTO SOBRE EL SERVICIO DE ALUMBRADO PUBLICO</t>
  </si>
  <si>
    <t>03-020254-21</t>
  </si>
  <si>
    <t>IMPUESTO POR EL TRANSPORTE DE HIDROCARBUROS</t>
  </si>
  <si>
    <t>03-020253</t>
  </si>
  <si>
    <t>IMPUESTO DE CIRCULACION Y TRANSITO</t>
  </si>
  <si>
    <t>03-020248-20</t>
  </si>
  <si>
    <t>IMPUESTOS SOBRE JUEGOS DE SUERTE Y AZAR NOVEDOSOS</t>
  </si>
  <si>
    <t>03- 020247-20</t>
  </si>
  <si>
    <t>IMPUESTO A LA PUBLICIDAD EXTERIOR VISUAL</t>
  </si>
  <si>
    <t>03-020243-20</t>
  </si>
  <si>
    <t>AVISOS Y TABLEROS VIGENCIA ANTERIOR</t>
  </si>
  <si>
    <t>03-02024202-20</t>
  </si>
  <si>
    <t>AVISOS Y TABLEROS VIGENCIA ACTUAL</t>
  </si>
  <si>
    <t>03-02024201-20</t>
  </si>
  <si>
    <t>AVISOS Y TABLEROS</t>
  </si>
  <si>
    <t>03-020242</t>
  </si>
  <si>
    <t>IMPUESTO DE INDUSTRIA Y COMERCIO VIGENCIA ANTERIOR</t>
  </si>
  <si>
    <t>03-02024102-20</t>
  </si>
  <si>
    <t>IMPUESTO DE INDUSTRIA Y COMERCIO VIGENCIA ACTUAL</t>
  </si>
  <si>
    <t>03-02024101-20</t>
  </si>
  <si>
    <t>IMPUESTO DE INDUSTRIA Y COMERCIO</t>
  </si>
  <si>
    <t>03-020241</t>
  </si>
  <si>
    <t>IMPUESTO PREDIAL UNIFICADO VIGENCIA ANTERIOR</t>
  </si>
  <si>
    <t>03-02024002-20</t>
  </si>
  <si>
    <t>IMPUESTO PREDIAL UNIFICADO VIGENCIA ACTUAL</t>
  </si>
  <si>
    <t>03-02024001-20</t>
  </si>
  <si>
    <t>IMPUESTO PREDIAL UNIFICADO</t>
  </si>
  <si>
    <t>03-020240</t>
  </si>
  <si>
    <t>ADMINISTRACION CENTRAL</t>
  </si>
  <si>
    <t>IMPUESTO DE VEHICULOS AUTOMOTORES</t>
  </si>
  <si>
    <t>03-020230-20</t>
  </si>
  <si>
    <t>PERSONERIA</t>
  </si>
  <si>
    <t>SOBRETASA A LA GASOLINA</t>
  </si>
  <si>
    <t>03- 020214-20</t>
  </si>
  <si>
    <t>TRIBUTARIOS</t>
  </si>
  <si>
    <t>03-0202</t>
  </si>
  <si>
    <t>CONCEJO</t>
  </si>
  <si>
    <t>INGRESOS CORRIENTES</t>
  </si>
  <si>
    <t>TRANSFERENCIA AL CONCEJO</t>
  </si>
  <si>
    <t>SESIONES CONCEJO 70 ORDINARIOS 12 EXTRAORDINARIAS</t>
  </si>
  <si>
    <t>HONORARIOS CONCEJALES</t>
  </si>
  <si>
    <t>SALARIO DEL ALCALDE</t>
  </si>
  <si>
    <t>INGRESOS CORRIENTES LIBRE DESTINACION</t>
  </si>
  <si>
    <t>GASTOS DE PERSONAL APROBADOS</t>
  </si>
  <si>
    <t>SERVICIOS PERSONALES NOMINA - SUELDOS</t>
  </si>
  <si>
    <t>Sueldo Personal de Nómina (Propios)</t>
  </si>
  <si>
    <t>Sueldo Personal de Nómina (Sgp Libre Destinación)</t>
  </si>
  <si>
    <t>SERVICIOS PERSONALES ASOC. NOMINA - OTROS</t>
  </si>
  <si>
    <t>Prima de Navidad</t>
  </si>
  <si>
    <t>Prima Vacacional</t>
  </si>
  <si>
    <t>Bonificación de Direccion</t>
  </si>
  <si>
    <t>Bonificación de Recreacion</t>
  </si>
  <si>
    <t>SERV.PERSONALES ASOC.NOMINA-INDEM.VACACIONES</t>
  </si>
  <si>
    <t>Indemnizacion por Vacaciones</t>
  </si>
  <si>
    <t>SERV.PERSONALES INDIRECTOS - HONORARIOS</t>
  </si>
  <si>
    <t>Honorarios Profesionales</t>
  </si>
  <si>
    <t>SERV.PERSONALES INDIRECTOS- REMUN.SERV.TECN.</t>
  </si>
  <si>
    <t>Honorarios Servicios Tecnicos Alcaldía</t>
  </si>
  <si>
    <t>SERVICIOS PERSONALES IND. - OTROS</t>
  </si>
  <si>
    <t>Intereses Sobre Cesantías</t>
  </si>
  <si>
    <t>CONTRIBUCIONES INHER.NOMINA SEC.PRIVADO</t>
  </si>
  <si>
    <t>Administradora de Riesgos Profesionales</t>
  </si>
  <si>
    <t>Fondo de Cesantías</t>
  </si>
  <si>
    <t>CONTRIBUCIONES INHER.NOMINA SEC.PUBLICO</t>
  </si>
  <si>
    <t>Fondo Pensiones ISS</t>
  </si>
  <si>
    <t>CONTRIB.INHER.NOMINA - ICBF</t>
  </si>
  <si>
    <t>Icbf</t>
  </si>
  <si>
    <t>CONTRIB.INHER.NOMINA - SENA</t>
  </si>
  <si>
    <t>Sena</t>
  </si>
  <si>
    <t>CONTRIB.INHER.NOMINA - ESAP</t>
  </si>
  <si>
    <t>Esap</t>
  </si>
  <si>
    <t>CONTRIB.INHER.NOMINA - ESCUELAS INDUSTRIALES</t>
  </si>
  <si>
    <t>Escuelas Industriales</t>
  </si>
  <si>
    <t>CONTRIB.INHER.NOMINA - OTROS APORTES ENTIDADES SECTOR PRIVADO</t>
  </si>
  <si>
    <t>GASTOS GENERALES APROBADOS</t>
  </si>
  <si>
    <t>IMPUESTOS Y CONTRIBUCIONES</t>
  </si>
  <si>
    <t>Impuesto de Vehiculos</t>
  </si>
  <si>
    <t>MULTAS Y SANCIONES</t>
  </si>
  <si>
    <t>Multas y Sanciones</t>
  </si>
  <si>
    <t>ADQUISICION BIENES Y SERV. - COMPRA EQUIPO</t>
  </si>
  <si>
    <t>Adquisición Equipos y Muebles Alcaldia</t>
  </si>
  <si>
    <t>ADQUISICION BIENES Y SERV.-MATERIALES Y SUM.</t>
  </si>
  <si>
    <t>Materiales y Suministros</t>
  </si>
  <si>
    <t>ADQUISICION BIENES Y SERV. - MANTENIMIENTO</t>
  </si>
  <si>
    <t>Mantenimiento y Reparaciones</t>
  </si>
  <si>
    <t>Planta de Sacrificio y Plaza  de Mercado</t>
  </si>
  <si>
    <t>ADQUISICION BIENES Y SERV.-COMUNICACIONES Y T</t>
  </si>
  <si>
    <t>Comunicaciones y Transporte</t>
  </si>
  <si>
    <t>ADQUISICION BIENES Y SERV. - IMPRESOS Y P.</t>
  </si>
  <si>
    <t>Impresos y Publicaciones</t>
  </si>
  <si>
    <t>Publicación Gaceta Municipal</t>
  </si>
  <si>
    <t>ADQUISICION BIENES Y SERV.-SERVICIOS PUBLICOS</t>
  </si>
  <si>
    <t>Servicios Publicos</t>
  </si>
  <si>
    <t>ADQUISICION BIENES Y SERV. - SEGUROS</t>
  </si>
  <si>
    <t>ADQUISICION BIENES Y SERV. -ARRENDAMIENTOS</t>
  </si>
  <si>
    <t>Arrendamientos</t>
  </si>
  <si>
    <t>ADQUISICION BIENES Y SERV.-VIATICOS Y GASTOS</t>
  </si>
  <si>
    <t>Viaticos y Gastos de Viaje</t>
  </si>
  <si>
    <t>ADQUISICION BIENES Y SERV.-GASTOS IMPREVISTOS</t>
  </si>
  <si>
    <t>Gastos Varios e Imprevistos</t>
  </si>
  <si>
    <t>ADQUISICION BIENES Y SERV.- GASTOS FINANCIERO</t>
  </si>
  <si>
    <t>Gastos Bancarios</t>
  </si>
  <si>
    <t>Administración Encargo Fiduaciario Reestructuración de Pasivos</t>
  </si>
  <si>
    <t>ADQUIS.BIENES Y SERV.OTROS GASTOS ADQU.SERV.</t>
  </si>
  <si>
    <t>Combustibles y lubricantes</t>
  </si>
  <si>
    <t>Gastos Funerarios y Pobres de Solemnidad</t>
  </si>
  <si>
    <t>Gastos de Vigilancia y Aseo</t>
  </si>
  <si>
    <t>ADQUIS.BIENES Y SERV.-PASIVOS EXIG.VIG.EXPIR.</t>
  </si>
  <si>
    <t>Cuotas partes pensionales</t>
  </si>
  <si>
    <t>TRANSFERENCIAS CORRIENTES APROBADAS</t>
  </si>
  <si>
    <t>Transferencias al Sector Publico- Otras Entidades Descentralizadas del Orden Terriotorial</t>
  </si>
  <si>
    <t>Al Concejo Municipal (Sgp  Libre Destinación)</t>
  </si>
  <si>
    <t>Al Concejo Municipal (Recursos Propios)</t>
  </si>
  <si>
    <t>A la Personeria Municipal (Sgp Libre Destinacion)</t>
  </si>
  <si>
    <t>Transf.prev.s.seguridad s.-Pensiones y Jubilaciones</t>
  </si>
  <si>
    <t>Transf.prev.s.seguridad s.-Pensiones y Jubilaciones (SGP Libre Destinacion)</t>
  </si>
  <si>
    <t>TRANSFERENCIAS  AL FONPET</t>
  </si>
  <si>
    <t>Estampilla Pro Cultura (20% Ley 863 de 2003)</t>
  </si>
  <si>
    <t>Estampilla Pro Anciano (20% Ley 863 de 2003)</t>
  </si>
  <si>
    <t>OTROS GASTOS FUNCION.APROBADOS</t>
  </si>
  <si>
    <t>Dotación de Personal</t>
  </si>
  <si>
    <t>Sentencias y Conciliaciones</t>
  </si>
  <si>
    <t>Salud Ocupacional</t>
  </si>
  <si>
    <t>Fondo de Contingencias 20% Sobretasa al Combustible</t>
  </si>
  <si>
    <t>TOTAL FUNCIONAMIENTO</t>
  </si>
  <si>
    <t xml:space="preserve">CONCEJO </t>
  </si>
  <si>
    <t>TOTAL</t>
  </si>
  <si>
    <t>Administradora de Fondo de Pensiones</t>
  </si>
  <si>
    <t>Industria y Comercio</t>
  </si>
  <si>
    <t>PROPIOS</t>
  </si>
  <si>
    <t>DEPARTAMENTO DEL CESAR</t>
  </si>
  <si>
    <t>MARCO FISCAL DE MEDIANO PLAZO</t>
  </si>
  <si>
    <t>FACTORES DE CRECIMIENTO</t>
  </si>
  <si>
    <t>CONCEPTO</t>
  </si>
  <si>
    <t>2009</t>
  </si>
  <si>
    <t>INFLACION 4,5%</t>
  </si>
  <si>
    <t>PRESUPUESTO DE GASTOS DE LA VIGENCIA</t>
  </si>
  <si>
    <t>GASTOS DE FUNCIONAMIENTO</t>
  </si>
  <si>
    <t>SERVICIOS PERSONALES</t>
  </si>
  <si>
    <t>GASTOS GENERALES</t>
  </si>
  <si>
    <t>TRANSFERENCIA CTES.</t>
  </si>
  <si>
    <t>GASTOS CONCEJO Y PERSONERIA</t>
  </si>
  <si>
    <t>SERVICIO DE LA DEUDA</t>
  </si>
  <si>
    <t>INVERSIONES</t>
  </si>
  <si>
    <t>DEFICIT FISCAL</t>
  </si>
  <si>
    <t>INGRESOS TOTALES</t>
  </si>
  <si>
    <t>Inflación</t>
  </si>
  <si>
    <t xml:space="preserve">INGRESOS CORRIENTES </t>
  </si>
  <si>
    <t>INGRESOS TRIBUTARIOS</t>
  </si>
  <si>
    <t>Impuesto Predial Unificado</t>
  </si>
  <si>
    <t>Crecimiento</t>
  </si>
  <si>
    <t>Impuesto de espectáculos públicos</t>
  </si>
  <si>
    <t>INGRESOS NO TRIBUTARIOS</t>
  </si>
  <si>
    <t>Intereses de Impuestos, tasas y tarifas</t>
  </si>
  <si>
    <t>Otras tasas</t>
  </si>
  <si>
    <t>INVERSION</t>
  </si>
  <si>
    <t>3</t>
  </si>
  <si>
    <t>INGRESOS CORRIENTES DE LIBRE DESTINACION</t>
  </si>
  <si>
    <t>Impuestos Directos</t>
  </si>
  <si>
    <t>Impuestos Indirectos</t>
  </si>
  <si>
    <t>Avisos y Tableros</t>
  </si>
  <si>
    <t>Delineación Urbana y aprobación de planos</t>
  </si>
  <si>
    <t>Sobre Tasa a la Gasolina</t>
  </si>
  <si>
    <t>Otros Impuestos Indirectos</t>
  </si>
  <si>
    <t>TASAS, TARIFAS Y DERECHOS</t>
  </si>
  <si>
    <t>Deguello Ganado Mayor</t>
  </si>
  <si>
    <t>Libre Destinación SGP</t>
  </si>
  <si>
    <t>TRANSF. PERSONERIA</t>
  </si>
  <si>
    <t>TOTAL ICLD (1)</t>
  </si>
  <si>
    <t>GASTOS DEFUNCIONAMIENTO (2)*</t>
  </si>
  <si>
    <t>INDICADOR LEY 617 (2/1)</t>
  </si>
  <si>
    <t>LIMITE DE LEY</t>
  </si>
  <si>
    <t>*LAS TRANSFERENCIAS AL CONCEJO Y PERSONERIA NO COMPUTAN PARA EL CALCULO DEL INDICADOR</t>
  </si>
  <si>
    <t>CAPACIDAD DE ENDEUDAMIENTO   EN PESOS</t>
  </si>
  <si>
    <t>Código  CGR</t>
  </si>
  <si>
    <t>EJECUCIONES 
2008</t>
  </si>
  <si>
    <t>VIGENCIA ACTUAL Ley 358/97</t>
  </si>
  <si>
    <t>VIGENCIA ACTUAL Capacidad Real de Pago</t>
  </si>
  <si>
    <t>Proyección Capacidad de Pago ley 358/97 Año</t>
  </si>
  <si>
    <t>VIGENCIA ANTERIOR</t>
  </si>
  <si>
    <t>1</t>
  </si>
  <si>
    <t>1.1.1</t>
  </si>
  <si>
    <t xml:space="preserve"> INGRESOS TRIBUTARIOS</t>
  </si>
  <si>
    <t>1.1.2</t>
  </si>
  <si>
    <t xml:space="preserve"> INGRESOS NO TRIBUTARIOS</t>
  </si>
  <si>
    <t>1.1.3</t>
  </si>
  <si>
    <t xml:space="preserve"> TRANSFERENCIAS</t>
  </si>
  <si>
    <t>1.2.1</t>
  </si>
  <si>
    <t xml:space="preserve"> Recursos del Balance</t>
  </si>
  <si>
    <t>1.2.6</t>
  </si>
  <si>
    <t xml:space="preserve"> Regalías</t>
  </si>
  <si>
    <t>1.2.8</t>
  </si>
  <si>
    <t xml:space="preserve"> Rendimientos Financieros</t>
  </si>
  <si>
    <t>2</t>
  </si>
  <si>
    <t>2.1.1</t>
  </si>
  <si>
    <t xml:space="preserve"> GASTOS DE PERSONAL</t>
  </si>
  <si>
    <t>2.1.2</t>
  </si>
  <si>
    <t xml:space="preserve"> GASTOS GENERALES</t>
  </si>
  <si>
    <t>2.1.3</t>
  </si>
  <si>
    <t xml:space="preserve"> TRANSFERENCIAS  (excluye indemnizaciones por programas de ajuste)</t>
  </si>
  <si>
    <t>2.1.4</t>
  </si>
  <si>
    <t xml:space="preserve"> GASTOS DE PERSONAL PRESUPUESTADOS COMO INVERSIÓN </t>
  </si>
  <si>
    <t>151A</t>
  </si>
  <si>
    <t xml:space="preserve"> PAGO DE DÉFICIT DE VIGENCIAS ANTERIORES</t>
  </si>
  <si>
    <t>AHORRO OPERACIONAL (1-2)</t>
  </si>
  <si>
    <t>152A</t>
  </si>
  <si>
    <t>INFLACION ESPERADA</t>
  </si>
  <si>
    <t>216A</t>
  </si>
  <si>
    <t>SITUACION  DE LA DEUDA SIN NUEVO CREDITO</t>
  </si>
  <si>
    <t>4</t>
  </si>
  <si>
    <t>SALDO  DEUDA           =   ( 4.1 + 4.2 + 4.3 - 4.4 )</t>
  </si>
  <si>
    <t>4.1</t>
  </si>
  <si>
    <t xml:space="preserve"> Saldo Deuda  a 31diciembre de año anterior</t>
  </si>
  <si>
    <t>4.2</t>
  </si>
  <si>
    <t xml:space="preserve"> Créditos Contratados en la presente vigencia </t>
  </si>
  <si>
    <t>4.3</t>
  </si>
  <si>
    <t xml:space="preserve"> Cuentas por pagar a cierre 2008 menos pago del déficit en 2009</t>
  </si>
  <si>
    <t>n.a.</t>
  </si>
  <si>
    <t>153A</t>
  </si>
  <si>
    <t xml:space="preserve"> Pasivos contingentes estimados</t>
  </si>
  <si>
    <t>4.4</t>
  </si>
  <si>
    <t xml:space="preserve"> Amortizaciones de la Deuda    = ( 4.4.1 + 4.4.2 )</t>
  </si>
  <si>
    <t>4.4.1</t>
  </si>
  <si>
    <t xml:space="preserve">  Amortizaciones Pagadas </t>
  </si>
  <si>
    <t>4.4.2</t>
  </si>
  <si>
    <t xml:space="preserve">  Amortizaciones por Pagar en el resto de la vigencia</t>
  </si>
  <si>
    <t>5</t>
  </si>
  <si>
    <t>INTERESES DE LA DEUDA VIGENTE   = ( 5.1 + 5.2 )</t>
  </si>
  <si>
    <t>5.1</t>
  </si>
  <si>
    <t>Intereses Pagados a la fecha de corte</t>
  </si>
  <si>
    <t>5.2</t>
  </si>
  <si>
    <t>Intereses por Pagar en el resto de la vigencia</t>
  </si>
  <si>
    <t>6</t>
  </si>
  <si>
    <t>SITUACIÓN DEL NUEVO CREDITO</t>
  </si>
  <si>
    <t>6.1</t>
  </si>
  <si>
    <t>Valor total del Nuevo Crédito</t>
  </si>
  <si>
    <t>6.2</t>
  </si>
  <si>
    <t xml:space="preserve">Amortizaciones del nuevo credito </t>
  </si>
  <si>
    <t>6.3</t>
  </si>
  <si>
    <t>Intereses del nuevo credito</t>
  </si>
  <si>
    <t>7</t>
  </si>
  <si>
    <t>CALCULO INDICADORES</t>
  </si>
  <si>
    <t>7.1</t>
  </si>
  <si>
    <t>SALDO DEUDA CON NUEVO CREDITO = ( 4 + 6.1 - 6.2 )</t>
  </si>
  <si>
    <t>7.2</t>
  </si>
  <si>
    <t>TOTAL INTERESES   = ( 5 + 6.3 )</t>
  </si>
  <si>
    <t>154A</t>
  </si>
  <si>
    <t>SOLVENCIA = INTERESES / AHORRO OPERACIONAL  = ( 7.2 / 3 )</t>
  </si>
  <si>
    <t>155A</t>
  </si>
  <si>
    <t>SOSTENIBILIDAD = SALDO DEUDA / INGRESOS CORRIENTES  = (7.1 / 1 )</t>
  </si>
  <si>
    <t>156A</t>
  </si>
  <si>
    <t>ESTADO ACTUAL DE LA ENTIDAD (SEMÁFORO)</t>
  </si>
  <si>
    <t>Fuente:  con base en información de la Secretaría de Hacienda Municipal</t>
  </si>
  <si>
    <t>RESUMEN</t>
  </si>
  <si>
    <t>Código</t>
  </si>
  <si>
    <t xml:space="preserve">SALDO DEUDA CON NUEVO CREDITO </t>
  </si>
  <si>
    <t>INTERESES DE LA DEUDA</t>
  </si>
  <si>
    <t>SOLVENCIA = INTERESES / AHORRO OPERACIONAL  = ( 5 / 3 )</t>
  </si>
  <si>
    <t>SOSTENIBILIDAD = SALDO DEUDA / INGRESOS CORRIENTES  = (4 / 1 )</t>
  </si>
  <si>
    <t>Fuente: DAF con base en información de la Secretaría de Hacienda  Municipal.</t>
  </si>
  <si>
    <t>157A</t>
  </si>
  <si>
    <t xml:space="preserve"> Cuentas por pagar al cierre de: ___________</t>
  </si>
  <si>
    <t>Este valor se debe tomar del formato CGN 001-96 así: total pasivo menos deuda pública (Código 22) menos pasivos estimados (código 27) mas provisiones para prestaciones sociales (código 2715) menos obligaciones contraidas (código 0322)</t>
  </si>
  <si>
    <t>TOTAL INGRESOS</t>
  </si>
  <si>
    <t>(-)GASTOS DE FUNCIONAMIENTO</t>
  </si>
  <si>
    <t>(-)GASTOS DE INVERSIÓN</t>
  </si>
  <si>
    <t>SUPERÁVIT PRIMARIO</t>
  </si>
  <si>
    <t>SERVICIO A LA DEUDA</t>
  </si>
  <si>
    <t>SOSTENIBILIDAD SERVICIO DE LA DEUDA</t>
  </si>
  <si>
    <t>SOSTENIBILIDAD</t>
  </si>
  <si>
    <t>MUNICIPIO DE LA JAGUA DE IBIRICO</t>
  </si>
  <si>
    <t>MARCO FISCAL DE MEDIANO PLAZO - MUNICIPIO DE  LA JAGUA DE IBIRICO</t>
  </si>
  <si>
    <t>POLIZA CONCEJALES</t>
  </si>
  <si>
    <t>SEGURIDAD SOCIAL CONCEJALES</t>
  </si>
  <si>
    <t>indicador de ley 617/000</t>
  </si>
  <si>
    <t>0-3-0-320-</t>
  </si>
  <si>
    <t>03-0-320-1</t>
  </si>
  <si>
    <t>03-0-320-11-90</t>
  </si>
  <si>
    <t>03-0-3203</t>
  </si>
  <si>
    <t>03-0-32033-20</t>
  </si>
  <si>
    <t>03-0-32034-20</t>
  </si>
  <si>
    <t>03-0-32035-20</t>
  </si>
  <si>
    <t>03-0-32036-20</t>
  </si>
  <si>
    <t>03-0-3205</t>
  </si>
  <si>
    <t>03-0-32051-20</t>
  </si>
  <si>
    <t>03-0-2008</t>
  </si>
  <si>
    <t>03-0-32081-20</t>
  </si>
  <si>
    <t>03-0-32010</t>
  </si>
  <si>
    <t>03-0-320101-20</t>
  </si>
  <si>
    <t>03-0-32013</t>
  </si>
  <si>
    <t>03-0-320131-20</t>
  </si>
  <si>
    <t>03-0-32014</t>
  </si>
  <si>
    <t>03-0-320141-20</t>
  </si>
  <si>
    <t>Empresas Promotoras de Salud Aporte Adm.Central</t>
  </si>
  <si>
    <t>03-0-320142-20</t>
  </si>
  <si>
    <t>Empresas Promotoras de Salud Aporte Adm.Concejales</t>
  </si>
  <si>
    <t>03-0-320143-20</t>
  </si>
  <si>
    <t>03-0-32015</t>
  </si>
  <si>
    <t>03-0-320151-20</t>
  </si>
  <si>
    <t>03-0-320152-20</t>
  </si>
  <si>
    <t>03-0-32016</t>
  </si>
  <si>
    <t>03-320161-20</t>
  </si>
  <si>
    <t>03-0-32017</t>
  </si>
  <si>
    <t>03-0-320171-20</t>
  </si>
  <si>
    <t>03-0-32018</t>
  </si>
  <si>
    <t>03-0-3201801-20</t>
  </si>
  <si>
    <t>030-0-32019</t>
  </si>
  <si>
    <t>03-0-3201901</t>
  </si>
  <si>
    <t>03-0-32021</t>
  </si>
  <si>
    <t>03-0-320211-20</t>
  </si>
  <si>
    <t>Caja de Compensacion Familiar</t>
  </si>
  <si>
    <t>03-0-321</t>
  </si>
  <si>
    <t>03-0-3211</t>
  </si>
  <si>
    <t>03-0-320111-20</t>
  </si>
  <si>
    <t>03-0-3212</t>
  </si>
  <si>
    <t>03-0-32121-20</t>
  </si>
  <si>
    <t>03-0-3213</t>
  </si>
  <si>
    <t>03-0-32132-20</t>
  </si>
  <si>
    <t>03-0-3216</t>
  </si>
  <si>
    <t>03-0-32161-20</t>
  </si>
  <si>
    <t>03-0-3217</t>
  </si>
  <si>
    <t>03-0-32171-20</t>
  </si>
  <si>
    <t>03-0-32072-20</t>
  </si>
  <si>
    <t>03-0-3218</t>
  </si>
  <si>
    <t>03-0-32181-20</t>
  </si>
  <si>
    <t>03-0-3219</t>
  </si>
  <si>
    <t>03-0-32191-20</t>
  </si>
  <si>
    <t>03-0-32192-20</t>
  </si>
  <si>
    <t>03-0-32110</t>
  </si>
  <si>
    <t>03-0-321101-20</t>
  </si>
  <si>
    <t>03-0-32111</t>
  </si>
  <si>
    <t>03-0-321111-20</t>
  </si>
  <si>
    <t>03-0-321112-20</t>
  </si>
  <si>
    <t>03-0-32112</t>
  </si>
  <si>
    <t>03-0-321121-20</t>
  </si>
  <si>
    <t>03-0-32113</t>
  </si>
  <si>
    <t>03-0-321131-20</t>
  </si>
  <si>
    <t>03-0-32119</t>
  </si>
  <si>
    <t>03-0-321191-20</t>
  </si>
  <si>
    <t>03-0-32124</t>
  </si>
  <si>
    <t>03-0-321241-20</t>
  </si>
  <si>
    <t>03-0-321242-20</t>
  </si>
  <si>
    <t>03-032126</t>
  </si>
  <si>
    <t>ADQUISICION DE BIENES Y SERVICIOS- GASTOS ELECTORIALES</t>
  </si>
  <si>
    <t>03-0-321261-20</t>
  </si>
  <si>
    <t>Gastos Electorales</t>
  </si>
  <si>
    <t>03-0-32191</t>
  </si>
  <si>
    <t>03-0-321911-20</t>
  </si>
  <si>
    <t>03-0-321912-20</t>
  </si>
  <si>
    <t>03-0-321913-20</t>
  </si>
  <si>
    <t>Federación Colombiana de Municipios y otras Asociaciones</t>
  </si>
  <si>
    <t>03-0-321914-20</t>
  </si>
  <si>
    <t>03-0-32199</t>
  </si>
  <si>
    <t>03-0-321991-20</t>
  </si>
  <si>
    <t>03-0-323</t>
  </si>
  <si>
    <t>03-0-3237</t>
  </si>
  <si>
    <t>03-0-32372-20</t>
  </si>
  <si>
    <t>03-0-32310</t>
  </si>
  <si>
    <t>03-0-32319</t>
  </si>
  <si>
    <t>03-0-323191-23</t>
  </si>
  <si>
    <t>03-0-323192-24</t>
  </si>
  <si>
    <t>03-0-3423</t>
  </si>
  <si>
    <t>OTRAS TRANSFERENCIAS CORRIENTES</t>
  </si>
  <si>
    <t>03-0-34231-22</t>
  </si>
  <si>
    <t>Sobretasa Bomberil</t>
  </si>
  <si>
    <t>03-0-326</t>
  </si>
  <si>
    <t>03-0-3261-20</t>
  </si>
  <si>
    <t>03-0-3262-20</t>
  </si>
  <si>
    <t>03-0-3263-20</t>
  </si>
  <si>
    <t>03-0-3264-20</t>
  </si>
  <si>
    <t>CODIGO</t>
  </si>
  <si>
    <t>TOTALES</t>
  </si>
  <si>
    <t>INGRESOS</t>
  </si>
  <si>
    <t>Impuesto a la Publicidad Exterior Visual</t>
  </si>
  <si>
    <t>Impuestos sobre Juegos de suerte y azar novedosos</t>
  </si>
  <si>
    <t>Deguello Ganado Menor</t>
  </si>
  <si>
    <t>Tasas plazas de mercado</t>
  </si>
  <si>
    <t>Tasas matadero Público</t>
  </si>
  <si>
    <t>Tasas licencias de construcción</t>
  </si>
  <si>
    <t>Tasas por arrendamientos</t>
  </si>
  <si>
    <t>Tasas por registro de marcas, quemadores y herretes</t>
  </si>
  <si>
    <t>Tasas por pesos y medidas</t>
  </si>
  <si>
    <t>tasa de nomenclatura</t>
  </si>
  <si>
    <t>Intereses por impuestos</t>
  </si>
  <si>
    <t>Impuesto de vehíclos Automotores</t>
  </si>
  <si>
    <t>OTROS RECURSOS DE CAPITAL</t>
  </si>
  <si>
    <t>03-02040405-95</t>
  </si>
  <si>
    <t>SGP- ALIMENTACION ESCOLAR</t>
  </si>
  <si>
    <t>Multas y sanciones</t>
  </si>
  <si>
    <t>MULTAS POR COMPARENDO AMBIENTAL</t>
  </si>
  <si>
    <t>02032306-20</t>
  </si>
  <si>
    <t>REGALIAS POR EXTRACCION MATERIALES</t>
  </si>
  <si>
    <t>03-020339-25</t>
  </si>
  <si>
    <t>PARTICIPACION PARA PENSIONES FONPET SGP SSF</t>
  </si>
  <si>
    <t>03-02040407-90</t>
  </si>
  <si>
    <t>TRANSFERENCIA OTROS IMPUESTOS</t>
  </si>
  <si>
    <t>03-020419</t>
  </si>
  <si>
    <t>DPTO CONSUMO AL CIGARRILLO</t>
  </si>
  <si>
    <t>03-02041901-97</t>
  </si>
  <si>
    <t>IMPLEMENTACION DE LA ESTRATEGIA</t>
  </si>
  <si>
    <t>03-020790</t>
  </si>
  <si>
    <t>OTROS RECURSOS DE CAPITAL RECURSOS DE REGALIAS Y COMPENSACIONES</t>
  </si>
  <si>
    <t xml:space="preserve">OTROS RECURSOS DE CAPITAL </t>
  </si>
  <si>
    <t>03-02079001</t>
  </si>
  <si>
    <t>03-0207900101-150</t>
  </si>
  <si>
    <t>RECURSOS DE CAPITAL REGALIAS Y COMPENSACIONES DEL CARGON (COBERTURAS)</t>
  </si>
  <si>
    <t>03-0207900102-151</t>
  </si>
  <si>
    <t>RECURSOS DE CAPITAL REGALIAS Y COMPENSACIONES DEL CARGON (PRIORIZADOS)</t>
  </si>
  <si>
    <t>03-02079002-</t>
  </si>
  <si>
    <t>RECURSOS DEL SISTEMA GENERAL DE PARTICIPACIONES</t>
  </si>
  <si>
    <t>03-0207900201-152</t>
  </si>
  <si>
    <t>RECURSOS DE CAPITAL SGP EDUCACION</t>
  </si>
  <si>
    <t>03-0207900201-153</t>
  </si>
  <si>
    <t>RECURSOS DE CAPITAL SGP CULTURA</t>
  </si>
  <si>
    <t>03-0207900203-154</t>
  </si>
  <si>
    <t>RECURSOS DE CAPITAL SGP AGUA POTABLE Y SANEAMIENTO BASICO</t>
  </si>
  <si>
    <t>03-0207900205-155</t>
  </si>
  <si>
    <t>RECURSOS DE CAPITAL SGP OTROS SECTORES</t>
  </si>
  <si>
    <t>03-0207900206-165</t>
  </si>
  <si>
    <t>RECURSOS DE CAPITAL SGP DEPORTE</t>
  </si>
  <si>
    <t>03-0207900207-166</t>
  </si>
  <si>
    <t>RECURSOS DE CAPITAL SGP ALIMENTACION ESCOLAR</t>
  </si>
  <si>
    <t>03-0207900208-167</t>
  </si>
  <si>
    <t>RECURSOS DE CAPITAL REGIMEN SUBSIDIADO</t>
  </si>
  <si>
    <t>03-0207900209-170</t>
  </si>
  <si>
    <t>RECURSOS DE CAPITAL SGP ATENCION A LA PRIMERA INFANCIA</t>
  </si>
  <si>
    <t>03-0207900210-171</t>
  </si>
  <si>
    <t>RECURSOS DE CAPITAL SGP EN SALUD PUBLICA</t>
  </si>
  <si>
    <t>03-0207900211-172</t>
  </si>
  <si>
    <t xml:space="preserve">RECURSOS DE CAPITAL SGP PRESTACION DE SERVICIOS </t>
  </si>
  <si>
    <t>RECURSOS DE COFINANCIANCION</t>
  </si>
  <si>
    <t>03-02079003</t>
  </si>
  <si>
    <t>03-0207900301-156</t>
  </si>
  <si>
    <t>RECURSOS DE CAPITAL CONVENIO 0503 INVIAS</t>
  </si>
  <si>
    <t>03-0207900302-98</t>
  </si>
  <si>
    <t>CONVENIO 772-09 CONTROL DE VECTORES</t>
  </si>
  <si>
    <t>03-0207900303-98</t>
  </si>
  <si>
    <t>CONVENIO 053 DE 2010</t>
  </si>
  <si>
    <t>03-02079004</t>
  </si>
  <si>
    <t>RECURSOS PROPIOS</t>
  </si>
  <si>
    <t>03-0207900403-161</t>
  </si>
  <si>
    <t>RECURSOS DE CAPITAL LIBRE DESTINACION</t>
  </si>
  <si>
    <t>03-0207900404-157</t>
  </si>
  <si>
    <t>RECURSOS DE CAPITAL FONDO DE SEGURIDAD</t>
  </si>
  <si>
    <t>03-0207900405-163</t>
  </si>
  <si>
    <t>03-0207900406-158</t>
  </si>
  <si>
    <t>RECURSOS DE CAPITAL ESTAMPILLA PRO  CULTURA</t>
  </si>
  <si>
    <t>RECURSOS DE CAPITAL ESTAMPILLA CENTRO DE BIENESTAR ANCIANO</t>
  </si>
  <si>
    <t>03-0207900407-164</t>
  </si>
  <si>
    <t>RECURSOS DE CAPITAL SOBRETASA AMBIENTAL DRUMOND</t>
  </si>
  <si>
    <t>03-02079005</t>
  </si>
  <si>
    <t>TRANSFERENCIAS DEL DEPARTAMENTO</t>
  </si>
  <si>
    <t>03-0207900501-98</t>
  </si>
  <si>
    <t>DEPARTAMENTO CONTROL DE VECTORES Y ZOONOSIS</t>
  </si>
  <si>
    <t>03-02079006-173</t>
  </si>
  <si>
    <t>RECURSOS DE CAPITAL ETESA</t>
  </si>
  <si>
    <t>03-02079043-40</t>
  </si>
  <si>
    <t xml:space="preserve">RECURSOS DESTINADOS A CUBRIR RESERVAS </t>
  </si>
  <si>
    <t>SGP-PARA EDUCACION-GRATUIDAD</t>
  </si>
  <si>
    <t>REGIMEN SUBSIDIADO SGP CONTINUIDAD</t>
  </si>
  <si>
    <t>REGIMEN SUBSIDIADO SGP AMPLIACION</t>
  </si>
  <si>
    <t>TRANSPORTE CONCEJALES</t>
  </si>
  <si>
    <t>Tasa retributiva</t>
  </si>
  <si>
    <t>Transporte concejales</t>
  </si>
  <si>
    <t>Fondo nacional de regalias(13% regalias extraccion de materiales)</t>
  </si>
  <si>
    <t>Transferencia departamento (20% regalias extraccion de materiales)</t>
  </si>
  <si>
    <t>OTRAS TRANSFERENCIAS</t>
  </si>
  <si>
    <t>Otros Impuestos No Tributarios</t>
  </si>
  <si>
    <t>03-0-32371-20</t>
  </si>
  <si>
    <t>03-0-32373-20</t>
  </si>
  <si>
    <t>03-0-323101-20</t>
  </si>
  <si>
    <t>RENDIMIENTOS FINANCIEROS- ICLD</t>
  </si>
  <si>
    <t>TRANSFERENCIAS CORRIENTES DE LEY</t>
  </si>
  <si>
    <t>REINTEGROS REGALIAS</t>
  </si>
  <si>
    <t xml:space="preserve">RECURSOS DE CAPITAL REGALIAS Y COMPENSACIONES DEL CARGON  LEY 550 </t>
  </si>
  <si>
    <t>Transferencia Extracción de Materiales</t>
  </si>
  <si>
    <t xml:space="preserve">MUNICIPIO DE LA JAGUA DE IBIRICO </t>
  </si>
  <si>
    <t>Tansferencia Regalias IAF</t>
  </si>
  <si>
    <t>PROYECCION DE INGRESOS 2011 - 2023</t>
  </si>
  <si>
    <t>RECURSOS DE CAPITAL REGALIAS Y COMPENSACIONES DEL CARBON (PRIORIZADOS)</t>
  </si>
  <si>
    <t xml:space="preserve">RECURSOS DE CAPITAL REGALIAS Y COMPENSACIONES DEL CARBON  LEY 550 </t>
  </si>
  <si>
    <t xml:space="preserve">REGALIAS Y COMPENSACIONES CARBONIFERAS </t>
  </si>
  <si>
    <t>03-0-32132-80</t>
  </si>
  <si>
    <t>A la Personeria Municipal (Recursos Propios)</t>
  </si>
  <si>
    <t>CRECIMIENTO PROYECTADO
2013</t>
  </si>
  <si>
    <t>SALARIO MINIMO 2013 AJUSTADO</t>
  </si>
  <si>
    <t>SALARIO MINIMO AJUSTADO 2013</t>
  </si>
  <si>
    <t>1,5% ICLD</t>
  </si>
  <si>
    <t>REGALIAS POR TRANSPORTE DE GAS</t>
  </si>
  <si>
    <t>Servicio de Alumbrado Público</t>
  </si>
  <si>
    <t>2014</t>
  </si>
  <si>
    <t>META DEL SUPERÁVIT PRIMARIO DEL MARCO FISCAL DE MEDIANO PLAZO - 2012 - 2023</t>
  </si>
  <si>
    <t>PLAN INDICATIVO 2012 - 2015
LA JAGUA DE IBIRICO "OPORTUNIDADES PARA TODOS"</t>
  </si>
  <si>
    <t>%  DE PONDERACIÓN</t>
  </si>
  <si>
    <t>EJE ESTRATÉGICO</t>
  </si>
  <si>
    <t>% DE PONDERACION PROGRAMA</t>
  </si>
  <si>
    <t>PROGRAMA</t>
  </si>
  <si>
    <t>METAS DE RESULTADO CUATRIENIO (2012 - 2015)</t>
  </si>
  <si>
    <t>INDICADOR DE RESULTADO</t>
  </si>
  <si>
    <t>% DE PONDERACION SUBPROGRAMA</t>
  </si>
  <si>
    <t>SUBPROGRAMA</t>
  </si>
  <si>
    <t>% DE PONDERACION META DE PRODUCTO</t>
  </si>
  <si>
    <t>METAS DE PRODUCTO CUATRIENIO (2012 - 2015)</t>
  </si>
  <si>
    <t>INDICADOR DE PRODUCTO</t>
  </si>
  <si>
    <t>META DE PRODUCTO ESPERADA</t>
  </si>
  <si>
    <t>RECURSOS (MILLONES DE PESOS)</t>
  </si>
  <si>
    <t>RESPONSABLE</t>
  </si>
  <si>
    <t>NOMBRE INDICADOR</t>
  </si>
  <si>
    <t>VALOR ACTUAL</t>
  </si>
  <si>
    <t>VALOR ESPERADO A 2015</t>
  </si>
  <si>
    <t>AÑO 2012</t>
  </si>
  <si>
    <t>AÑO 2013</t>
  </si>
  <si>
    <t>AÑO 2014</t>
  </si>
  <si>
    <t>AÑO 2015</t>
  </si>
  <si>
    <t>TOTAL CUATRIENIO</t>
  </si>
  <si>
    <t>UN DESARROLLO SOCIAL PARA TODOS</t>
  </si>
  <si>
    <t>VIDA SALUDABLE PARA TODOS</t>
  </si>
  <si>
    <t>100% de la Población con acceso al SGSSS</t>
  </si>
  <si>
    <t>Número de Afiliados al Reg. Sub / Total de la Población Elegible</t>
  </si>
  <si>
    <t>Afiliación de 3.128 nuevos usuarios al Régimen Subsidiado en el cuatrienio</t>
  </si>
  <si>
    <t>Número de nuevos Usuarios  afiliados  al Régimen subsidiado</t>
  </si>
  <si>
    <t>Secretaría de Salud</t>
  </si>
  <si>
    <t>Realizar un estudio y/o diagnóstico de los impactos de la contaminación ambiental en el área de la salud en el cuatrienio</t>
  </si>
  <si>
    <t>Estudio y/o diagnóstico de los impactos de la contaminación ambiental en el área de la salud realizado</t>
  </si>
  <si>
    <t>Implementación del plan territorial de salud en el cuatrienio</t>
  </si>
  <si>
    <t>Plan Territorial de Salud implementado</t>
  </si>
  <si>
    <t>100% de las viviendas y/o hogares del SISBEN I y II con visitas para la prevención de la enfermedad y promoción de la salud</t>
  </si>
  <si>
    <t>Número de visitas periódicas trimestrales / Número de viviendas y hogares del sisben I y II</t>
  </si>
  <si>
    <t>N.D</t>
  </si>
  <si>
    <t>Implementar una estrategia anual de 3 Visitas periódicas trimestrales al 100% de las  viviendas y/o hogares  del SISBEN I y II para la Prevención de la Enfermedad y Promoción de la Salud</t>
  </si>
  <si>
    <t>Estrategia implementada</t>
  </si>
  <si>
    <t>Reducir la tasa de mortalidad en el municipio</t>
  </si>
  <si>
    <t>Tasa de Mortalidad Infantil</t>
  </si>
  <si>
    <t>11 x 1.000 nacidos vivos</t>
  </si>
  <si>
    <t>16,6% x 1000 nacidos vivos</t>
  </si>
  <si>
    <t>Mantener la tasa de mortalidad Infantil por debajo del  16,6% X 1.000 nacidos vivos en el cuatrienio</t>
  </si>
  <si>
    <t>Tasa de mortalidad  infantil x 1.000 nacidos vivo disminuida</t>
  </si>
  <si>
    <t>16.6%</t>
  </si>
  <si>
    <t>Mantenimiento de Coberturas de Vacunación  por encima del 95% en todos los biológicos del PAI  durante el cuatrienio.</t>
  </si>
  <si>
    <t>% de vacunación por todo los biológico del PAI mantenidas</t>
  </si>
  <si>
    <t>Incrementar la práctica de la Lactancia Materna Exclusiva a 0.9% al finalizar el cuatrienio.</t>
  </si>
  <si>
    <t xml:space="preserve">% de práctica de lactancia materna exclusiva </t>
  </si>
  <si>
    <t>0.9%</t>
  </si>
  <si>
    <t>A 2014 estará implementada y consolidada la estrategia AIEPI, componente comunitario en la zona urbana del Municipio y los corregimientos de Las Palmitas y La Victoria.</t>
  </si>
  <si>
    <t>Estrategia AIEPI componente comunitario implementado y consolidado</t>
  </si>
  <si>
    <t>Al finalizar el cuatrienio la estrategia IAMI estará implementada en la ESE Jorge Isaac Rincón.</t>
  </si>
  <si>
    <t>Estrategia IAMI implementada en la ESE Jorge Isaac Rincón</t>
  </si>
  <si>
    <t>Un (1) Centro de Recuperación Nutricional Intrahospitalario en la ESE Jorge Isaac Rincón Torres, para niños y niñas con padecimientos de desnutrición implementado y en funcionamiento</t>
  </si>
  <si>
    <t>Centro de recuperación nutricional implementado y en funcionamiento</t>
  </si>
  <si>
    <t>Disminuir los embarazos en mujeres de 15 y 19 años</t>
  </si>
  <si>
    <t>Proporción de embarazos en mujeres entre 15 y 19 años</t>
  </si>
  <si>
    <t>Disminuir la proporción de embarazos en adolescentes por debajo del 34% al finalizar el cuatrienio (dos puntos porcentuales)</t>
  </si>
  <si>
    <t>% de disminución de embarazos en adolescentes</t>
  </si>
  <si>
    <t>0.5%</t>
  </si>
  <si>
    <t>Implementar anualmente el uso de métodos modernos de anticoncepción en mínimo  200 mujeres adolescentes  y  jóvenes.</t>
  </si>
  <si>
    <t>Número de mujeres con uso de métodos modernos de anticoncepción</t>
  </si>
  <si>
    <t xml:space="preserve"> Al finalizar el cuatrienio la Estrategia de Servicios de Salud Amigables para Adolescentes y Jóvenes implementada en la ESE Jorge Isaac Rincón,  en las IPS y EPS que prestan servicios en el  Municipio.</t>
  </si>
  <si>
    <t>Estrategia de Servicios de Salud Amigables para Adolescentes y Jóvenes  implementada</t>
  </si>
  <si>
    <t>Centro de Atención Integral para adolescentes y jóvenes,  como  espacio de interacción de adolescentes y jóvenes para  los procesos de construcción de proyectos de vida y percepción de oportunidades, creado y funcionando al finalizar el cuatrienio.</t>
  </si>
  <si>
    <t>Centro de Atención Integral para adolescentes y jóvenes creado y funcionando</t>
  </si>
  <si>
    <t>Mantener la tasa de mortalidad materna por debajo de 45 por 100.000 nacidos vivos.</t>
  </si>
  <si>
    <t>Tasa de Mortalidad Materna</t>
  </si>
  <si>
    <t>45 por 100.000 nacidos vivos</t>
  </si>
  <si>
    <t>Mantener la tasa de mortalidad materna por debajo de 45 por 100.000 nacidos vivos en el cuatrienio</t>
  </si>
  <si>
    <t>Tasa de mortalidad materna mantenida</t>
  </si>
  <si>
    <t>45 por 1.000</t>
  </si>
  <si>
    <t>46 por 1.000</t>
  </si>
  <si>
    <t>47 por 1.000</t>
  </si>
  <si>
    <t>48 por 1.000</t>
  </si>
  <si>
    <t xml:space="preserve">Implementar acciones de búsqueda activa y seguimiento anual  al 100% de las gestantes para garantizar el acceso a los programas de control prenatal </t>
  </si>
  <si>
    <t>Número de acciones implementadas</t>
  </si>
  <si>
    <t>Aplicación de Rutas, Protocolos y Guías de Atención por parte del personal Médico Asistencial en la ESE Jorge Isaac Rincón en el 100% anual  de las gestantes que ingresan al control prenatal.</t>
  </si>
  <si>
    <t>% de gestantes que ingresan al control prenatal</t>
  </si>
  <si>
    <t>Implementación de la estrategia de Atención Obstétrica de Emergencia Básica (AOEmB) y Atención Obstétrica de Emergencia Integral (AOEmI) en el 100% anual, de los casos de Morbilidad materna extrema</t>
  </si>
  <si>
    <t>Estrategia de Atención Obstétrica de Emergencia Básica (AOEmB) y Atención Obstétrica de Emergencia Integral (AOEmI)  implementada</t>
  </si>
  <si>
    <t>Desarrollo de 6 campañas anuales de Información, Educación y Comunicación enfocadas al Reconocimiento de Derechos en Salud y Reconocimiento Temprano de signos de Alarma y Factores de Riesgo de  las gestantes del municipio</t>
  </si>
  <si>
    <t>Número de campañas de Información, Educación y Comunicación enfocadas al Reconocimiento de Derechos en Salud y Reconocimiento Temprano de signos de Alarma y Factores de Riesgo de  las gestantes desarrolladas</t>
  </si>
  <si>
    <t>Vigilancia y seguimiento  al proceso  de atención integral  y suministro de tratamiento al 100% de pacientes seropositivos de VIH – SIDA del municipio en el cuatrienio</t>
  </si>
  <si>
    <t>% de Vigilancia y seguimiento  al proceso  de atención integral  y suministro de tratamiento pacientes seropositivos de VIH – SIDA</t>
  </si>
  <si>
    <t>Implementación de  modelo de gestión programática de VIH y la guía para el manejo sin barreras y con calidad de las infecciones de transmisión sexual, Hepatitis B y VIH/SIDA en IPS con atención a pacientes seropositivos para VIH  en el cuatrienio</t>
  </si>
  <si>
    <t>Modelo de gestión programática de VIH y la guía para el manejo sin barreras y con calidad de las infecciones de transmisión sexual, Hepatitis B y VIH/SIDA en IPS con atención a pacientes seropositivos para VIH implementado</t>
  </si>
  <si>
    <t>Reducción de la incidencia de la Sífilis congénita a 0,5 casos x 1.000 nacidos vivos durante el cuatrienio</t>
  </si>
  <si>
    <t>Incidencia de la Sífilis congénita reducida</t>
  </si>
  <si>
    <t>0,5 casos x 1.000 nacido vivos</t>
  </si>
  <si>
    <t>Garantizar la prestación de servicios en los centros de atención en salud de los corregimientos de La Palmita, La Victoria y Boquerón.  
         Mejoramiento de la calidad en la prestación de los servicios en la ESE Jorge Isaac Rincón Torres.</t>
  </si>
  <si>
    <t>% de servicios de salud adecuados y con calidad</t>
  </si>
  <si>
    <t>Al finalizar el cuatrienio, el Sistema obligatorio de la calidad implementado en la ESE Jorge Isaac Rincón para lograr mejorar la calidad en la atención de la salud</t>
  </si>
  <si>
    <t xml:space="preserve">Sistema obligatorio de la calidad implementado en la ESE Jorge Isaac Rincón </t>
  </si>
  <si>
    <t>Centros de atención en salud de los corregimientos de La Palmita, La Victoria y Boquerón, prestando servicios adecuadamente en el cuatrienio</t>
  </si>
  <si>
    <t>Número de centros de salud prestando servicios adecuadamente</t>
  </si>
  <si>
    <t>Implementación del Sistema de Auditoría de Calidad y de Verificación de la Habilitación de los Servicios de Salud en el Hospital Jorge Isaac Rincón Torres y la Red Privada del Municipio en el cuatrienio</t>
  </si>
  <si>
    <t>Sistema de Auditoría de Calidad y de Verificación de la Habilitación de los Servicios de Salud en el Hospital Jorge Isaac Rincón Torres y la Red Privada del Municipio implementado</t>
  </si>
  <si>
    <t>EDUCACIÓN, DEPORTE, RECREACIÓN Y CULTURA CON CALIDAD</t>
  </si>
  <si>
    <t>Mantener en el 100% la cobertura en transición y Aumentar al 100% la cobertura en educación básica y media</t>
  </si>
  <si>
    <t>Tasa de cobertura bruta en transición 
     Tasa de cobertura bruta en educación Básica      
   Tasa de cobertura bruta en educación media.</t>
  </si>
  <si>
    <t>102,6% Transición    90% Básica    65% Media</t>
  </si>
  <si>
    <t>EDUCACIÓN</t>
  </si>
  <si>
    <t>Mantener el 100% los niños en el sistema educativo (transición) en el cuatrienio</t>
  </si>
  <si>
    <t>% de niños en el sistema educativo</t>
  </si>
  <si>
    <t>Secretaría de Educación, Cultura y Deporte</t>
  </si>
  <si>
    <t>Aumentar en el 10% los niños en el sistema educativo (Básica) en el cuatrienio</t>
  </si>
  <si>
    <t>Aumentar en el 35% los jóvenes que ingresan al sistema educativo (Media) en el cuatrienio</t>
  </si>
  <si>
    <t>% de jóvenes que ingresan al sistema educativo</t>
  </si>
  <si>
    <t>Construir y/o mejorar en un 30% la infraestructura educativa en el cuatrienio</t>
  </si>
  <si>
    <t>% de infraestructura educativa construida y/o mejorada</t>
  </si>
  <si>
    <t>Secretaría Planeación y Obras</t>
  </si>
  <si>
    <t>Gestionar y/o implementar un programa de educación que beneficie a los niños con discapacidad y dificultades de aprendizaje en el cuatrienio</t>
  </si>
  <si>
    <t>Número de programas de educación que beneficie a los niños con discapacidad y dificultades de aprendizaje gestionados y/o implementados</t>
  </si>
  <si>
    <t>Diseñar y estructurar un plan de marketing y/o fortalecimiento para las instituciones educativas en el municipio en el cuatrienio</t>
  </si>
  <si>
    <t>Número de planes de marketing diseñados y estructurados y/o fortalecimiento para las instituciones educativas en el municipio</t>
  </si>
  <si>
    <t>Ajustar y/o fortalecer el Plan Educativo Municipal - PEM en el cuatrienio</t>
  </si>
  <si>
    <t>Plan Educativo Municipal – PEM ajustado y/o fortalecido</t>
  </si>
  <si>
    <t>Crear un Centro de educación física en el municipio durante el cuatrienio</t>
  </si>
  <si>
    <t>Centro de educación física en el municipio creado</t>
  </si>
  <si>
    <t>Gestionar un programa de etnoeducación para los afrodescendientes en el cuatrienio</t>
  </si>
  <si>
    <t>Número de programas de etnoeducación gestionados</t>
  </si>
  <si>
    <t>Dotar el 100% de las instituciones educativas  en uso de Nuevas TIC´S, mobiliarios, material didáctico y/o audiovisual en el cuatrienio</t>
  </si>
  <si>
    <t xml:space="preserve">% de instituciones educativas dotadas de Nuevas TIC'S, mobiliarios, material didáctico y/o audiovisual </t>
  </si>
  <si>
    <t>Gestionar y/o implementar un programa para el Fomento de la convivencia pacífica en las instituciones educativas del municipio anualmente</t>
  </si>
  <si>
    <t>Número de programas para el Fomento de la convivencia pacífica en las instituciones educativas gestionado y/o implementado</t>
  </si>
  <si>
    <t>Reducir al 5% analfabetismo en la población de 15 a 24 años.</t>
  </si>
  <si>
    <t>Tasa de Analfabetismo</t>
  </si>
  <si>
    <t>Implementar y/o gestionar un programa de educación que beneficie a 1.000 adultos en el cuatrienio</t>
  </si>
  <si>
    <t>Número de adultos beneficiados con un programa de educación</t>
  </si>
  <si>
    <t>Reducir al 4% la tasa de deserción escolar</t>
  </si>
  <si>
    <t>Disminuir la tasa de deserción escolar</t>
  </si>
  <si>
    <t xml:space="preserve">Aumentar al 100% la cobertura de alimentación escolar a los niveles 1 y 2 del SISBEN del municipio durante el cuatrienio </t>
  </si>
  <si>
    <t>% de cobertura de alimentación escolar de los niveles 1 y 2 del SISBEN</t>
  </si>
  <si>
    <t>Gestionar y/o implementar un programa  de dotación de los restaurantes escolares del municipio en el cuatrienio</t>
  </si>
  <si>
    <t>Número de programas de dotación de restaurantes escolares gestionados y/o implementados</t>
  </si>
  <si>
    <t xml:space="preserve">Aumentar al 100% la cobertura de   transporte escolar a los niveles 1 y 2 del SISBEN del municipio durante el cuatrienio </t>
  </si>
  <si>
    <t>% de cobertura de transporte escolar de los niveles 1 y 2 del SISBEN</t>
  </si>
  <si>
    <t>% de jóvenes capacitados en técnicas y refuerzo en pruebas SABER</t>
  </si>
  <si>
    <t xml:space="preserve">% de pruebas SABER 5               % de pruebas SABER 9              % de pruebas SABER 11  </t>
  </si>
  <si>
    <t>Promedio SABER bajo 2010</t>
  </si>
  <si>
    <t>Promedio SABER alto</t>
  </si>
  <si>
    <t>Implementar un programa complementario para las  pruebas tipo SABER  en los grados 5, 9 y 11 anualmente</t>
  </si>
  <si>
    <t>Número de programas complementarios para las pruebas SABER implementados</t>
  </si>
  <si>
    <t>Mejorar el nivel de calidad educativo en el municipio</t>
  </si>
  <si>
    <t>Nivel de calidad educativo mejorado</t>
  </si>
  <si>
    <t>Implementar un programa de refuerzo educativo en ciencias básicas anualmente</t>
  </si>
  <si>
    <t>Número de Programas de refuerzo educativo en ciencias básicas implementados</t>
  </si>
  <si>
    <t>Gestionar y/o implementar un programa de bilingüismo anualmente</t>
  </si>
  <si>
    <t>Número de programas de bilingüismo gestionados y/o implementados</t>
  </si>
  <si>
    <t>Fortalecer el Centro Virtual del municipio anualmente</t>
  </si>
  <si>
    <t>Centro Virtual del municipio fortalecido</t>
  </si>
  <si>
    <t>Gestionar y/o implementar una biblioteca virtual en cada una de las  instituciones educativas en el cuatrienio</t>
  </si>
  <si>
    <t>Número de bibliotecas virtuales gestionadas y/o implementadas</t>
  </si>
  <si>
    <t>Fomento de la educación superior, técnica profesional, tecnológica través del fortalecimiento del convenio con el ICETEX anualmente</t>
  </si>
  <si>
    <t>Convenio con el ICETEX fortalecido</t>
  </si>
  <si>
    <t>Gestionar y/o implementar un programa de capacitaciones y estímulos a docentes en el cuatrienio</t>
  </si>
  <si>
    <t>Programa de capacitaciones y estímulos a docentes gestionado y/o implementado</t>
  </si>
  <si>
    <t>Gestionar y/o fortalecer las modalidades educativas en las instituciones  del municipio en el cuatrienio</t>
  </si>
  <si>
    <t>Modalidades educativas en las instituciones del municipio gestionadas y/o fortalecidas</t>
  </si>
  <si>
    <t>Fortalecer 2 escuelas de padres en las instituciones educativas en el cuatrienio</t>
  </si>
  <si>
    <t>Número de escuelas de padres en las instituciones educativas fortalecidas</t>
  </si>
  <si>
    <t>Gestionar y/o implementar una cátedra de afrodescendientes en el cuatrienio</t>
  </si>
  <si>
    <t>Cátedra de afrodescendientes gestionada y/o implementada</t>
  </si>
  <si>
    <t>Gestionar y/o implementar un programa de fomento de la lectura y escritura en las instituciones educativas anualmente</t>
  </si>
  <si>
    <t>Programa de fomento de la lectura y escritura en las instituciones educativas gestionado y/o implementado</t>
  </si>
  <si>
    <t>Fortalecer la funcionalidad y operatividad de los gobiernos escolares en el cuatrienio</t>
  </si>
  <si>
    <t>Funcionalidad y operatividad de los gobiernos escolares  fortalecida</t>
  </si>
  <si>
    <t>Gestionar y/o implementar un programa piloto de jornada única en el municipio en el cuatrienio</t>
  </si>
  <si>
    <t>Programa piloto de jornada única gestionado y/o implementado</t>
  </si>
  <si>
    <t>Gestionar y/o implementar un Centro Regional de Educación Superior - CERES para fomentar la competitividad, innovación y desarrollo local en el municipio en el cuatrienio</t>
  </si>
  <si>
    <t>Centro Regional de Educación Superior - CERES en el municipio gestionado y/o implementado</t>
  </si>
  <si>
    <t>Gestionar y/o implementar el programa Nativos Digitales (entrega computadores, interconexiones nodo central, apropiación, aulas virtuales entre otros)  durante el cuatrienio</t>
  </si>
  <si>
    <t>Programa Nativos Digitales gestionado y/o implementado</t>
  </si>
  <si>
    <t>Gestionar y/o fortalecer la educación técnica y tecnológica a través de diferentes instituciones y/o entidades en el municipio en el cuatrienio</t>
  </si>
  <si>
    <t>Educación técnica y tecnológica a través de diferentes instituciones y/o entidades en el municipio gestionada y/o fortalecida</t>
  </si>
  <si>
    <t>Gestionar y/o implementar un programa de las competencias ciudadanas fundamentado en procesos de ética y valores en las instituciones educativas anualmente</t>
  </si>
  <si>
    <t>Programa de las competencias ciudadanas fundamentado en procesos de ética y valores en las instituciones educativas gestionado y/o implementado</t>
  </si>
  <si>
    <t>Incrementar en un 50% de la población al uso de internet y conectividad durante el cuatrienio</t>
  </si>
  <si>
    <t>% de población con uso de internet y conectividad</t>
  </si>
  <si>
    <t>Otorgar 4 reconocimientos a las instituciones educativas meritorias para estimular calidad y pertinencia educativa en el cuatrienio</t>
  </si>
  <si>
    <t>Número de instituciones educativas reconocidas</t>
  </si>
  <si>
    <t>Promover a un 50% de la población la oferta deportiva en el cuatrienios</t>
  </si>
  <si>
    <t>% de población que acceden a la oferta deportiva</t>
  </si>
  <si>
    <t>3.970 personas que acceden a deporte</t>
  </si>
  <si>
    <t>RECREACIÓN Y DEPORTE</t>
  </si>
  <si>
    <t>Vincular a 5.000 personas en el acceso a recreación y  deporte de la zona urbana en el cuatrienio.</t>
  </si>
  <si>
    <t>Número de personas  que acceden a recreación y deporte</t>
  </si>
  <si>
    <t>Vincular a 1.000 personas en el acceso a recreación y  deporte de la zona rural en el cuatrienio.</t>
  </si>
  <si>
    <t>Gestionar la capacitación de instructores deportivos en diferentes disciplinas en el cuatrienio</t>
  </si>
  <si>
    <t>Número de capacitaciones gestionadas</t>
  </si>
  <si>
    <t>Gestionar 2 programas de articulación con entidades nacionales en el cuatrienio.</t>
  </si>
  <si>
    <t>Número de programas gestionados de articulación con las entidades nacionales</t>
  </si>
  <si>
    <t>Garantizar en un 30% la participación de niños, niñas y jóvenes en escuelas de formación deportivas en el cuatrienio</t>
  </si>
  <si>
    <t>% de participación de  niños y niñas en formación deportiva</t>
  </si>
  <si>
    <t>Gestionar y/o implementar un programa de vacaciones recreativas en el municipio anualmente</t>
  </si>
  <si>
    <t>Número de programas de vacaciones recreativas gestionado y/o implementado</t>
  </si>
  <si>
    <t>Construir y/o mejorar el 50% de la infraestructura deportiva del Municipio en el cuatrienio</t>
  </si>
  <si>
    <t>% de infraestructura deportiva construida y/o mejorada</t>
  </si>
  <si>
    <t>Secretaría de Planeación y Obras</t>
  </si>
  <si>
    <t>Promover a un 50% de la población la oferta cultural en el cuatrienios</t>
  </si>
  <si>
    <t>% de la población que accede a la oferta cultural del municipio</t>
  </si>
  <si>
    <t>7.350 personas que participan en programas culturales</t>
  </si>
  <si>
    <t>CULTURA</t>
  </si>
  <si>
    <t>Vincular a 1.500 personas en el acceso a  lectura, escritura, formación musical y artística en la zona rural en el cuatrienio.</t>
  </si>
  <si>
    <t>Número de personas con acceso a lectura, escritura y formación artística</t>
  </si>
  <si>
    <t>Vincular a 5.000 personas en el acceso a lectura, escritura, formación musical y artística en la zona urbana en el cuatrienio.</t>
  </si>
  <si>
    <t>Apoyar 6 eventos y festivales de manifestación cultural y artística anualmente</t>
  </si>
  <si>
    <t>Número de fiestas y festivales apoyados</t>
  </si>
  <si>
    <t>Vincular a 5.000 personas en el uso de los servicios bibliotecarios anualmente</t>
  </si>
  <si>
    <t>Número de personas que acceden a los servicios Bibliotecarios</t>
  </si>
  <si>
    <t>Mejorar los servicios bibliotecarios en índice bibliográfico y conectividad en el cuatrienio</t>
  </si>
  <si>
    <t>% de servicios Bibliotecarios mejorados</t>
  </si>
  <si>
    <t>Impulsar y apoyar 2 proyectos de creaciones artística anualmente</t>
  </si>
  <si>
    <t>Número de creaciones artísticas impulsadas y/o apoyadas</t>
  </si>
  <si>
    <t>Fortalecer el Consejo de Cultura Municipal en el cuatrienio</t>
  </si>
  <si>
    <t>Consejo de cultura Municipal fortalecido</t>
  </si>
  <si>
    <t>Gestionar la capacitación y formación de los gestores culturales en el cuatrienio</t>
  </si>
  <si>
    <t>Gestionar y/o construir el Museo del Carbón Municipal en el cuatrienio</t>
  </si>
  <si>
    <t>Museo del Carbón gestionado y/o construido</t>
  </si>
  <si>
    <t>Fortalecer la apropiación cultural del Municipio a través del Centro de Memoria Municipal en el cuatrienio</t>
  </si>
  <si>
    <t>Centro de Memorias Municipal fortalecido</t>
  </si>
  <si>
    <t>Gestionar 4 programas culturales de articulación con entidades Nacionales en el cuatrienio</t>
  </si>
  <si>
    <t>Número de programas con articulación Nacional gestionados</t>
  </si>
  <si>
    <t>Construir y/o mejorar el 40% de la infraestructura cultural del Municipio en el cuatrienio</t>
  </si>
  <si>
    <t>% de infraestructura cultural construidos y/o mejorados</t>
  </si>
  <si>
    <t>DE LA MANO CON LA POBLACIÓN VULNERABLE</t>
  </si>
  <si>
    <t>Garantizar el  ejercicio de los derechos de la población victima del conflicto armado</t>
  </si>
  <si>
    <t>% del  ejercicio de los derechos de la población víctima del conflicto</t>
  </si>
  <si>
    <t>393 Familias</t>
  </si>
  <si>
    <t>VÍCTIMAS DEL CONFLICTO</t>
  </si>
  <si>
    <t>0,3</t>
  </si>
  <si>
    <t>Gestionar y o Implementar un Programa de Prevención y Protección de la Población víctima del conflicto anualmente</t>
  </si>
  <si>
    <t>Números de Programa de Prevención y Protección gestionados y o implementados</t>
  </si>
  <si>
    <t>Secretaría de Gobierno</t>
  </si>
  <si>
    <t>0,1</t>
  </si>
  <si>
    <t>Gestionar y/o Implementar un programa  anual de Atención Integral a la Población víctima del Conflicto</t>
  </si>
  <si>
    <t>Número de programa  anual de Atención Integral gestionado y/o implementado</t>
  </si>
  <si>
    <t>Gestionar y/o apoyar un programa de retorno digno de los desplazados y/o víctimas del conflicto armado en el cuatrienio</t>
  </si>
  <si>
    <t>Número de programas de retorno digno de los desplazados y/o víctimas del conflicto armado gestionados y/o apoyados</t>
  </si>
  <si>
    <t>0,2</t>
  </si>
  <si>
    <t>Gestionar y/o Implementar un Programa anual de Verdad, Justicia y Reparación Integral</t>
  </si>
  <si>
    <t>Número de Programa  de Verdad, Justicia y Reparación Integral  gestionado y/o implementado</t>
  </si>
  <si>
    <t>Gestionar y/o Implementar un programa anual de Participación de la Población Víctima del Conflicto</t>
  </si>
  <si>
    <t>Número de programas de Participación implementados</t>
  </si>
  <si>
    <t>Apoyar  y/o articular con  la Red UNIDOS  un programa  que beneficie a la población víctima del conflicto, en el cuatrienio</t>
  </si>
  <si>
    <t>Número de programas apoyado y o articulados con la Red UNIDAD</t>
  </si>
  <si>
    <t>Desarrollar un programa de apoyo psicosocial para la población desplazada en el cuatrienio</t>
  </si>
  <si>
    <t>Número de programas de apoyo psicosocial desarrollados para la población desplazada</t>
  </si>
  <si>
    <t>0,4</t>
  </si>
  <si>
    <t>Actualizar y/o ajustar el  Plan integral Único (PIU)  e implementarlo</t>
  </si>
  <si>
    <t>PIU actualizado y/o ajustado</t>
  </si>
  <si>
    <t>Desarrollar un programa de apoyo psicosocial para desmovilizados y reinsertados en el cuatrienio</t>
  </si>
  <si>
    <t>Número de programas de apoyo psicosocial desarrollados para desmovilizados y reinsertados</t>
  </si>
  <si>
    <t>Apoyar un programa de salud mental a la población víctima del conflicto  en el cuatrienio</t>
  </si>
  <si>
    <t>Número de  programas de salud mental  a apoyados</t>
  </si>
  <si>
    <t>0,5</t>
  </si>
  <si>
    <t>Gestionar y/o apoyar un programa de generación de ingresos para los desmovilizados y reinsertados en el cuatrienio.</t>
  </si>
  <si>
    <t>Número de programas de generación de ingresos gestionados y/o apoyados</t>
  </si>
  <si>
    <t>0,7</t>
  </si>
  <si>
    <t>Establecer  y/o ejecutar la Ley  de Víctimas y Restitución de Tierras  propuesta por el Gobierno Nacional  durante el cuatrienio.</t>
  </si>
  <si>
    <t>Número de Leyes de Víctimas y Restitución de  Tierras establecida y/o ejecutadas</t>
  </si>
  <si>
    <t>Gestionar y/o apoyar un programa de identificación de predios en alianza con entidades nacionales  y organizaciones de víctimas en el cuatrienio</t>
  </si>
  <si>
    <t>Programa de identificación de predios gestionado y/o apoyado</t>
  </si>
  <si>
    <t>Gestionar y/o apoyar un programa de acompañamiento jurídico y técnico para la implementación de la Ley de Víctimas y restitución de tierras  en el cuatrienio</t>
  </si>
  <si>
    <t>Número de programas de acompañamiento jurídico gestionados y/o apoyados</t>
  </si>
  <si>
    <t>Apoyar y/o beneficiar a mínimo el 50% de los adultos mayores del municipio con programas y acciones que permitan su desarrollo integral en el cuatrienio.</t>
  </si>
  <si>
    <t>% de adultos mayores beneficiados con programas y acciones que permitan su desarrollo integral.</t>
  </si>
  <si>
    <t>N.D.</t>
  </si>
  <si>
    <t>ADULTO MAYOR</t>
  </si>
  <si>
    <t>Diseñar e implementar un programa para la atención integral dirigida a la población de adultos mayores del municipio anualmente.</t>
  </si>
  <si>
    <t>Número de programas de atención integral al adulto mayor diseñados e  implementados</t>
  </si>
  <si>
    <t>Desarrollar un programa anual de Recuperación de la Salud Mental de la población adulto mayor</t>
  </si>
  <si>
    <t>Número de programas  de Recuperación de la Salud Mental de la población adulto mayor desarrollados</t>
  </si>
  <si>
    <t>Desarrollar 5 actividades lúdicas, de promoción de lectura, intercambios generacionales, recreación y/o encuentros para el adulto mayor anualmente.</t>
  </si>
  <si>
    <t>Número de actividades para el adulto mayor desarrolladas</t>
  </si>
  <si>
    <t>Realizar y/o ajustar  la línea de base del Adulto Mayor</t>
  </si>
  <si>
    <t>Línea Base realizada y/o ajustada</t>
  </si>
  <si>
    <t>Fortalecer, adecuar y/o dotar el Hogar de Paso del municipio en el cuatrienio.</t>
  </si>
  <si>
    <t>Hogar de Paso del municipio fortalecido, adecuado y/o dotado</t>
  </si>
  <si>
    <t>Apoyar y/o fortalecer en el cuatrienio 4 proyectos micro empresariales que generen ingresos en el cuatrienio para la población adulto mayor.</t>
  </si>
  <si>
    <t>Número de proyectos micro empresariales apoyados y/o fortalecidos</t>
  </si>
  <si>
    <t>Lograr que el 60% de la población afrodescendiente del municipio se beneficie con programas y estrategias que permitan su inclusión y desarrollo.</t>
  </si>
  <si>
    <t>% de población afrodescendiente  beneficiada con acciones y estrategias que permitan su inclusión y desarrollo.</t>
  </si>
  <si>
    <t>Afrodescendientes</t>
  </si>
  <si>
    <t>Diseñar e implementar en el cuatrienio una estrategia para el reconocimiento y valoración social y cultural de las minorías étnicas.</t>
  </si>
  <si>
    <t>Número de estrategias diseñadas e implementadas para el reconocimiento y valoración social y cultural de los afrodescendientes.</t>
  </si>
  <si>
    <t>Estructurar en el cuatrienio una política pública afrodescendiente con un enfoque integral de atención diferencial a la población afro víctima del conflicto</t>
  </si>
  <si>
    <t>Política pública afrodescendiente estructurada.</t>
  </si>
  <si>
    <t>Crear una línea base o caracterización de la población afrodescendiente del municipio</t>
  </si>
  <si>
    <t>Línea base o caracterización afrodescendiente creada</t>
  </si>
  <si>
    <t>Diseñar y/o crear un programa de recuperación histórica de la cultura afrodescendiente dentro del municipio en el cuatrienio</t>
  </si>
  <si>
    <t>Programa de recuperación histórica de la cultura afrodescendiente diseñado y/o creado</t>
  </si>
  <si>
    <t>Fortalecer y/o crear 3 organizaciones de comunidades afrodescendientes presentes en el municipio en el cuatrienio.</t>
  </si>
  <si>
    <t>Número de organizaciones de comunidades afrodescendientes fortalecidas y/o creadas</t>
  </si>
  <si>
    <t>Diseñar e implementar 3 campañas para el respeto de los derechos de la población afrodescendiente en el cuatrienio</t>
  </si>
  <si>
    <t>Número de campañas para el respeto de los derechos de la población afrodescendiente diseñadas e implementadas.</t>
  </si>
  <si>
    <t>Acompañar en el cuatrienio a las comunidades afrodescendientes en los diferentes reasentamientos a que tengan lugar</t>
  </si>
  <si>
    <t>Número de reasentamientos acompañados por la Administración Municipal.</t>
  </si>
  <si>
    <t>Apoyar y/o fortalecer 3 proyectos productivos y/o micro empresariales encaminados a mejorar las condiciones económicas y sociales de esta población en el cuatrienio.</t>
  </si>
  <si>
    <t>Número de proyectos productivos y/o micro empresariales apoyados y/o fortalecidos enfocados a la población afrodescendiente.</t>
  </si>
  <si>
    <t>Lograr que el 20% de la población discapacitada se integre socialmente</t>
  </si>
  <si>
    <t>% de población discapacitada integrada socialmente</t>
  </si>
  <si>
    <t>1.371 personas discapacitadas</t>
  </si>
  <si>
    <t>DISCAPACITADOS</t>
  </si>
  <si>
    <t>Diseñar y/o formular una Política Pública de Discapacidad del municipio en el cuatrienio.</t>
  </si>
  <si>
    <t>Política Pública de Discapacidad diseñada y/o formulada</t>
  </si>
  <si>
    <t>Gestionar 50 ayudas técnicas para la población discapacitada en el cuatrienio</t>
  </si>
  <si>
    <t>Número de ayudas técnicas gestionadas</t>
  </si>
  <si>
    <t>Apoyar la creación y fortalecimiento del Comité de Discapacitados Municipal en el cuatrienio</t>
  </si>
  <si>
    <t>Comité de discapacidad apoyado</t>
  </si>
  <si>
    <t>Gestionar y/o implementar un programa de atención integral para la población discapacitada anualmente</t>
  </si>
  <si>
    <t>Programa de atención integral para discapacitados gestionado y/o implementado</t>
  </si>
  <si>
    <t>Diseñar y/o formular una línea de base de la población discapacitada en el cuatrienio</t>
  </si>
  <si>
    <t>Línea de base de la población discapacitada diseñada y/o formulada</t>
  </si>
  <si>
    <t>Gestionar y/o apoyar eventos deportivos (paralímpicos) con articulación con entidades del orden departamental y nacional anualmente</t>
  </si>
  <si>
    <t>Número de eventos deportivos gestionados y/o apoyados con articulación Nacional</t>
  </si>
  <si>
    <t>Apoyar 2 iniciativas de emprendimiento en la población discapacitada en el cuatrienio</t>
  </si>
  <si>
    <t>Número de iniciativas de emprendimiento de la población discapacitada apoyadas</t>
  </si>
  <si>
    <t>Disminuir el número de casos de  violencia contra la mujer</t>
  </si>
  <si>
    <t>% de mujeres que han sido atendidas integralmente ante hechos de violencia en su contra</t>
  </si>
  <si>
    <t>38 Casos de violencia intrafamiliar en mujeres</t>
  </si>
  <si>
    <t>0 Casos</t>
  </si>
  <si>
    <t>EQUIDAD DE GÉNERO</t>
  </si>
  <si>
    <t>Realizar 2 capacitaciones anuales a la comunidad social e institucional sobre derechos de las mujeres</t>
  </si>
  <si>
    <t>Número de capacitaciones realizadas a la comunidad social e institucional  sobre derechos de las mujeres</t>
  </si>
  <si>
    <t>Realizar 2 campañas anuales en instituciones educativas sobre derechos de las mujeres</t>
  </si>
  <si>
    <t>Número de campañas realizadas en instituciones educativas sobre derechos de las mujeres</t>
  </si>
  <si>
    <t>Crear la Casa de la Mujer durante el cuatrienio</t>
  </si>
  <si>
    <t>Casa de la mujer creada</t>
  </si>
  <si>
    <t>% de mujeres participantes en la actividad</t>
  </si>
  <si>
    <t>Realizar 3 celebraciones del día de la mujer durante el cuatrienio</t>
  </si>
  <si>
    <t>Número de celebraciones del día de la mujer realizadas</t>
  </si>
  <si>
    <t>Aumentar la Asociatividad de la mujer</t>
  </si>
  <si>
    <t>% de mujeres beneficiadas</t>
  </si>
  <si>
    <t>Gestionar y/o implementar 2 proyectos de emprendimiento con el acompañamiento de la red de mujeres en  el cuatrienio.</t>
  </si>
  <si>
    <t>Número de proyectos de emprendimiento gestionados y/o implementados</t>
  </si>
  <si>
    <t>% de mujeres cabeza de hogar beneficiadas</t>
  </si>
  <si>
    <t>Capacitar en diferentes artes a 100 madres cabeza de hogar por año y fomentar su agremiación.</t>
  </si>
  <si>
    <t>Número de mujeres cabeza de hogar capacitadas</t>
  </si>
  <si>
    <t>Gestionar y/o articular un programa de formación técnica, tecnológica o profesional dirigido a mujeres en el cuatrienio.</t>
  </si>
  <si>
    <t>Número de programas de formación técnica, tecnológica o profesional dirigido a mujeres gestionado y/o articulado</t>
  </si>
  <si>
    <t>Dotar y poner en funcionamiento el Hogar Múltiple del  municipio durante el cuatrienio</t>
  </si>
  <si>
    <t>Hogar Múltiple del municipio dotado y en funcionamiento</t>
  </si>
  <si>
    <t>% de iniciativas empresariales desarrolladas</t>
  </si>
  <si>
    <t>Apoyar 2 programas anuales de emprendimiento e iniciativas empresariales.</t>
  </si>
  <si>
    <t>Número de programas de emprendimiento e iniciativas empresariales apoyadas</t>
  </si>
  <si>
    <t>Promover la inclusión de la mujer en la formulación de estrategias municipales</t>
  </si>
  <si>
    <t>Número de estrategias formuladas</t>
  </si>
  <si>
    <t>3 Estrategias</t>
  </si>
  <si>
    <t>Construir la línea base sobre equidad de género en el cuatrienio.</t>
  </si>
  <si>
    <t>Línea de base construida</t>
  </si>
  <si>
    <t>Diseñar y formular una Política Pública de Equidad de Género del municipio en el cuatrienio</t>
  </si>
  <si>
    <t>Política Pública de Equidad de Género diseñada y formulada</t>
  </si>
  <si>
    <t>Proporcionar condiciones dignas de habitabilidad y vivienda.</t>
  </si>
  <si>
    <t>Gestionar un proyecto de construcción y/o mejoramiento de vivienda para madres comunitarias o cabezas de hogar</t>
  </si>
  <si>
    <t>Proyecto de construcción y/o mejoramiento de vivienda para madres comunitarias o cabezas de hogar gestionado</t>
  </si>
  <si>
    <t>Aumentar en 3% la integración social de la población LGBT</t>
  </si>
  <si>
    <t>% de integración social de la población LGBT</t>
  </si>
  <si>
    <t>POBLACIÓN LGBT</t>
  </si>
  <si>
    <t>Realizar 4 campañas de promoción  en salud para la población LGBT en el cuatrienio</t>
  </si>
  <si>
    <t>Número de campañas de promoción  en salud realizadas</t>
  </si>
  <si>
    <t>Realizar 4 campañas para la promoción y respeto de los derechos de  la comunidad LGBT en el cuatrienio</t>
  </si>
  <si>
    <t>Número de campañas realizadas</t>
  </si>
  <si>
    <t xml:space="preserve">AMANECERES DE LA INFANCIA, ADOLESCENCIA Y JUVENTUD </t>
  </si>
  <si>
    <t>Atender a la población  a 4000 niños niñas adolescentes de los niveles I Y II del Sisben</t>
  </si>
  <si>
    <t>Numero de  niñas, niños y adolescentes beneficiados</t>
  </si>
  <si>
    <t>9, 125 infantes,  adolescentes y jóvenes</t>
  </si>
  <si>
    <t xml:space="preserve">Implementar  anualmente el programa  "Todos Vivos, Saludables, Nutridos y con Familias" de atención integral a la población  infantil y adolescentes que beneficie a 4.000 niños  (Sisben I y  II ) en:
Salud (oral, visual, auditiva y mental, salud reproductiva y sexual, hábitos saludables) 
Nutrición: (lactancia materna, complemento nutricional, seguimiento al crecimiento y desarrollo)
Vacunación: (Cobertura en PAI y escuela saludable)
</t>
  </si>
  <si>
    <t>Número de beneficiados con el programa  "Todos Vivos, Saludables, Nutridos y con Familias</t>
  </si>
  <si>
    <t xml:space="preserve">Secretaría de Gobierno               </t>
  </si>
  <si>
    <t xml:space="preserve">Implementar  anualmente el programa "Todos con Educación, Jugando y afectuoso " de atención integral a la población  infantil y adolescentes que beneficie a 4000 niños (Sisben I y  II ) en:  
Educación (Inicial, básica primaria y básica secundaria) 
Juego (acceso a infraestructura y facilidades recreativas) 
Educación en salud sexual y reproductiva
</t>
  </si>
  <si>
    <t>Implementar  anualmente el programa "Todos registrados y participando" de atención a la población  infantil y adolescentes que beneficie a  los niños  (Sisben I y  II)  en:  Registro, vinculados al programa de Democracia  Municipal Juvenil</t>
  </si>
  <si>
    <t xml:space="preserve">Implementar  anualmente el programa "Protección especial" de atención a la población  infantil y adolescentes que beneficie a 4.000 niños  (Sisben I y  II) en:
Ninguno en actividad perjudicial, (Explotación económica y sexual) 
Ninguno de víctima de violencia (Maltrato, desplazamiento, abuso sexual, minas anti personas)
Ninguno en conductas delictivas (Prevención de hechos de violencia)
</t>
  </si>
  <si>
    <t>Levantamiento de una línea de base de infancia y adolescencia en el cuatrienio</t>
  </si>
  <si>
    <t>Número de líneas de bases levantadas</t>
  </si>
  <si>
    <t>Diseñar y Formular una Política Pública de Infancia y Adolescencia del municipio en el cuatrienio</t>
  </si>
  <si>
    <t>Política Pública de Infancia y Adolescencia diseñada y formulada</t>
  </si>
  <si>
    <t>Fortalecimiento del Comité de Política Social en cuatrienio</t>
  </si>
  <si>
    <t>Comité de Política Social fortalecido</t>
  </si>
  <si>
    <t>Realizar un programa de seguimiento continuo a los programas de infancia y adolescencia anualmente</t>
  </si>
  <si>
    <t>Número de programas de seguimiento realizados</t>
  </si>
  <si>
    <t>Apoyar  y/o articular anualmente con  la Red UNIDOS  un programa  de Infancia y Adolescencia</t>
  </si>
  <si>
    <t>Red UNIDOS en el programa de Infancia y Adolescencia apoyada y/o articulada</t>
  </si>
  <si>
    <t xml:space="preserve">Atender al 19% de los jóvenes </t>
  </si>
  <si>
    <t>%  de jóvenes atendidos</t>
  </si>
  <si>
    <t>2.625 jóvenes</t>
  </si>
  <si>
    <t>Realizar y ejecutar un programa de atención integral para la  infancia y adolescencia en el cuatrienio</t>
  </si>
  <si>
    <t>Número de programas de atención integral realizados</t>
  </si>
  <si>
    <t>Gestionar y/o crear 2 Escuelas de familia en el cuatrienio.</t>
  </si>
  <si>
    <t>Número de escuelas de familia gestionadas y/o creadas</t>
  </si>
  <si>
    <t>Levantamiento de una línea de base de los Jóvenes en el cuatrienio</t>
  </si>
  <si>
    <t>Gestionar y o Implementar la Ley 375  de 1997 de la Juventud en el cuatrienio</t>
  </si>
  <si>
    <t>Ley 375  de 1997 de la Juventud gestionada y/o implementada</t>
  </si>
  <si>
    <t>Fortalecer el Consejo de la Juventud en el cuatrienio</t>
  </si>
  <si>
    <t>Consejo de Juventud fortalecido</t>
  </si>
  <si>
    <t>Implementar un programa anual de atención integral para jóvenes</t>
  </si>
  <si>
    <t>Número de programas de atención integral implementados</t>
  </si>
  <si>
    <t>AMBIENTES SALUDABLES PARA TODOS</t>
  </si>
  <si>
    <t>AGUA POTABLE Y SANEAMIENTO BÁSICO</t>
  </si>
  <si>
    <t>Incrementar a 4.889 suscriptores atendidos con el servicio de acueducto en el área urbana durante el cuatrienio</t>
  </si>
  <si>
    <t xml:space="preserve">Número suscriptores atendidos con el servicio de acueducto en el área urbana </t>
  </si>
  <si>
    <t>4.520 suscriptores</t>
  </si>
  <si>
    <t>4.889 suscriptores</t>
  </si>
  <si>
    <t>Incrementar en 369  los suscriptores atendidos con el servicio de acueducto en el área urbana en el cuatrienio.</t>
  </si>
  <si>
    <t>Número de suscriptores atendidos con servicio de acueducto urbano</t>
  </si>
  <si>
    <t>Diseñar, formular e implementar un Plan Maestro de Acueducto y Alcantarillado durante el cuatrienio</t>
  </si>
  <si>
    <t>No de Planes Maestros de acueducto y Alcantarillado diseñados</t>
  </si>
  <si>
    <t>Incrementar  en 25% la capacidad de almacenamiento  de agua potable en el cuatrienio.</t>
  </si>
  <si>
    <t>Número de tanques de almacenamiento de agua construido</t>
  </si>
  <si>
    <t>Optimizar los sistemas de  la planta de tratamiento de agua potable al 100% en el cuatrienio</t>
  </si>
  <si>
    <t>% de optimización de la planta de tratamiento</t>
  </si>
  <si>
    <t>Optimizar y repotenciar en  6.000 metros lineales el sistema de acueducto en el cuatrienio</t>
  </si>
  <si>
    <t>Número de metros lineales optimizados</t>
  </si>
  <si>
    <r>
      <t>Realizar  e implementar  1 programa de uso y</t>
    </r>
    <r>
      <rPr>
        <b/>
        <sz val="10"/>
        <color indexed="8"/>
        <rFont val="Candara"/>
        <family val="2"/>
      </rPr>
      <t xml:space="preserve"> ahorro eficiente del agua en el cuatrienio</t>
    </r>
  </si>
  <si>
    <t>Número de programas de uso y ahorro eficiente de agua realizado</t>
  </si>
  <si>
    <t>12 horas diarias</t>
  </si>
  <si>
    <t>Incrementar a 20 horas diarias la continuidad del servicio de acueducto en la zona urbana en el cuatrienio</t>
  </si>
  <si>
    <t>Número de horas diarias de continuidad del servicio</t>
  </si>
  <si>
    <t>Incrementar a 747 suscriptores atendidos con el servicio de acueducto en el área rural durante el cuatrienio</t>
  </si>
  <si>
    <t xml:space="preserve">Número de suscriptores atendidos con el servicio de acueducto en el área rural </t>
  </si>
  <si>
    <t>579 suscriptores</t>
  </si>
  <si>
    <t>747 suscriptores</t>
  </si>
  <si>
    <t>Incrementar en 672 los suscriptores atendidos con el servicio de acueducto en el área rural en el cuatrienio.</t>
  </si>
  <si>
    <t>Número de suscriptores atendidos con servicio de acueducto rural</t>
  </si>
  <si>
    <t>Incrementar a 4.613 suscriptores atendidos con el servicio de alcantarillado en el área urbana durante el cuatrienio</t>
  </si>
  <si>
    <t xml:space="preserve">Número de suscriptores atendidos con el servicio de alcantarillado en el área urbana </t>
  </si>
  <si>
    <t>4.382 suscriptores</t>
  </si>
  <si>
    <t>4.613 suscriptores</t>
  </si>
  <si>
    <t>Incrementar en  923 los suscriptores atendidos con servicio de alcantarillado en el área urbana durante el cuatrienio</t>
  </si>
  <si>
    <t>Número de suscriptores atendidos con servicio de alcantarillado urbano</t>
  </si>
  <si>
    <t>Optimizar y repotenciar en  15.000 metros lineales el sistema de alcantarillado en el cuatrienio</t>
  </si>
  <si>
    <t>Incrementar a 280 suscriptores atendidos con el servicio de alcantarillado en el área rural durante el cuatrienio</t>
  </si>
  <si>
    <t>Número de suscriptores atendidos con el servicio de alcantarillado en el área rural</t>
  </si>
  <si>
    <t>187 
suscriptores</t>
  </si>
  <si>
    <t>280 suscriptores</t>
  </si>
  <si>
    <t>Incrementar en  373 los suscriptores atendidos con servicio de alcantarillado en el área rural durante el cuatrienio</t>
  </si>
  <si>
    <t>Número de suscriptores atendidos con servicio de alcantarillado rural</t>
  </si>
  <si>
    <t>Incrementar a 4.383 suscriptores atendidos con el servicio de aseo en el área urbana durante el cuatrienio</t>
  </si>
  <si>
    <t>Número de suscriptores atendidos con el servicio de aseo en el área urbana</t>
  </si>
  <si>
    <t>3.414 suscriptores</t>
  </si>
  <si>
    <t>4.383 suscriptores</t>
  </si>
  <si>
    <t>Incrementar en 3.875 los suscriptores atendidos con servicio de aseo en el área urbana durante el cuatrienio</t>
  </si>
  <si>
    <t>Número de suscriptores atendidos con servicio de aseo urbano</t>
  </si>
  <si>
    <t>Ajustar, actualizar  e implementar el PGIR´s en el cuatrienio</t>
  </si>
  <si>
    <t>PGIR ajustado, actualizado e implementado</t>
  </si>
  <si>
    <t>Incrementar a 2.307 suscriptores atendidos con el servicio de aseo en el área rural durante el cuatrienio</t>
  </si>
  <si>
    <t>Número de suscriptores atendidos con el servicio de aseo en el área rural</t>
  </si>
  <si>
    <t>1.707 
suscriptores</t>
  </si>
  <si>
    <t xml:space="preserve">2.307
suscriptores </t>
  </si>
  <si>
    <t>Incrementar en  2.399 los suscriptores atendidos con servicio de aseo en el área rural durante el cuatrienio</t>
  </si>
  <si>
    <t>Número de suscriptores atendidos con servicio de aseo rural</t>
  </si>
  <si>
    <t>Reducir el Índice de Riesgo de la Calidad del Agua para consumo humano IRCA</t>
  </si>
  <si>
    <t xml:space="preserve"> % de cumplimiento del Índice de Riesgo de la Calidad del Agua para Consumo Humano IRCA</t>
  </si>
  <si>
    <t xml:space="preserve">0-5 (Sin Riesgo) </t>
  </si>
  <si>
    <t>Reducir el IRCA a un nivel de 0-5 (Sin Riesgo) durante el cuatrienio</t>
  </si>
  <si>
    <t>Nivel de Riesgo del IRCA</t>
  </si>
  <si>
    <t>35.1 - 80 (Riesgo Alto)</t>
  </si>
  <si>
    <t>5.1   –  14 (Riesgo Bajo)</t>
  </si>
  <si>
    <t>Incrementar al 80.37% la recolección, transporte y disposición final de residuos solidos</t>
  </si>
  <si>
    <t>% de residuos sólidos generados, que son dispuestos de manera adecuada en rellenos sanitarios u otros sistemas de tratamientos</t>
  </si>
  <si>
    <t>80.37%</t>
  </si>
  <si>
    <t>Incrementar en 17% la recolección, transporte y disposición final de residuos sólidos</t>
  </si>
  <si>
    <t>% de  recolección, transporte y disposición final de residuos solidos</t>
  </si>
  <si>
    <t>% de residuos sólidos dispuestos a relleno sanitario</t>
  </si>
  <si>
    <t>Gestionar un relleno sanitario regional articulado con políticas departamentales en el cuatrienio</t>
  </si>
  <si>
    <t>Relleno sanitario regional articulado con políticas departamentales gestionado</t>
  </si>
  <si>
    <t>% de Aguas Residuales  Urbanas Tratadas</t>
  </si>
  <si>
    <t xml:space="preserve">% de Aguas Tratadas para disminuir la  Contaminación de fuentes Hídricas </t>
  </si>
  <si>
    <t>Construcción y/ o mejoramiento de 3  plantas de tratamiento de aguas residuales y/o sistemas de tratamientos en el cuatrienio</t>
  </si>
  <si>
    <t>Número de PTAR construidas</t>
  </si>
  <si>
    <t>Formular e implementar 2 planes de gestión del riesgo de la prestación de los servicios de acueducto, alcantarillado y aseo en el cuatrienio</t>
  </si>
  <si>
    <t>Número de planes de gestión del riesgo formulado e implementados</t>
  </si>
  <si>
    <t>Incrementar el tratamiento de aguas residuales</t>
  </si>
  <si>
    <t>Diseñar e Implementar el Plan de  Saneamiento y Manejo de Vertimientos en el Municipio en el cuatrienio</t>
  </si>
  <si>
    <t>Plan de manejo de saneamiento y manejo de vertimientos diseñado e implementado</t>
  </si>
  <si>
    <t>Lograr el funcionamiento de la Empresa de Servicios Públicos Municipales</t>
  </si>
  <si>
    <t>% de funcionamiento de la Empresa de Servicios Públicos Municipales</t>
  </si>
  <si>
    <t>No existe</t>
  </si>
  <si>
    <t>Gestionar y/o crear una empresa de servicios públicos Municipal en el cuatrienio</t>
  </si>
  <si>
    <t>Empresa de Servicios Públicos Municipal gestionada y/o creada</t>
  </si>
  <si>
    <t>Mantener actualizada la estratificación socioeconómica</t>
  </si>
  <si>
    <t>Estratificación socioeconómica actualizada</t>
  </si>
  <si>
    <t>Adoptar y aplicar la estratificación socioeconómica urbana y rural en el cuatrienio</t>
  </si>
  <si>
    <t>Estratificación socioeconómica urbana y rural adoptada y aplicada</t>
  </si>
  <si>
    <t>Asegurar el cumplimiento de los requisitos exigidos en las normas legales</t>
  </si>
  <si>
    <t>% de cumplimiento de los requisitos de ley</t>
  </si>
  <si>
    <t>6 requisitos de ley reportados en el SUI-FUT</t>
  </si>
  <si>
    <t>Asegurar el 100% el cumplimiento de los requisitos de ley en la prestación de los servicios públicos anualmente</t>
  </si>
  <si>
    <t>% cumplimiento de los requisitos de ley en la prestación de los servicios públicos</t>
  </si>
  <si>
    <t>POR UN AMBIENTE SALUDABLE</t>
  </si>
  <si>
    <t>Fomentar la conservación y mejoramiento de las condiciones medio ambientales del municipio</t>
  </si>
  <si>
    <t>Número de acciones implementadas para la conservación y mejoramiento del medio ambiente.</t>
  </si>
  <si>
    <t>17 acciones</t>
  </si>
  <si>
    <t>-</t>
  </si>
  <si>
    <t>Gestionar la implementación de una red de monitoreo local de calidad de aire en el municipio en el cuatrienio</t>
  </si>
  <si>
    <t>Red de monitoreo local de calidad de aire gestionada en su implementación.</t>
  </si>
  <si>
    <t>Definir y formular un mapa de riesgo ambiental del Municipio en el cuatrienio.</t>
  </si>
  <si>
    <t>Mapa de riesgo ambiental definido</t>
  </si>
  <si>
    <t>Realizar un control y vigilancia anual del medio ambiente</t>
  </si>
  <si>
    <t>Número de controles y vigilancias del medio ambiente realizados</t>
  </si>
  <si>
    <t>Diseñar e implementar dos planes de ordenamiento y manejo de cuencas ambientales POMCA para los ríos Tucuy y Sororia en el cuatrienio.</t>
  </si>
  <si>
    <t>Número de planes de ordenamiento y manejo de cuencas ambientales POMCA diseñados e implementados</t>
  </si>
  <si>
    <t>Implementar el sistema de gestión ambiental municipal SIGAM en el cuatrienio.</t>
  </si>
  <si>
    <t>Sistema de gestión ambiental municipal SIGAM implementado</t>
  </si>
  <si>
    <t>Implementación del Plan de Gestión Integral de Residuos - PGIR en el cuatrienio.</t>
  </si>
  <si>
    <t>Plan de Gestión Integral de Residuos - PGIR implementado</t>
  </si>
  <si>
    <t>Implementar un programa anual de reforestación en el perímetro urbano, cuencas hídricas, zonas de laderas y áreas degradadas del municipio.</t>
  </si>
  <si>
    <t>Programa de reforestación en el perímetro urbano, cuencas hídricas, zonas de laderas y áreas degradadas implementado</t>
  </si>
  <si>
    <t>Adquirir, manejar y mantener un predio anual de importancia ambiental en cuencas hidrográficas abastecedoras de acueductos</t>
  </si>
  <si>
    <t>Número de predios de importancia ambiental en cuencas hidrográficas abastecedoras de acueductos adquiridos, manejados y mantenidos.</t>
  </si>
  <si>
    <t>Identificación y establecimiento de 4 áreas de protección ambiental en el cuatrienio.</t>
  </si>
  <si>
    <t>Número de áreas de protección ambiental identificadas y establecidas</t>
  </si>
  <si>
    <t>Formulación y adopción del 20% de los proyectos complementarios del EOT en el cuatrienio.</t>
  </si>
  <si>
    <t>Porcentaje de proyectos complementarios del EOT adoptados</t>
  </si>
  <si>
    <t>Implementación del Sistema de Gestión Integral de Escombros (estaciones de transferencia, recolección, sitio de disposición final) en el cuatrienio.</t>
  </si>
  <si>
    <t>Sistema de Gestión Integral de Escombros implementado.</t>
  </si>
  <si>
    <t>Implementar el 15% de las acciones y  estrategias  contempladas en la Política Pública Ambiental en el cuatrienio</t>
  </si>
  <si>
    <t>% de acciones contempladas en la Política Pública Ambiental implementadas</t>
  </si>
  <si>
    <t>Gestionar la implementación de un programa de familias guardabosques en el municipio en el cuatrienio.</t>
  </si>
  <si>
    <t>Programa de familias guardabosques gestionado para su implementación</t>
  </si>
  <si>
    <t>Implementar un programa para la adecuación del municipio al cambio climático en el cuatrienio.</t>
  </si>
  <si>
    <t>Programa para la adecuación del municipio al cambio climático implementado</t>
  </si>
  <si>
    <t>Ejecutar  y Articular un programa  ambiental en coordinación  con CORPOCESAR  en el cuatrienio.</t>
  </si>
  <si>
    <t>Número de programas ambientales ejecutados y articulados con CORPOCESAR</t>
  </si>
  <si>
    <t>Implementar un Programa de educación y sensibilización ambiental basados en los Proyectos Ambientales Escolares - PRAES, articulado con los estamentos gubernamentales y no gubernamentales en el municipio en el cuatrienio.</t>
  </si>
  <si>
    <t>Programa de educación y sensibilización ambiental basados en los Proyectos Ambientales Escolares - PRAES implementado</t>
  </si>
  <si>
    <t>Implementar anualmente un proyecto de educación ambiental y participación ciudadana</t>
  </si>
  <si>
    <t>Proyecto de educación ambiental y participación ciudadana implementado</t>
  </si>
  <si>
    <t>VIVIENDA DIGNA Y OBRAS DE DESARROLLO</t>
  </si>
  <si>
    <t xml:space="preserve">Reducir en 95% el déficit cualitativo y cuantitativo habitacional del Municipio </t>
  </si>
  <si>
    <t>Porcentaje de déficit cualitativo y cuantitativo reducido</t>
  </si>
  <si>
    <t xml:space="preserve">5.941 viviendas </t>
  </si>
  <si>
    <t>VIVIENDA</t>
  </si>
  <si>
    <t>Gestionar, construir y/o mejorar 1.800 viviendas  durante el cuatrienio.</t>
  </si>
  <si>
    <t>Número de viviendas gestionadas y/o construidas</t>
  </si>
  <si>
    <t>Legalizar un  20% de viviendas sin titular en el cuatrienio</t>
  </si>
  <si>
    <t>Porcentaje de viviendas legalizados y titulados</t>
  </si>
  <si>
    <t>Gestionar y/o crear un banco de tierras para viviendas de interés social en el cuatrienio</t>
  </si>
  <si>
    <t>Banco de tierras gestionado y/o creado</t>
  </si>
  <si>
    <t>Realizar un programa de actualización catastral en el cuatrienio</t>
  </si>
  <si>
    <t>Programa de actualización catastral realizado</t>
  </si>
  <si>
    <t xml:space="preserve">Incrementar a 5m2 por cada habitante el espacio público </t>
  </si>
  <si>
    <t xml:space="preserve">Metros cuadrados de espacio público  por habitante </t>
  </si>
  <si>
    <t>2,88 m2</t>
  </si>
  <si>
    <t xml:space="preserve">5m2 </t>
  </si>
  <si>
    <t xml:space="preserve">DESARROLLO URBANO </t>
  </si>
  <si>
    <t>Formular y ejecutar un proyecto de espacio público incorporado en  el EOT durante el cuatrienio</t>
  </si>
  <si>
    <t>Número de proyectos formulados y ejecutados de espacio público</t>
  </si>
  <si>
    <t>Gestionar y/o construir 4  parques durante el cuatrienio</t>
  </si>
  <si>
    <t>Número de parques gestionados y/o construidos</t>
  </si>
  <si>
    <t>Gestionar y /o crear una ciclo ruta y/o una zona peatonal  en el cuatrienio</t>
  </si>
  <si>
    <t>Ciclo ruta y/o una zona peatonal gestionada y/o creada</t>
  </si>
  <si>
    <t>Mantener el 80% del equipamiento municipal en buenas condiciones y en funcionamiento.</t>
  </si>
  <si>
    <t>% de bienes muebles e inmuebles en buenas condiciones y en funcionamiento.</t>
  </si>
  <si>
    <t>Equipamento municipal</t>
  </si>
  <si>
    <t>Construir un  Palacio Municipal en el cuatrienio.</t>
  </si>
  <si>
    <t>Palacio Municipal construido</t>
  </si>
  <si>
    <t>Realizar una dotación  de mobiliario a la Alcaldía Municipal en el cuatrienio</t>
  </si>
  <si>
    <t>Número de dotaciones de mobiliario realizadas a la Alcaldía Municipal</t>
  </si>
  <si>
    <t>Gestionar y/o crear, construir, adecuar, dotar el coso municipal en el cuatrienio</t>
  </si>
  <si>
    <t>Coso municipal construido, adecuado y/o dotado</t>
  </si>
  <si>
    <t>Mantener y/o adecuar las instalaciones de dos Cementerios en el municipio en cuatrienio.</t>
  </si>
  <si>
    <t xml:space="preserve">Número de cementerios mantenidos y/o adecuados </t>
  </si>
  <si>
    <t>Construcción de una galería municipal en el cuatrienio.</t>
  </si>
  <si>
    <t>Galería municipal construida</t>
  </si>
  <si>
    <t>Gestionar y/o construir un mega parque en el municipio en el cuatrienio.</t>
  </si>
  <si>
    <t>Mega parque gestionado y/o construido</t>
  </si>
  <si>
    <t>Gestionar, Fortalecer y/o dotar en el cuatrienio una planta de beneficio bovino y porcino en el municipio.</t>
  </si>
  <si>
    <t>Planta de beneficio bovino y porcino fortalecida y/o dotada</t>
  </si>
  <si>
    <t>Mejorar  la red vial en un 50%</t>
  </si>
  <si>
    <t>Porcentaje de red vial mejorados</t>
  </si>
  <si>
    <t>250 Km de vías</t>
  </si>
  <si>
    <t>VÍAS</t>
  </si>
  <si>
    <t>Construir, mantener y/o mejorar anualmente 50 km de vías urbanas y rurales del municipio</t>
  </si>
  <si>
    <t>Número de km de vías construidos, mantenidos y/o mejorados</t>
  </si>
  <si>
    <t xml:space="preserve">  50 km </t>
  </si>
  <si>
    <t xml:space="preserve"> 50 km </t>
  </si>
  <si>
    <t xml:space="preserve"> 50 km  </t>
  </si>
  <si>
    <t>Aumentar en un 40%  la cobertura de kilómetros de red vial terciaria mantenidos y mejorados en el cuatrienio</t>
  </si>
  <si>
    <t>Kilómetros de vías terciarias mantenidos y mejorados</t>
  </si>
  <si>
    <t>Realizar un programa anual de construcción de obras de artes</t>
  </si>
  <si>
    <t>Número de programas de obra de arte realizados</t>
  </si>
  <si>
    <t>Aumentar la cobertura en 88% del servicio de gas natural en la zona urbana</t>
  </si>
  <si>
    <t>% de cobertura en servicio de gas natural en la zona urbana</t>
  </si>
  <si>
    <t>SERVICIOS MASIVOS DOMICILIARIOS</t>
  </si>
  <si>
    <t>Ampliar en 8% el servicio de gas natural en la zona urbana en el cuatrienio</t>
  </si>
  <si>
    <t>% de ampliación del servicio de gas natural</t>
  </si>
  <si>
    <t>Secretaría de  Planeación y Obras</t>
  </si>
  <si>
    <t>Aumentar la cobertura en 23% del servicio de gas natural en la zona rural</t>
  </si>
  <si>
    <t>% de cobertura en servicio de gas natural en la zona rural</t>
  </si>
  <si>
    <t>Ampliar en 8% el servicio de gas natural en la zona rural en el cuatrienio</t>
  </si>
  <si>
    <t>Aumentar en un 100% la cobertura en el servicio de energía eléctrica</t>
  </si>
  <si>
    <t xml:space="preserve">% de cobertura en servicio de energía eléctrica en la zona urbana </t>
  </si>
  <si>
    <t>Ampliar en 2% el servicio de energía eléctrica en la zona urbana en el cuatrienio</t>
  </si>
  <si>
    <t>% de ampliación del servicio de energía eléctrica en la zona urbana</t>
  </si>
  <si>
    <t>Aumentar la cobertura en 65.56% del servicio de energía eléctrica en la zona rural</t>
  </si>
  <si>
    <t>% de cobertura en servicio de energía eléctrica en la zona rural</t>
  </si>
  <si>
    <t xml:space="preserve">65.56% </t>
  </si>
  <si>
    <t>Ampliar en 10% el servicio de energía eléctrica en la zona rural en el cuatrienio</t>
  </si>
  <si>
    <t>% de ampliación del servicio de energía eléctrica en la zona rural</t>
  </si>
  <si>
    <t>Aumentar la cobertura en 83.1% del servicio de alumbrado público en la zona urbana</t>
  </si>
  <si>
    <t>% de cobertura del servicio de alumbrado público en la zona urbana</t>
  </si>
  <si>
    <t>78.1%</t>
  </si>
  <si>
    <t>83.1%</t>
  </si>
  <si>
    <t>Gestionar y/o aumentar en 5% el servicio de alumbrado público en la zona urbana</t>
  </si>
  <si>
    <t>% de alumbrado público en la zona urbana gestionado y/o aumentado</t>
  </si>
  <si>
    <t>GESTIÓN DEL RIESGO Y ORDENAMIENTO TERRITORIAL</t>
  </si>
  <si>
    <t>Optimizar el desempeño municipal en la gestión del riesgo, prevención, mitigación y  protección
en la gestión integral del riesgo</t>
  </si>
  <si>
    <t>% de desempeño municipal en la gestión del riesgo</t>
  </si>
  <si>
    <t>1.272 ayudas entregadas en el cuatrienio anterior</t>
  </si>
  <si>
    <t>Implementar un programa de Gestión del Riesgo en las  instituciones educativas del municipio anualmente</t>
  </si>
  <si>
    <t>Número de programas  programa de Gestión del Riesgo  implementados</t>
  </si>
  <si>
    <t xml:space="preserve">Gestionar  y/o crear   las redes de monitoreo y alerta temprana en el municipio, durante el cuatrienio
</t>
  </si>
  <si>
    <t>Número de redes de monitoreo  gestionadas  y/o creadas</t>
  </si>
  <si>
    <t>Crear y Fortalecer el Consejo Municipal de Gestión del Riesgo de Desastres en el cuatrienio</t>
  </si>
  <si>
    <t>Consejo Municipal de Gestión del Riesgo de Desastres creado y fortalecido</t>
  </si>
  <si>
    <t>Formular el Plan Municipal para la Gestión del Riesgo en el cuatrienio</t>
  </si>
  <si>
    <t>Plan Municipal de Gestión del Riesgo formulado</t>
  </si>
  <si>
    <t>Implementar un programa de capacitación  a 30 Líderes comunitarios anualmente,  en temas relacionados con la prevención y atención de desastres.</t>
  </si>
  <si>
    <t>Número de líderes comunicatorios capacitados</t>
  </si>
  <si>
    <t>Fortalecer  a los distintos cuerpos operativos de socorro  en el municipio en el cuatrienio</t>
  </si>
  <si>
    <t>Número de cuerpos operativos de socorro fortalecidos</t>
  </si>
  <si>
    <t>Crear y/o fortalecer  el  Plan Local de Emergencias y Contingencias (PLEC) durante el cuatrienio</t>
  </si>
  <si>
    <t>PLEC creado  y/o fortalecido</t>
  </si>
  <si>
    <t>Gestionar y/o implementar un programa de atención integral en caso de desastres en el cuatrienio</t>
  </si>
  <si>
    <t>Número de programas de atención integral en caso de desastre gestionados y/o implementados</t>
  </si>
  <si>
    <t>Crear y/o actualizar el mapa de riesgos y de zonificación de amenazas durante el cuatrienio</t>
  </si>
  <si>
    <t>Mapa de riesgos y de zonificación de amenaza creado y/o actualizado</t>
  </si>
  <si>
    <t>UNA ADMINISTRACIÓN EFICIENTE PARA TODOS</t>
  </si>
  <si>
    <t>GOBERNABILIDAD</t>
  </si>
  <si>
    <t>Aumentar la seguridad en el municipio</t>
  </si>
  <si>
    <t>% de aumento de seguridad en el municipio</t>
  </si>
  <si>
    <t>9 Secuestros  
3 muertes violentas 
12 Lesiones personales 
7 Desapariciones forzosa</t>
  </si>
  <si>
    <t>Implementar un programa de seguridad para el municipio en el cuatrienio</t>
  </si>
  <si>
    <t>Número de programas de seguridad implementadas</t>
  </si>
  <si>
    <t>Gestionar el aumento de pie de fuerza en el municipio  en el cuatrienio</t>
  </si>
  <si>
    <t>Porcentaje de gestión del pie de fuerza aumentado</t>
  </si>
  <si>
    <t>Implementar un sistema de seguridad a través de cámaras de seguridad en el cuatrienio</t>
  </si>
  <si>
    <t>Sistema de seguridad de cámaras implementado</t>
  </si>
  <si>
    <t>Fortalecer  los cuerpos de seguridad en el municipio anualmente</t>
  </si>
  <si>
    <t>Cuerpos de seguridad fortalecidos</t>
  </si>
  <si>
    <t>Formular e implementar el Manual de Convivencia y Seguridad ciudadana del municipio en el cuatrienio</t>
  </si>
  <si>
    <t>Manual de Convivencia y Seguridad ciudadana formulado e implementado</t>
  </si>
  <si>
    <t>Apoyar un programa de derechos humanos, derecho internacional, justicia transicional y minas antipersonas anualmente</t>
  </si>
  <si>
    <t>Número de programas de derechos humanos, derecho internacional, justicia transicional y minas antipersonas apoyados</t>
  </si>
  <si>
    <t>FORTALECIMIENTO INSTITUCIONAL Y FINANCIERO</t>
  </si>
  <si>
    <t>Optimizar en un 60% los procesos de la administración pública</t>
  </si>
  <si>
    <t>% de optimización de los procesos de la administración pública</t>
  </si>
  <si>
    <t>Diseñar e implementar un Sistema de indicadores basados en el balance Score Card que permita medir la gestión municipal en el cuatrienio</t>
  </si>
  <si>
    <t>Sistema de indicadores diseñado e implementado</t>
  </si>
  <si>
    <t>Realizar un proceso de restructuración administrativa en el cuatrienio</t>
  </si>
  <si>
    <t>Proceso de restructuración administrativa realizado</t>
  </si>
  <si>
    <t>Ajuste y/o revisión  del Estatuto Orgánico de Presupuesto Municipal en el cuatrienio</t>
  </si>
  <si>
    <t>Estatuto Orgánico de Presupuesto Municipal ajustado y/o revisado</t>
  </si>
  <si>
    <t>Secretaría de Hacienda</t>
  </si>
  <si>
    <t>Adquisición de un software para realizar el seguimiento y monitoreo del plan de desarrollo en el cuatrienio</t>
  </si>
  <si>
    <t>Software de seguimiento y monitoreo adquirido</t>
  </si>
  <si>
    <t>Realizar una actualización catastral en el cuatrienio</t>
  </si>
  <si>
    <t>Número de actualizaciones catastrales realizadas</t>
  </si>
  <si>
    <t xml:space="preserve">Liderar un programa de gestión de calidad (GP1000) en la administración Municipal en el cuatrienio
</t>
  </si>
  <si>
    <t>Programa de gestión de la calidad liderado e implementado</t>
  </si>
  <si>
    <t>Fortalecer el Modelo Estándar de Control Interno - MECI de la alcaldía Municipal en el cuatrienio</t>
  </si>
  <si>
    <t>MECI fortalecido</t>
  </si>
  <si>
    <t>Fortalecer el Banco de Programas y Proyectos de Inversión municipal anualmente</t>
  </si>
  <si>
    <t>Banco de Programas y Proyectos de Inversión fortalecido</t>
  </si>
  <si>
    <t>Revisar y/o ajustar el sistema de nomenclatura del municipio en el cuatrienio</t>
  </si>
  <si>
    <t>Sistema nomenclatura revisado y/o ajustado</t>
  </si>
  <si>
    <t>Realizar un monitoreo, seguimiento y evaluación del Plan de Desarrollo como instrumento estratégico de la rendición de cuentas anualmente</t>
  </si>
  <si>
    <t>Número de monitoreos, seguimientos y evaluaciones del Plan de Desarrollo realizadas</t>
  </si>
  <si>
    <t xml:space="preserve">Realizar un programa anual de bienestar social para los funcionarios de la Alcaldía Municipal
</t>
  </si>
  <si>
    <t>Número de programas de bienestar social para los funcionarios realizados</t>
  </si>
  <si>
    <t>Ajustar y/o revisar el Estatuto de Rentas  municipal en el cuatrienio</t>
  </si>
  <si>
    <t>Estatuto de Renta municipal ajustado y/o revisado</t>
  </si>
  <si>
    <t>Diseñar y Formular un Plan de Visión Estratégica del municipio en el cuatrienio</t>
  </si>
  <si>
    <t>Número de Plan de Visión Estratégica diseñados y/o formulados</t>
  </si>
  <si>
    <t>Diseñar e implementar un programa anual de defensa jurídica del municipio</t>
  </si>
  <si>
    <t>Número de programas de defensa jurídica diseñado e implementado</t>
  </si>
  <si>
    <t>Fortalecer y/o Implementar  un programa de digitalización del archivo municipal anualmente</t>
  </si>
  <si>
    <t>Número de programas de digitalización del archivo municipal  fortalecidos y/o implementados</t>
  </si>
  <si>
    <t xml:space="preserve">Implementar un sistema de información municipal en el cuatrienio
</t>
  </si>
  <si>
    <t>Sistema de información  municipal implementado</t>
  </si>
  <si>
    <t xml:space="preserve">Realizar una actualización de la estratificación socioeconómica del municipio en el cuatrienio
</t>
  </si>
  <si>
    <t>Actualización de estratificación socioeconómica del municipio realizada</t>
  </si>
  <si>
    <t xml:space="preserve">Implementar  un programa anual de salud ocupacional en la Alcaldía Municipal
</t>
  </si>
  <si>
    <t>Número de programas de salud ocupacional implementados</t>
  </si>
  <si>
    <t>Implementar un programa de capacitación continua a los funcionarios de la Alcaldía Municipal anualmente</t>
  </si>
  <si>
    <t>Número de programas de capacitación continua a funcionarios implementados</t>
  </si>
  <si>
    <t>Implementar un software para el manejo del régimen subsidiado en el cuatrienio</t>
  </si>
  <si>
    <t>Software para el régimen subsidiado implementado</t>
  </si>
  <si>
    <t>Implementar y/o fortalecer un programa de Tics en la administración pública durante el cuatrienio</t>
  </si>
  <si>
    <t>Número de programas de Tics en la administración pública implementados y/o fortalecidos</t>
  </si>
  <si>
    <t>Apoyar un programa integral de espacios y de defensa al consumidor anualmente de acuerdo a la normas vigentes</t>
  </si>
  <si>
    <t>Números de programas integral de espacios de defensa al consumidor apoyados</t>
  </si>
  <si>
    <t>Implementar un sistema de gestión integrado financiero en la Alcaldía Municipal en el cuatrienio</t>
  </si>
  <si>
    <t>Sistema de gestión integrado financiero implementado</t>
  </si>
  <si>
    <t>Incrementar en un 4% los ingresos corrientes de libre destinación (ICLD) anualmente</t>
  </si>
  <si>
    <t>Porcentaje de ingresos corrientes de libre destinación (ICLD) incrementados</t>
  </si>
  <si>
    <t>Fortalecer el programa de Gobierno en Línea y reducción de trámites en el cuatrienio</t>
  </si>
  <si>
    <t>Programa de Gobierno en Línea y reducción de tramites fortalecido</t>
  </si>
  <si>
    <t>Organizar y fortalecer el archivo de impuestos de los contribuyentes del municipio en el cuatrienio</t>
  </si>
  <si>
    <t>Archivo de impuestos de los contribuyentes organizado y fortalecido</t>
  </si>
  <si>
    <t>Implementar un sistema de quejas y reclamos vía internet en el cuatrienio</t>
  </si>
  <si>
    <t>Sistema de quejas y reclamos vía internet implementado</t>
  </si>
  <si>
    <t>Apoyar y/o implementar un programa de Fortalecimiento Institucional anualmente</t>
  </si>
  <si>
    <t>Número de programas de fortalecimiento Institucional apoyados y/o implementados</t>
  </si>
  <si>
    <t>PARTICIPACIÓN COMUNITARIA</t>
  </si>
  <si>
    <t>Fomentar la participación ciudadana en los procesos de administración pública</t>
  </si>
  <si>
    <r>
      <rPr>
        <strike/>
        <sz val="10"/>
        <color indexed="8"/>
        <rFont val="Candara"/>
        <family val="2"/>
      </rPr>
      <t>%</t>
    </r>
    <r>
      <rPr>
        <sz val="10"/>
        <color indexed="8"/>
        <rFont val="Candara"/>
        <family val="2"/>
      </rPr>
      <t xml:space="preserve"> de fomento de la participación en los procesos de la Administración Municipal</t>
    </r>
  </si>
  <si>
    <t>13% Participación zona  urbana</t>
  </si>
  <si>
    <t>Apoyar los entes que representan a la comunidad como Juntas de Acción Comunal (JAC), Mesas de trabajo y Consejo Territorial de Planeación anualmente</t>
  </si>
  <si>
    <t>Entes que representan a la comunidad como Juntas de Acción Comunal (JAC), Mesas de trabajo y Consejo Territorial de Planeación apoyados</t>
  </si>
  <si>
    <t>Crear políticas de recuperación para las libertades públicas, de la libre opinión en el cuatrienio</t>
  </si>
  <si>
    <t>Número de políticas de recuperación para las libertades públicas, de la libre opinión creadas</t>
  </si>
  <si>
    <t>Realizar una rendición de cuentas anualmente</t>
  </si>
  <si>
    <t>Número de rendición de cuentas realizadas</t>
  </si>
  <si>
    <t>Apoyar y/o fortalecer la Junta Municipal defensora de Animales anualmente</t>
  </si>
  <si>
    <t>Junta municipal defensora de animales apoya y/o fortalecida</t>
  </si>
  <si>
    <t>Apoyar los mecanismos participación social a través de las Tics en el cuatrienio</t>
  </si>
  <si>
    <t>Mecanismos participación social a través de las Tics apoyados</t>
  </si>
  <si>
    <t>DERECHOS HUMANOS</t>
  </si>
  <si>
    <t>Disminuir la violación de los derechos humano</t>
  </si>
  <si>
    <t>% de disminución de la violación de los derechos humano</t>
  </si>
  <si>
    <t>7 Desapariciones forzosas</t>
  </si>
  <si>
    <t>Realizar 2 campañas anuales de promoción, prevención, protección y el respeto a los derechos  DDHH Y DIH anualmente</t>
  </si>
  <si>
    <t>Número de campañas anuales de promoción, prevención, protección y el respeto a los derechos  DDHH Y DIH realizadas</t>
  </si>
  <si>
    <t>Diseñar e implementar dos proyectos pedagógicos para la promoción, aplicación y seguimiento al respeto de los derechos humanos anualmente</t>
  </si>
  <si>
    <t>Número de proyectos pedagógicos  para la promoción, aplicación y seguimiento al respeto de los derechos humanos diseñados</t>
  </si>
  <si>
    <t>Gestionar y/o Elaborar y fomentar el Programa “Minas Antipersona” en el cuatrienio</t>
  </si>
  <si>
    <t>Programa de minas antipersona elaborado y fomentado</t>
  </si>
  <si>
    <t>Apoyar y/o implementar un programa de sensibilización y promoción de los derechos y deberes democráticos anualmente</t>
  </si>
  <si>
    <t>Número de programas de sensibilización y promoción de los derechos y deberes democráticos apoyados y/o implementados</t>
  </si>
  <si>
    <t>UN DESARROLLO ECONÓMICO SOSTENIBLE PARA TODOS</t>
  </si>
  <si>
    <t>OPORTUNIDADES PARA EL EMPLEO Y DESARROLLO ECONÓMICO</t>
  </si>
  <si>
    <t>Apoyar o fortalecer a mínimo un 30% de los micro empresarios y pequeños negocios del municipio.</t>
  </si>
  <si>
    <t>% de microempresarios y pequeños negocios apoyados o fortalecidos</t>
  </si>
  <si>
    <t>Gestionar la implementación de una convocatoria cerrada en el municipio en alianza con el Fondo Emprender del Sena en el cuatrienio</t>
  </si>
  <si>
    <t>Convocatoria cerrada Fondo Emprender gestionada</t>
  </si>
  <si>
    <t>Realizar y/o implementar anualmente un programa de emprendimiento en las instituciones educativas</t>
  </si>
  <si>
    <t>Número de programas de emprendimiento realizados y/o implementados en las instituciones educativas</t>
  </si>
  <si>
    <t>Gestionar la creación del Fondo Agroindustrial y Comercial del Municipio en el cuatrienio.</t>
  </si>
  <si>
    <t>Fondo Agroindustrial y Comercial  gestionado para su creación.</t>
  </si>
  <si>
    <t>Crear y poner en marcha el Banco de la Palabra "Todos con oportunidades" en el cuatrienio.</t>
  </si>
  <si>
    <t>Banco de la Palabra "Todos con oportunidades"  creado y en marcha</t>
  </si>
  <si>
    <t>Implementar un programa de capacitación y organización financiera y contable a microempresarios del municipio anualmente.</t>
  </si>
  <si>
    <t>Número de programas de capacitación y organización financiera y contable a microempresarios implementados</t>
  </si>
  <si>
    <t>Gestionar y/o Promover la realización de una Rueda de negocios con el sector minero en el cuatrienio.</t>
  </si>
  <si>
    <t>Rueda de negocios realizada</t>
  </si>
  <si>
    <t>DESARROLLO AGROPECUARIO</t>
  </si>
  <si>
    <t>Garantizar que aproximadamente el 60% de la población dedicada a actividades agropecuarias se beneficie con programas y estrategias que permitan reducir la pobreza rural en el municipio en el cuatrienio.</t>
  </si>
  <si>
    <t xml:space="preserve">% de población dedicada a actividades agropecuarias beneficiada con programas y estrategias que permitan reducir la pobreza rural en el cuatrienio. </t>
  </si>
  <si>
    <t>Diseñar e implementar un Plan estratégico de apuestas productivas, promisorias, agropecuarias y agroindustriales en el cuatrienio</t>
  </si>
  <si>
    <t>Plan estratégico Agropecuario implementado</t>
  </si>
  <si>
    <t>Gestionar y/o brindar asistencia Técnica directa rural a 600 pequeños y medianos productores del municipio en el cuatrienio</t>
  </si>
  <si>
    <t>Número de pequeños y medianos productores del municipio a los cuales se les brinda asistencia Técnica directa rural</t>
  </si>
  <si>
    <t>Elaborar un estudio semidetallado del suelo del municipio y de tipificación de suelos y pisos térmicos del municipio en el cuatrienio.</t>
  </si>
  <si>
    <t>Estudio semidetallado y de tipificación del suelo elaborado</t>
  </si>
  <si>
    <t>Brindar capacitaciones de transferencia de tecnología que beneficie a mínimo 50 técnicos y productores del municipio en el cuatrienio.</t>
  </si>
  <si>
    <t>Número de técnicos y pequeños y medianos productores capacitados.</t>
  </si>
  <si>
    <t>Apoyar la implementación de la Estrategia Nacional de Superación de Pobreza Extrema- Red UNIDOS promoviendo familias rurales en el cuatrienio</t>
  </si>
  <si>
    <t>Número de estrategias de la Red UNIDOS implementadas.</t>
  </si>
  <si>
    <t>Crear y/o  fortalecer 5 formas asociativas del sector agropecuario en el cuatrienio</t>
  </si>
  <si>
    <t>Número de organizaciones creadas y/o fortalecidas</t>
  </si>
  <si>
    <t>Apoyar y/o implementar 50 patios o parcelas productivas en el cuatrienio.</t>
  </si>
  <si>
    <t>Número de patios o parcelas productivas apoyadas y/o implementadas.</t>
  </si>
  <si>
    <t>Gestionar y/o realizar en el cuatrienio el diseño, construcción y puesta en marcha de una granja integral auto sostenible.</t>
  </si>
  <si>
    <t>Número de granjas integrales auto sostenibles en marcha.</t>
  </si>
  <si>
    <t>Gestionar y/o crear un Banco de maquinaria agrícola en el cuatrienio</t>
  </si>
  <si>
    <t>Número de bancos de maquinaria agrícola gestionados y/o creados</t>
  </si>
  <si>
    <t>Gestionar y/o realizar la construcción y/o rehabilitación de 2 alternativas para el manejo del recurso hídrico en el cuatrienio</t>
  </si>
  <si>
    <t>Número de proyectos que brinden alternativas de suministro de recurso hídrico implementados</t>
  </si>
  <si>
    <t>Gestionar y/o diseñar un Sistema de Información Geográfico agropecuario municipal en el cuatrienio</t>
  </si>
  <si>
    <t>SIG implementado</t>
  </si>
  <si>
    <t>MINERÍA</t>
  </si>
  <si>
    <t>Fomentar la implementación y ejecución de estrategias bajo el enfoque de Minería Responsable en el municipio</t>
  </si>
  <si>
    <t>Número de estrategias implementadas o ejecutadas bajo el modelo de Minería responsable.</t>
  </si>
  <si>
    <t>3 estrategias</t>
  </si>
  <si>
    <t>Gestionar la construcción de un Parque Industrial Minero en el municipio en el cuatrienio</t>
  </si>
  <si>
    <t>Parque Industrial Minero gestionado para su construcción</t>
  </si>
  <si>
    <t>Gestionar la creación de un Distrito Minero Competitivo en la zona centro del Departamento en el cuatrienio.</t>
  </si>
  <si>
    <t>Distrito Minero Competitivo gestionado para su creación</t>
  </si>
  <si>
    <t>Realizar 7 controles y vigilancias de los proyectos mineros y de material de arrastre de las fuentes hídricas del municipio en el cuatrienio.</t>
  </si>
  <si>
    <t>Número de controles y vigilancias de los proyectos mineros y de material de arrastre de las fuentes hídricas realizados</t>
  </si>
  <si>
    <t>CIENCIA, TECNOLOGÍA E INNOVACIÓN</t>
  </si>
  <si>
    <t>Fomentar y desarrollar  la ciencia, tecnología e innovación en el municipio en un 20%</t>
  </si>
  <si>
    <t>% de ciencia, tecnología e innovación fomentada</t>
  </si>
  <si>
    <t>Gestionar y/o Conformar 5 semilleros de investigación en las instituciones educativas durante el cuatrienio</t>
  </si>
  <si>
    <t>Número de semilleros de investigación conformados y/o gestionados</t>
  </si>
  <si>
    <t>Gestionar y/o Crear el fondo municipal para el fomento e incentivo al desarrollo de los procesos de investigación, ciencia, tecnología e innovación durante el cuatrienio</t>
  </si>
  <si>
    <t>Fondo municipal gestionado y/o creado</t>
  </si>
  <si>
    <t>Gestionar y/o implementar un programa de Telemedicina y digitalización de las historias clínicas</t>
  </si>
  <si>
    <t>Programa de Telemedicina y digitalización de las historias clínicas gestionado y/o implementado</t>
  </si>
  <si>
    <t>Gestionar y/o realizar  3 procesos o proyectos  de transferencia de tecnología durante el cuatrienio</t>
  </si>
  <si>
    <t>Número de procesos o proyectos de transferencia de tecnología gestionados y /o realizados</t>
  </si>
  <si>
    <t>Estimular la presentación y/o ejecución de 4 proyectos de ciencia y tecnología, investigación aplicada e/o innovación a convocatorias del nivel regional, nacional e internacional en el cuatrienio</t>
  </si>
  <si>
    <t>Número de proyectos presentados y ejecutados</t>
  </si>
  <si>
    <t>TURISMO</t>
  </si>
  <si>
    <t>Garantizar que el 10% de la población en etapa productiva reciba ingresos del desarrollo del sector turístico.</t>
  </si>
  <si>
    <t>% de población jagüera en etapa productiva que reciben ingresos por desarrollar actividades en el sector turístico del municipio.</t>
  </si>
  <si>
    <t>Brindar 3 capacitaciones a los prestadores de servicios turísticos en el cuatrienio.</t>
  </si>
  <si>
    <t>Número de capacitaciones a los prestadores de servicios turísticos desarrolladas</t>
  </si>
  <si>
    <t>Realizar 2 jornadas para fomentar la inscripción de los prestadores de servicios turísticos en el Registro Nacional de Turismo en el cuatrienio.</t>
  </si>
  <si>
    <t>Número de jornadas para fomentar la inscripción de los prestadores de servicios turísticos en el Registro Nacional de Turismo realizadas.</t>
  </si>
  <si>
    <t>Realizar una jornada anual de mantenimiento de los sitios turísticos frecuentados por los habitantes del municipio.</t>
  </si>
  <si>
    <t>Número de jornadas de  mantenimiento realizadas</t>
  </si>
  <si>
    <t>Gestionar y/o Elaborar en el cuatrienio un Plan de Desarrollo Turístico, que permita aprovechar las bondades ecológicas y agrológicas del municipio.</t>
  </si>
  <si>
    <t>Plan de Desarrollo Turístico gestionado y/o elaborado para el municipio.</t>
  </si>
  <si>
    <t>Implementar un programa de Turismo Ecológico en el cuatrienio</t>
  </si>
  <si>
    <t>Programa de Turismo ecológico implementado</t>
  </si>
  <si>
    <t>RUBROS PRESUPUESTALES</t>
  </si>
  <si>
    <t>SISTEMA GENERAL DE PARTICIPACIONES</t>
  </si>
  <si>
    <t>ICLD</t>
  </si>
  <si>
    <t>REGALIAS</t>
  </si>
  <si>
    <t xml:space="preserve">ESTAMPILLAS </t>
  </si>
  <si>
    <t>RENDIMIENTOS FINANCIEROS</t>
  </si>
  <si>
    <t>OTROS</t>
  </si>
  <si>
    <t>TOTAL RECURSOS</t>
  </si>
  <si>
    <t>SGP SALUD REG SUB CONT</t>
  </si>
  <si>
    <t>SGP  SALUD PUBLICA</t>
  </si>
  <si>
    <t>SGP EDUCACION</t>
  </si>
  <si>
    <t>SGP EDUCACION GRATUIDAD</t>
  </si>
  <si>
    <t>SGP ALIMENTACION</t>
  </si>
  <si>
    <t>SGP AGUA POTABLE</t>
  </si>
  <si>
    <t>SGP DEPORTE</t>
  </si>
  <si>
    <t>SGP CULTURA</t>
  </si>
  <si>
    <t>SGP OTROS SEC</t>
  </si>
  <si>
    <t>SGP LIBRE ASIG</t>
  </si>
  <si>
    <t xml:space="preserve">REGALIAS PRIORIZADOS </t>
  </si>
  <si>
    <t>ALUMBRADO PUBLICO</t>
  </si>
  <si>
    <t>RECURSOS ICLD</t>
  </si>
  <si>
    <t>ESTRATEGIA RED JUNTOS</t>
  </si>
  <si>
    <t>COMPARENDO AMBIENTAL</t>
  </si>
  <si>
    <t>IMPTO CONSUMO CIGARRILLO</t>
  </si>
  <si>
    <t>FONDO DE SEGURIDAD 5%</t>
  </si>
  <si>
    <t>FUNCIONAMIENTO</t>
  </si>
  <si>
    <t>TRANSF DEL SECTOR ELECTRICO</t>
  </si>
  <si>
    <t>ENCARGO FIDUC DE REGALIAS</t>
  </si>
  <si>
    <t>TRANSF  FONPET ESTAMPILAS</t>
  </si>
  <si>
    <t>TRANSF  FONPET REGALIAS</t>
  </si>
  <si>
    <t>TRANSF FONDO CONTINGENCIA</t>
  </si>
  <si>
    <t>GASTOS</t>
  </si>
  <si>
    <t>APORTES DEPART  SALUD</t>
  </si>
  <si>
    <t>SUBTOTAL VIDA SALUDABLE PARA TODOS</t>
  </si>
  <si>
    <t>SUBTOTAL  EDUCACION</t>
  </si>
  <si>
    <t>SUBTOTAL   RECREACIÓN Y DEPORTE</t>
  </si>
  <si>
    <t>SUBTOTAL CULTURA</t>
  </si>
  <si>
    <t>SUBTOTAL VÍCTIMAS DEL CONFLICTO</t>
  </si>
  <si>
    <t>SUBTOTAL ADULTO MAYOR</t>
  </si>
  <si>
    <t>SUBTOTAL AFRODESCENDIENTES</t>
  </si>
  <si>
    <t>SUBTOTAL DISCAPACITADOS</t>
  </si>
  <si>
    <t>SUBTOTAL EQUIDAD DE GÉNERO</t>
  </si>
  <si>
    <t>SUBTOTAL POBLACIÓN LGBT</t>
  </si>
  <si>
    <t xml:space="preserve">SUBTOTAL AMANECERES DE LA INFANCIA, ADOLESCENCIA Y JUVENTUD </t>
  </si>
  <si>
    <t>SUBTOTAL  AGUA POTABLE Y SANEAMIENTO BÁSICO</t>
  </si>
  <si>
    <t>TOTAL  EJE UN DESARROLLO SOCIAL PARA TODOS</t>
  </si>
  <si>
    <t>SUBTOTAL  POR UN AMBIENTE SALUDABLE</t>
  </si>
  <si>
    <t>SUBTOTAL VIVIENDA</t>
  </si>
  <si>
    <t xml:space="preserve">SUBTOTAL  DESARROLLO URBANO </t>
  </si>
  <si>
    <t>SUBTOTAL  EQUIPAMENTO MUNICIPAL</t>
  </si>
  <si>
    <t>SUBTOTAL  VÍAS</t>
  </si>
  <si>
    <t>SUBTOTAL SERVICIOS MASIVOS DOMICILIARIOS</t>
  </si>
  <si>
    <t>SUBTOTAL  GESTIÓN DEL RIESGO Y ORDENAMIENTO TERRITORIAL</t>
  </si>
  <si>
    <t>TOTAL  EJE AMBIENTES SALUDABLES PARA TODOS</t>
  </si>
  <si>
    <t>SUBTOTAL  GOBERNABILIDAD</t>
  </si>
  <si>
    <t>SUBTOTAL FORTALECIMIENTO INSTITUCIONAL Y FINANCIERO</t>
  </si>
  <si>
    <t>SUBTOTAL PARTICIPACIÓN COMUNITARIA</t>
  </si>
  <si>
    <t>SUBTOTAL DERECHOS HUMANOS</t>
  </si>
  <si>
    <t>TOTAL  EJE  UNA ADMINISTRACIÓN EFICIENTE PARA TODOS</t>
  </si>
  <si>
    <t>SUBTOTAL  OPORTUNIDADES PARA EL EMPLEO Y DESARROLLO ECONÓMICO</t>
  </si>
  <si>
    <t>SUBTOTAL   DESARROLLO AGROPECUARIO</t>
  </si>
  <si>
    <t>SUBTOTAL MINERÍA</t>
  </si>
  <si>
    <t>SUBTOTAL  CIENCIA, TECNOLOGÍA E INNOVACIÓN</t>
  </si>
  <si>
    <t>SUBTOTAL TURISMO</t>
  </si>
  <si>
    <t>GRAN TOTAL LINEAMIENTOS</t>
  </si>
  <si>
    <t>DIFERENCIA</t>
  </si>
  <si>
    <t>TOTAL  EJE   UN DESARROLLO ECONÓMICO SOSTENIBLE PARA TODOS</t>
  </si>
  <si>
    <t>OTRAS TRANSFE X FUNCIONAMI</t>
  </si>
  <si>
    <t xml:space="preserve">REGALIAS </t>
  </si>
  <si>
    <t>PRIMERA INFANCIA</t>
  </si>
  <si>
    <t>Salud Publica (Intervenciones Colectivas)</t>
  </si>
  <si>
    <t>Transporte Escolar</t>
  </si>
  <si>
    <t>Alimentacion Escolar</t>
  </si>
  <si>
    <t>Cobertura del Regimen Subsidiado SSF</t>
  </si>
  <si>
    <t>Promocion y Prevencion de Salud</t>
  </si>
  <si>
    <t>Programa de Reduccion de la Mortalidad Infantil</t>
  </si>
  <si>
    <t>Otras Acciones en Salud Publica, Formulacion Politicas Publicas y Otras Estrategias en Salud Publica.</t>
  </si>
  <si>
    <t>Atencion integral de enfermedades prevalentes de la infancia e implementacion de estrategias de atencion  primarias en salud y otras acciones en salud publica</t>
  </si>
  <si>
    <t>Dotacion de Equipos para la Atencion en Salud</t>
  </si>
  <si>
    <t>Construccion de Escenarios Deportivos y/o Villa Olimpica y Dotacion de Parques</t>
  </si>
  <si>
    <t>Construccion y Mejoramiento de la Infraestructura Cultural del Municipio</t>
  </si>
  <si>
    <t>Recuperacion de la Memoria Cultural del Municipio</t>
  </si>
  <si>
    <t>Implementacion Sistema de Gestion Ambiental Municipal (SIGAM)</t>
  </si>
  <si>
    <t>Programa de Emprendimiento "Todos con Oportunidades"</t>
  </si>
  <si>
    <t>Acciones Humanitarias</t>
  </si>
  <si>
    <t>Verdad, Justicia y Reparacion</t>
  </si>
  <si>
    <t>Actividades Ludico Recreativas y Estilos Vida Saludable</t>
  </si>
  <si>
    <t>Dotacion del Hogar de Paso</t>
  </si>
  <si>
    <t>Fortalecimiento y Apoyo para la Participacion Ciudadana en Mecanismos de Promocion de Deberes y Derechos  y Juntas de Accion Comunal y Veedurias Ciudadanas</t>
  </si>
  <si>
    <t>Apoyo y Fortalecimiento de los Entes de Participacion de Planificacion Municipal y Gestion Territorial</t>
  </si>
  <si>
    <t>Capacitacion y Bienestar Social</t>
  </si>
  <si>
    <t>Fortalecimiento Banco de Programas y Proyectos de Inversion</t>
  </si>
  <si>
    <t>Fortalecimiento Fondo de Seguridad y Convivencia Ciudadana</t>
  </si>
  <si>
    <t>Fondo de Contingencias</t>
  </si>
  <si>
    <t>Programa Ley de Víctimas y Restitución de Tierras</t>
  </si>
  <si>
    <t>Dotación Hogar Múltiple</t>
  </si>
  <si>
    <t>Atención Integral a la Población LGBT</t>
  </si>
  <si>
    <t>Fortalecimiento Consejo de Juventud</t>
  </si>
  <si>
    <t>Atención Integral Jóvenes</t>
  </si>
  <si>
    <t>Legalización y Titulación de Predios.</t>
  </si>
  <si>
    <t>Estudios, Diseños, Proyectos, Construcción y mantenimiento  de Espacio Público  y Desarrollo Urbanístico</t>
  </si>
  <si>
    <t>Implementación del Plan de Convivencia Ciudadana.</t>
  </si>
  <si>
    <t>Programa de Politicas Publicas y Calidad Educativa y otras acciones estrategicas en educación</t>
  </si>
  <si>
    <t>Dotacion  De Textos, Mobiliarios, Material Tecnologico Ayudas Educativas Y Menaje Para Las Instituciones Educativa, nativos digitales, dotación en NTICs</t>
  </si>
  <si>
    <t>Estimulo Calidad y Pertinencia Educativa</t>
  </si>
  <si>
    <t>Mantenimiento  de Infraestructura Educativa</t>
  </si>
  <si>
    <t>Fomento, apoyo, promoción Educación Superior , técnica y técnologica</t>
  </si>
  <si>
    <t>Promoción de esquemas, alternativas y , acciones que beneficien a la población escolar</t>
  </si>
  <si>
    <t>Promoción , fortalecimiento de programas de bilinguismo , y fortalecimiento de masificación de la tecnólogia</t>
  </si>
  <si>
    <t>Servicios Públicos Intituciones educativas</t>
  </si>
  <si>
    <t>Mantenimiento de Escenarios Deportivos  y  Parques</t>
  </si>
  <si>
    <t>Apoyo y Fortalecimiento Actividades Ludico Recreativas Deportivas  y estrategias de fomento deportivo</t>
  </si>
  <si>
    <t xml:space="preserve">Dotaciones deportivas </t>
  </si>
  <si>
    <t xml:space="preserve">Formación, seguridad social  y Capacitación del Gestor Cultural </t>
  </si>
  <si>
    <t>Apoyo a Eventos Culturales y Festivales Locales, fomento plan de musica</t>
  </si>
  <si>
    <t>Mantenimieento y Mejoramiento de la Infraestructura Cultural del Municipio</t>
  </si>
  <si>
    <t>Desarrollo Economico Local,  gestión social, habitad  y apoyo integral a victimas</t>
  </si>
  <si>
    <t>Atencion Integral al Adulto Mayor - Comite Interdisciplinario, actividades ludicas entre otros</t>
  </si>
  <si>
    <t>Construcción, mejoramiento infraestructura que beneficie al adulto mayor</t>
  </si>
  <si>
    <t>Desarrollo Social , Economico e Integral y otras acciones estrategicas para Afrodescendientes</t>
  </si>
  <si>
    <t>Apoyo Integral y otras acciones estrategicas a la Poblacion Discapacitada</t>
  </si>
  <si>
    <t>Proteccion de derechos, Atención Integral a la Mujer,  Promoción de Iniciativas Empresariales y Generación de Ingresos de Mujeres, creación, fortalecimiento casa de la mujer</t>
  </si>
  <si>
    <t xml:space="preserve">Politícas Públicas de Atención Integral a la Primera Infancia y otras acciones estrátegicas  </t>
  </si>
  <si>
    <t>Apoyo a Programa de Red Unidos Familias en Acción</t>
  </si>
  <si>
    <t xml:space="preserve">Implementación de Planes, proyectos, Programas, eficiencia  y Acciones Estratégicas  de Gestión en la Prestación de Servicios Públicos </t>
  </si>
  <si>
    <t>Implementación Programa Uso y Ahorro Eficiente del Agua</t>
  </si>
  <si>
    <t>Reforestación De Cuencas Hidrograficas.</t>
  </si>
  <si>
    <t>Adquisición de Áreas de Interés para el Acueducto Municipal (Art. 106 Ley 1151/2007).</t>
  </si>
  <si>
    <t>Banco de tierras para vivienda</t>
  </si>
  <si>
    <t>procesos de actualización catastral</t>
  </si>
  <si>
    <t>Mejoramiento y Mantenimiento de Dependencias de la Administración y Dotación</t>
  </si>
  <si>
    <t>Mantenimiento y mejoramiento de Vías</t>
  </si>
  <si>
    <t>construcción, Ampliación, mejoramiento de la Red de Servicios de Gas Natural</t>
  </si>
  <si>
    <t>Educación para la Prevención y Atención de Desastres, Formulación e Implementación de los Planes de Emergencia y Contingencia</t>
  </si>
  <si>
    <t>Fortalecimientos a los Distintos Organismos de Prevención y Atención de Desastres</t>
  </si>
  <si>
    <t>Promoción  y Protección de los Derechos Humanos</t>
  </si>
  <si>
    <t>Sistemas de Seguimiento, Evaluación, Monitoreo y Construcción  de Instrumentos de Planificación Territorial</t>
  </si>
  <si>
    <t>Apoyo, Fortalecimiento Institucional , Asistencia Técnica,  Cientifica y Profesional para Mejorar la Gestión Administrativa</t>
  </si>
  <si>
    <t>Promoción y Protección de los Derechos Humanos</t>
  </si>
  <si>
    <t>Transferencia de Tecnólogia, Asistencia Técnica y Proyectos de Desarrollo Productivo</t>
  </si>
  <si>
    <t>Programas y Proyectos de Asistencia Técnica  agropecuaria</t>
  </si>
  <si>
    <t>Apoyo y Fomento a Proyectos Productivos,  Alianzas Productivas,  Estudios,Planes estrategicos, sistemas de información  y Preinversión en el Sector</t>
  </si>
  <si>
    <t>Adquisición Equipos Y Maquinaria Banco de Máquinaria del sector</t>
  </si>
  <si>
    <t>construcción, mejoramiento, rehabilitación, apoyo alternativas para el manejo del recurso hidrico</t>
  </si>
  <si>
    <t>Apoyo y Fomento a Proyectos Productivos,  Alianzas Productivas,  Estudios, y Preinversión en el Sector agropecuario</t>
  </si>
  <si>
    <t>Alianzas Estrátegicas con el Sector Minero y otras acciones  que fomenten el sector minero</t>
  </si>
  <si>
    <t>Apoyo, promoción Proyectos Integrales de Ciencia, Técnologia e Innvovación</t>
  </si>
  <si>
    <t>Promoción y  fortalecimiento del Desarrollo Turistico y planes estrátegicos, entre otros</t>
  </si>
  <si>
    <t>Formulación De Politicas Publicas, Estrategias Ambientales,estudios,  Programas De Reforestación, Rehabilitación Ambiental  Y Sensibilización Ambiental, programa familias guardabosques</t>
  </si>
  <si>
    <t>Prevención y Atención  De Desastres, entre otros</t>
  </si>
  <si>
    <t>Dotacion instrumentos  y Mejoramiento de la Biblioteca Publica - Redes de Informacion Cultural (Bibliotecarias, Bandas, Otros)</t>
  </si>
  <si>
    <t>Fortalecimiento de las Escuelas de Formacion Artistica y Cultural y estrategias de fomento cultural, Dotaciones escuelas de formación</t>
  </si>
  <si>
    <t>Apoyo Para la Generación de Ingresos y Empleo del Tiempo Libre</t>
  </si>
  <si>
    <t>construcción,preinversión,  Mejoramiento, dotación Sistemas de Potablización del Acueducto</t>
  </si>
  <si>
    <t>Construccion, preinversión, y/o Mejoramiento  De los Sistema De Aguas Residuales y Plantas de Tratamiento de Aguas Residuales</t>
  </si>
  <si>
    <t>construcción,preinversión, sistemas, proyectos de disposición, Recoleccion Tratamiento  y Disposicion Final de Residuos Solidos, implmentación (PGIR´s)</t>
  </si>
  <si>
    <t>construcción,preinversión, mejoramiento Programas y proyectos de Saneamiento Básico Rural</t>
  </si>
  <si>
    <t>construcción, preinversión, Rehabilitación, mejoramiento de Redes y sistemas  de Acueducto</t>
  </si>
  <si>
    <t>Optimización,preinversión,  mejoramiento , y  dotación Planta de Tratamiento de Agua Potable</t>
  </si>
  <si>
    <t>Fondo de solidaridad y Redistribución del Ingreso, y Aguas del Cesar</t>
  </si>
  <si>
    <t>Sistemas de Seguimiento territorial, Diseño Sistemas de indicadores balance Score Card , Planes de Visión Estratégica, sistemas de información estadistica municipal, entre otros</t>
  </si>
  <si>
    <t>Nomina y Prestaciones sociales sector justicia, e inspectores de policia y apoyo interdisciplinario</t>
  </si>
  <si>
    <t xml:space="preserve">construcción, preinversión, Mejoramiento de Vivienda </t>
  </si>
  <si>
    <t>Construcción, preinversión, y/o Mantenimiento del Equipamiento  Urbano</t>
  </si>
  <si>
    <t>Construcción y/o Mejoramiento del  Equipamiento Municipal, estudios  entre otros</t>
  </si>
  <si>
    <t>Construccion,preinversión,  y/o Mantenimiento, mejoramiento de la Infraestructura Electrica</t>
  </si>
  <si>
    <t>Construcción, preinversión de vías</t>
  </si>
  <si>
    <t>Apoyo Financiero a Pequeñas Iniciativas Empresariales, Fomento Empresarial y Generación de Ingresos- Adquisición Terreno Sena</t>
  </si>
  <si>
    <t xml:space="preserve">TRANSF. CONCEJO </t>
  </si>
  <si>
    <t>META DE INFLACION PROYECTADA</t>
  </si>
  <si>
    <t>RAUL ROMERO RODRIGUEZ</t>
  </si>
  <si>
    <t>DIDIER LOBO CHINCHILLA</t>
  </si>
  <si>
    <t>Secretario de Hacienda</t>
  </si>
  <si>
    <t>Alcalde Municipal</t>
  </si>
  <si>
    <t>TRANSFERENCIAS</t>
  </si>
  <si>
    <t>Seguro Bienes Muebles, Inmuebles y Generales- Alcalde</t>
  </si>
  <si>
    <t>Seguro de Vida  Concejales</t>
  </si>
  <si>
    <t xml:space="preserve">BASE REAL CALCULO LEY 617 </t>
  </si>
  <si>
    <t>INDICADOR LEY 617 DE 2000</t>
  </si>
  <si>
    <t>SEGURO DE VIDA CONCEJALES- SEGURIDAD SOCIAL CONCEJALES</t>
  </si>
  <si>
    <t>*LOS SEGUROS DE VIDA , SALUD DE LOS CONCEJALES Y TRANSPORTE  NO COMPUTAN PARA EL CALCULO DEL INDICADOR</t>
  </si>
  <si>
    <t xml:space="preserve">Construcción Fase II Centro Virtual </t>
  </si>
  <si>
    <t>Construcción y /o mejoramiento del equipamiento  municipal  (Palacio Municipal y /o Centro Civico Entre Otros)</t>
  </si>
  <si>
    <t>Interventorias a Programas y Proyectos en Regalías</t>
  </si>
  <si>
    <t>Elaboración del Plan Maestro de Acueducto y Alcantarillado</t>
  </si>
  <si>
    <t>Otros Programas de Inversión Sector Eléctrico y Preinversión del Sector</t>
  </si>
  <si>
    <t>Construcción y /o mejoramiento del sistema de Aguas Residuales y plantas de tratamiento de Aguas Residuales</t>
  </si>
  <si>
    <t>OK</t>
  </si>
  <si>
    <t>OJO</t>
  </si>
  <si>
    <t>_________________________________________</t>
  </si>
  <si>
    <t>________________________________________</t>
  </si>
  <si>
    <t xml:space="preserve">TOTAL PRESUPUESTO DE GASTOS DE FUNCIONAMIENTO CENTRAL </t>
  </si>
  <si>
    <t xml:space="preserve">TOTAL PRESUPUESTO DE GASTOS DE FUNCIONAMIENTO ADMINISTRACION </t>
  </si>
  <si>
    <t>Construcción,   preinversión de Infraestructura Educativa</t>
  </si>
  <si>
    <t>2014 PROYECTADO</t>
  </si>
  <si>
    <t>2013 A Septiembre Recaudado</t>
  </si>
  <si>
    <t>Transferencia Vehiculo Automotor</t>
  </si>
  <si>
    <t>xxxxxxxxxxxxxxxxxxxxxxxxxxxxxxxx</t>
  </si>
  <si>
    <t>SGP Prestación de Servicios en Salud</t>
  </si>
  <si>
    <t>Deguello de Ganado Mayor</t>
  </si>
  <si>
    <t>Rendimientos Financieros Sgp Agua Potable</t>
  </si>
  <si>
    <t>Transferencia Departamento Consumo Cigarrillo</t>
  </si>
  <si>
    <t>Bonificación de Gestión Territorial</t>
  </si>
  <si>
    <t>Honorarios Elaboración de Informes financieros</t>
  </si>
  <si>
    <t>SGP  PREST DE SER SIN FONDOS</t>
  </si>
  <si>
    <t>DEGUELLO DE GANADO MAYOR</t>
  </si>
  <si>
    <t>GRAN TOTAL</t>
  </si>
  <si>
    <t>TRANSFERENCIA VEHICULO AUTOMOTOR</t>
  </si>
  <si>
    <t>SGP PRESTACION DE SERVICIOS EN SALUD</t>
  </si>
  <si>
    <t>Cobertura del Régimen Subsidiado</t>
  </si>
  <si>
    <t>SALUD PUBLICA (Plan de Intervenciones Colectivas)</t>
  </si>
  <si>
    <t>Otras Acciones en Salud Pública, Formulación Políticas Públicas y Otras Estrategias en Salud Pública</t>
  </si>
  <si>
    <t>MANTENIMIENTO Y MEJORAMIENTO DE LA INFRAESTRUCTURA EDUCATIVA</t>
  </si>
  <si>
    <t>ALIMENTACION ESCOLAR</t>
  </si>
  <si>
    <t>TRANSPORTE ESCOLAR</t>
  </si>
  <si>
    <t>ESTIMULO CALIDAD PERTINENCIA EDUCATIVA</t>
  </si>
  <si>
    <t>CONSTRUCCION  Y MEJORAMIENTO DE LA INFRAESTRUCTURA CULTURAL DEL MUNICIPIO</t>
  </si>
  <si>
    <t>SEGURIDAD SOCIAL DEL GESTOR CULTURAL</t>
  </si>
  <si>
    <t>PREVENCION Y PROTECCION</t>
  </si>
  <si>
    <t>ASISTENCIA Y ATENCION INTEGRAL</t>
  </si>
  <si>
    <t>VERDAD, JUSTICIA PARTICIPACION</t>
  </si>
  <si>
    <t>ASISTENCIA Y ATENCION INTEGRAL DESPLAZADOS</t>
  </si>
  <si>
    <t>REPARACION INTEGRAL</t>
  </si>
  <si>
    <t>APOYO PARA LA GENERACION DE INGRESOS Y EMPLEO DEL TIEMPO LIBRE</t>
  </si>
  <si>
    <t>PROMOCION DE INICIATIVAS EMPRESARIALES Y GENERACION DE INGRESOS MUJERES CABEZA DE HOGAR</t>
  </si>
  <si>
    <t>PROMOCION DERECHOS DE LAS MUJERES</t>
  </si>
  <si>
    <t>ATENCION Y APOYO INTEGRAL A LA POBLACION REINSERTADA</t>
  </si>
  <si>
    <t>ATENCION INTEGRAL POBLACION LGTB</t>
  </si>
  <si>
    <t>APOYO A PROGRAMAS RED UNIDOS</t>
  </si>
  <si>
    <t>APOYO A PROGRAMAS DE FAMILIAS EN ACCION</t>
  </si>
  <si>
    <t>ATENCION INTEGRAL A JOVENES</t>
  </si>
  <si>
    <t>ACUEDUCTO- FORMULACION IMPLEMENTACION Y ACCIONES DE FORTALECIMIENTO PARA LA ADMINISTRACION Y OPERACIÓN DE LOS SERVICIOS.</t>
  </si>
  <si>
    <t>ADQUISICION DE AREAS DE INTERES PARA ACUEDUCTOS MUNICIPALES (At. 210 Ley 1450 de 2011). Y PAGOS DE SERVICIOS AMBIENTALES</t>
  </si>
  <si>
    <t>PROYECTO INTEGRAL MANTENIMIENTO REHABILITACION DE VIAS</t>
  </si>
  <si>
    <t>MASIFICACION DE GAS  NATURAL</t>
  </si>
  <si>
    <t>EXPANSION DEL SERVICIO DE ALUMBRADO PUBLICO</t>
  </si>
  <si>
    <t>PROMOCION Y PROTECCION DE LOS DERECHOS HUMANOS</t>
  </si>
  <si>
    <t>FORTALECIMIENTO DEL BANCO DE PROGRAMAS Y PROYECTOS</t>
  </si>
  <si>
    <t>SISTEMAS DE SEGUIMIENTO, EVALUACION, MONITOREO  DE INSTRUMENTOS DE PLANIFICACION TERRITORIAL</t>
  </si>
  <si>
    <t>ASEO- FONDO DE SOLIDARIDAD Y REDISTRIBUCION DEL INGRESO</t>
  </si>
  <si>
    <t>FORTALECIMIENTO DEL ARCHIVO CENTRAL</t>
  </si>
  <si>
    <t>FORTALECIMIENTO Y APOYO PARA LA PARTICIPACION CIUDADANA EN MECANISMOS DE PROMOCION DE DEBERES, DERECHOS DE LAS JUNTAS DE ACCION COMUNAL Y VEEDURIAS CIUDADANAS</t>
  </si>
  <si>
    <t>APOYO Y FOMENTO A PROYECTOS PRODUCTIVOS, ALIANZAS PRODUCTIVAS, ESTUDIOS Y PREINVERSION EN EL SECTOR</t>
  </si>
  <si>
    <r>
      <t>Realizar  e implementar  1 programa de uso y</t>
    </r>
    <r>
      <rPr>
        <b/>
        <sz val="8"/>
        <color indexed="8"/>
        <rFont val="Candara"/>
        <family val="2"/>
      </rPr>
      <t xml:space="preserve"> ahorro eficiente del agua en el cuatrienio</t>
    </r>
  </si>
  <si>
    <t>ACUEDUCTO- FONDO DE SOLIDARIDAD Y REDISTRIBUCION</t>
  </si>
  <si>
    <t>ALCANTARILLADO- SUBSIDIOS FONDO DE SOLIDARIDAD Y REDISTRIBUCION DEL INGRESO</t>
  </si>
  <si>
    <t>PROGRAMA DE POLITICAS PUBLICAS Y CALIDAD EDUCATIVA Y FOMENTO EDUCACION TECNICA TECNOLOGICA Y SUPERIOR, DOTACION MATERIAL DIDACTICO  AUDIOVISUAL Y TECNOLOGICO</t>
  </si>
  <si>
    <t>ESTIMULO CALIDAD, PERTINENCIA EDUCATIVA Y OTRAS ACCIONES ESTRATEGICAS EN EDUCACION</t>
  </si>
  <si>
    <t>ATENCION INTEGRAL AL ADULTO MAYOR -COMITÉ INTERDISCIPLINARIO,ACTIVIDADES LUDICO RECREATIVAS Y ESTILOS DE VIDA SALUDABLE</t>
  </si>
  <si>
    <t>DESARROLLO SOCIAL Y ECONOMICO AFRODESCENDIENTES,ATENCION Y APOYO A LOS GRUPOS AFROCOLOMBIANOS Y OTRAS ACCIONES</t>
  </si>
  <si>
    <t>APOYO INTEGRAL A LA POBLACION DISCAPACITADA,APOYO ACTIVIDADES LUDICO RECREATIVAS Y DEPORTIAS DISCAPACITADOS</t>
  </si>
  <si>
    <t>ATENCION INTEGRAL MUJERES</t>
  </si>
  <si>
    <t>POLITICAS PUBLICAS DE ATENCION INTEGRAL A LA PRIMERA INFANCIA Y OTRAS ACCIONES ESTRATEGICAS</t>
  </si>
  <si>
    <t>FORTALECIMIENTO CONSEJO DE JUVENTUD Y OTRAS ACCIONES</t>
  </si>
  <si>
    <t>ACUEDUCTO-CONDUCCION, ACUEDUCTO- OPTIMIZACION, ACUEDUCTO- TRATAMIENTO</t>
  </si>
  <si>
    <t>ASEO- PROYECTO DE TRATAMIENTO Y APROVECHAMIENTO DE RESIDUOS SOLIDOS,ASEO- IMPLEMENTACION DEL PGIRS,ASEO -PROYECTO DE TRATAMIENTO Y APROVECHAMIENTO DE RESIDUOS SOLIDOS</t>
  </si>
  <si>
    <t>ALCANTARILLADO- CONSTRUCCION MEJORAMIENTO DE PLANTAS DE TRATAMIENTO Y OTRAS OBRAS CON EL SECTOR</t>
  </si>
  <si>
    <t>ACUEDUCTO- CONSTRUCCION, MANTENIMIENTO Y DEMAS OBRAS CON EL SECTOR</t>
  </si>
  <si>
    <t>ALCANTARILLADO- FORTALECIMIENTO INSTITUCIONAL,ALCANTARILLADO- PLAN DE SANEAMIENTO Y MANEJO DE VERTIMENTOS</t>
  </si>
  <si>
    <t>FORMULACION DE POLITICAS PUBLICAS, DISEÑO DE ESTRATEGIAS AMBIENTALES,  Y PROYECTOS ARTICULADOS CON PLANES DEPARTAMENTALES Y NACIONALES</t>
  </si>
  <si>
    <t>CONSERVACION, PROTECCION, RESTAURACION Y APROVECHAMIENTO DE RECURSOS NATURALES Y DEL MEDIO AMBIENTE,IMPLEMENTACION SISTEMA DE GESTION AMBIENTAL MUNICIPAL (SIGAM), EDUCACION AMBIENTAAL, OTRAS ACCIONES</t>
  </si>
  <si>
    <t>RECUPERACION, MANTENIMIENTO, CONSTRUCCION DEL ESPACIO PUBLICO Y OTRAS OBRAS CON EL SECTOR</t>
  </si>
  <si>
    <t>CONSTRUCCION Y/O MANTENIMIENTO DEL AMOBLAMIENTO URBANO Y EQUIPAMENTO MUNICIPAL, OTRAS ABRAS CON EL SECTOR</t>
  </si>
  <si>
    <t>CONSTRUCCION YO MANTENIMIENTO DE LA INFRAESTRUCTURA ELECTRICA</t>
  </si>
  <si>
    <t>FONDO ESPECIAL MUNICIPAL PARA LA GESTION DEL RIESGO DE DESASTRES Y OTRAS ACCIONES DEL SECTOR</t>
  </si>
  <si>
    <t>FORTALECIMIENTO FONDO DE SEGURIDAD Y CONVIVENCIA CIUDADANA (FONDO DE SEGURIDAD) Y OTRAS ACCIONES DEL SECTOR</t>
  </si>
  <si>
    <t>APOYO, FORTALECIMIENTO INSTITUCIONAL, ASISTENCIA TECNICA, CIENTIFICA Y PROFESIONAL PARA MEJORAR LA GESTION ADTVA Y OTRAS ACCIONES DE FORTALECIMIENTO</t>
  </si>
  <si>
    <t>ACTUALIZACION, REVISION, AJUSTE DE INSTRUMENTOS DE PLANIFICACION TERRITORIAL</t>
  </si>
  <si>
    <t>PROGRAMA DE EMPRENDIMIENTO "TODOS CON OPORTUNIDADES" Y OTRAS ACCIONES EMPRESARIALES Y EMPRENDIMIENTO</t>
  </si>
  <si>
    <t>PROYECTOS INTEGRALES DE CIENCIA, TECNOLOGIA E INNOVACION Y OTRAS ACCIONES</t>
  </si>
  <si>
    <t>TOTAL SALUD</t>
  </si>
  <si>
    <t>TOTAL EDUCACION</t>
  </si>
  <si>
    <t>TOTAL DEPORTE</t>
  </si>
  <si>
    <t>CONSTRUCCION, MANTENIMIENTO DE ESCENARIOS DEPORTIVOS</t>
  </si>
  <si>
    <t>TOTAL CULTURA</t>
  </si>
  <si>
    <t>TOTAL ADULTO MAYOR</t>
  </si>
  <si>
    <t>TOTAL VICTIMAS DEL CONFLICTO</t>
  </si>
  <si>
    <t>TOTAL  AFRODESCENDIENTES</t>
  </si>
  <si>
    <t>TOTAL DISCAPACITADOS</t>
  </si>
  <si>
    <t>TOTAL EQUIDAD DE GENERO</t>
  </si>
  <si>
    <t>TOTAL POBLACION  LGTB</t>
  </si>
  <si>
    <t xml:space="preserve">TOTAL AMANECERES DE LA INFANCIA, ADOLESCENCIA Y JUVENTUD </t>
  </si>
  <si>
    <t>TOTAL AGUA POTABLE Y SANEAMIENTO BASICO</t>
  </si>
  <si>
    <t>TOTAL MEDIO AMBIENTE</t>
  </si>
  <si>
    <t>TOTAL VIVIENDA</t>
  </si>
  <si>
    <t>TOTAL DESARROLLO URBANO</t>
  </si>
  <si>
    <t>TOTAL EQUIPAMENTO</t>
  </si>
  <si>
    <t>TOTAL VIAS</t>
  </si>
  <si>
    <t>GRAN TOTAL EJE ESTRATEGICO UN DESARROLLO SOCIAL PARA TODOS</t>
  </si>
  <si>
    <t>TOTAL  SERVICIOS MASIVOS DOMICILIARIOS</t>
  </si>
  <si>
    <t>TOTAL FONDO ESPECIAL MUNICIPAL PARA LA GESTION DEL RIESGO DE DESASTRES</t>
  </si>
  <si>
    <t>GRAN TOTAL EJE ESTRATEGICO AMBIENTES SALUDABLES PARA TODOS</t>
  </si>
  <si>
    <t>TOTAL GOBERNABILIDAD</t>
  </si>
  <si>
    <t>TOTAL FORTALECIMIENTO INSTITUCIONAL Y FINANCIERO</t>
  </si>
  <si>
    <t>TOTAL PARTICIPACIÓN COMUNITARIA</t>
  </si>
  <si>
    <t>TOTAL DERECHOS HUMANOS</t>
  </si>
  <si>
    <t>TOTAL OPORTUNIDADES PARA EL EMPLEO Y DESARROLLO ECONÓMICO</t>
  </si>
  <si>
    <t>TOTAL DESARROLLO AGROPECUARIO</t>
  </si>
  <si>
    <t>APOYO PROGRAMAS Y PROYECTOS DE IMPACTO EN EL SECTOR MINERO, PROMOCION Y OTRAS ACCIONES DEL SECTOR</t>
  </si>
  <si>
    <t>TOTAL MINERIA</t>
  </si>
  <si>
    <t>TOTAL CIENCIA, TECNOLOGÍA E INNOVACIÓN</t>
  </si>
  <si>
    <t>TOTAL TURISMO</t>
  </si>
  <si>
    <t>GRAN TOTAL EJE ESTRATEGICO UN DESARROLLO ECONÓMICO SOSTENIBLE PARA TODOS</t>
  </si>
  <si>
    <t xml:space="preserve">PROMOCION DEL DESARROLLO TURISTICO , FORMULACION DE INSTRUMENTOS DE PLANIFICACION TURISTICA  Y OTRAS ACCIONES, </t>
  </si>
  <si>
    <t>GRAN TOTAL PLAN OPERATIVO ANUAL DE INVERSIONES POAI</t>
  </si>
  <si>
    <t>GRAN TOTAL EJE ESTRATEGICO UNA ADMINISTRACIÓN EFICIENTE PARA TODOS</t>
  </si>
  <si>
    <t>CUENTA CONTROL</t>
  </si>
  <si>
    <t>GRATUIDAD EDUCATIVA</t>
  </si>
  <si>
    <t>POBLACION POBRE NO ASEGURADA</t>
  </si>
  <si>
    <t>FORTALECIMIENTO DE ESCUELAS DE FORMACION ARTISTICA Y CULTURAL,</t>
  </si>
  <si>
    <t>APOYO A EVENTOS CULTURALES Y FESTIVALES LOCALES,  FORTLECIMIENTO CONSEJOS DE CULTURA</t>
  </si>
  <si>
    <t>DOTACION MEJORAMIENTO DE LA BLIOTECA PUBLICA -REDES DE INFORMACION CULTURAL(BIBLIOTECARIAS, BANDAS Y OTROS)</t>
  </si>
  <si>
    <t xml:space="preserve">APOYO Y FORTALECIMIENTO ACTIVIDADES LUDICO RECREATIVAS,APOYO ESCUELAS DE FORMACION DEPORTIVA, DOTACIONES Y OTRAS ACCIONES </t>
  </si>
  <si>
    <t>FONDO DE GESTION DEL RIESGO</t>
  </si>
  <si>
    <t>SERVICIOS PUBLICOS INSTITUCIONES EDUCATIVAS</t>
  </si>
  <si>
    <t>PLAN DEPARTAMENTAL DE AGUA</t>
  </si>
  <si>
    <t>CONSTRUCCION, MEJORAMIENTOS DE VIVIENDAS , ADQUISICION DE PREDIOS PARA CONSTRUCCION DE VIVIENDA, LEGALIZACION DE PREDIOS</t>
  </si>
  <si>
    <t>PROGRAMAS Y PROYECTOS DE ASISTENCIA TECNICA AGROPECUARIA</t>
  </si>
  <si>
    <t>APOYO Y FOMETO A PROYECTOS PRODUCTIVO</t>
  </si>
  <si>
    <t>FORMULACION DE INSTRUMENTOS DE PLANIFICACION AGROPECUARIA, ALIANZAS PRODUCTIVAS, ESTUDIOS Y PREINVERSION EN EL SECTOR Y OTRAS ACCIONES</t>
  </si>
  <si>
    <t>ADQUISICION DE EQUIPOS Y MAQUINARIA BANCO DE MAQUINARIA AGRICOLA Y OTRAS ACCIONES</t>
  </si>
  <si>
    <t>APOYO Y FORTALECIMIENTO A LOS ENTES DE PARTICIPACION Y GESTION TERRITORIAL</t>
  </si>
  <si>
    <t>NOMINA Y PRESTACIONES SOCIALES COMISARIA DE FAMILIA</t>
  </si>
  <si>
    <t>ATENCION Y APOYO INTEGRAL A LA POBLACION DESMOVILIZADA</t>
  </si>
  <si>
    <t>CALCULO DEL INDICADOR LEY 617 PROYECTADO 2014-2023</t>
  </si>
  <si>
    <t>*LO DEL FONDE DE GESTION DEL RIESGO  NO COMPUTAN PARA EL CALCULO DEL INDICADOR</t>
  </si>
  <si>
    <t>*LO DEL FONDE DE  CONTIGENCIAS NO COMPUTAN PARA EL CALCULO DEL INDICADOR</t>
  </si>
  <si>
    <t>PROYECCION DE INGRESOS  CORRIENTES 2014 - 2024</t>
  </si>
  <si>
    <t>PROYECCION DE INGRESOS 2013 - 2024</t>
  </si>
  <si>
    <t>COLJUEGOS</t>
  </si>
  <si>
    <t>FUENTE</t>
  </si>
  <si>
    <t xml:space="preserve"> PROYECCION DE LOS GASTOS 2014 - 2024</t>
  </si>
  <si>
    <t>INCREMENTO  4%</t>
  </si>
  <si>
    <t>p</t>
  </si>
  <si>
    <t>Bienestar Social</t>
  </si>
  <si>
    <t>CONSTRUCCION, PREINVERSION DE Vías Y OTRAS ACCIONES DEL SECTOR</t>
  </si>
  <si>
    <t>INTERVENTORIA</t>
  </si>
  <si>
    <t>%PARTICIPACION</t>
  </si>
  <si>
    <t xml:space="preserve">PLAN DE ACCIÓN 2014 LA JAGUA DE IBIRICO "OPORTNIDADES PARA TODOS" </t>
  </si>
  <si>
    <t>PROYECTO 
OBJETIVO</t>
  </si>
  <si>
    <t>COSTO PROYECTO PROGRAMADO</t>
  </si>
  <si>
    <t>TIEMPO  (EN QUE SE DEBE EJECUTAR EL PROYECTO)</t>
  </si>
  <si>
    <t>ACTIVIDADES</t>
  </si>
  <si>
    <t>TIEMPO(EN QUE SE DEBE EJECUTAR LAS ACTIVIDADES)</t>
  </si>
  <si>
    <t>POBLACION BENEFICIADA</t>
  </si>
  <si>
    <t>TIPO DE CONTRATACIÓN</t>
  </si>
  <si>
    <t>CONTRATISTA</t>
  </si>
  <si>
    <t>OBJETO CONTRATO</t>
  </si>
  <si>
    <t>ACTIVIDADES OBJETO CONTRATO</t>
  </si>
  <si>
    <t>&amp; DE EJECUCIÓN PROYECTO</t>
  </si>
  <si>
    <t>INDICADOR DE CUMPLIMIENTO</t>
  </si>
  <si>
    <t>INDICADOR DE APLICACIÓN DE RECURSOS</t>
  </si>
  <si>
    <t>INDICADOR CUMPLIMIENTO DE METAS</t>
  </si>
  <si>
    <t>RESPONSABLES</t>
  </si>
  <si>
    <t>I TRIM.</t>
  </si>
  <si>
    <t>II TRIM</t>
  </si>
  <si>
    <t>IIITRI</t>
  </si>
  <si>
    <t>IV TRI</t>
  </si>
  <si>
    <t>ACTIVIDADES PROGRAMADAS</t>
  </si>
  <si>
    <t>No  TOTAL ACTIV. PROGRAMADAS</t>
  </si>
  <si>
    <t>No  TOTAL ACTIV. EJECUTADAS</t>
  </si>
  <si>
    <t>LICITACIÓN</t>
  </si>
  <si>
    <t>CONCURSO DE MERITOS</t>
  </si>
  <si>
    <t>CONTRATACIÓN
DIRECTA</t>
  </si>
  <si>
    <t>PROCESO MINIMA CUANTIA</t>
  </si>
  <si>
    <t>PROGRAMA DE AFILIACIÓN DE NUEVOS USUARIOS DEL RÉGIMEN SUBSIDIADO</t>
  </si>
  <si>
    <t xml:space="preserve">PROGRAMA IMPLEMENTACIÓN PLAN TERRITORIAL DE SALUD </t>
  </si>
  <si>
    <t>PROGRAMA DE ATENCIÓN PRIMARIA EN SALUD EN EL MUNICIPIO</t>
  </si>
  <si>
    <t>PROGRAMA DE REDUCCIÓN DE LA MORTALIDAD INFANTIL EN EL MUNICIPIO</t>
  </si>
  <si>
    <t>PROGRAMA DE VACUNACIÓN EN EL MUNICIPIO</t>
  </si>
  <si>
    <t>PROGRAMAS DE ACCIONES EN SALUD PÚBLICA Y OTRAS ACCIONES COLECTIVAS</t>
  </si>
  <si>
    <t>PROGRAMAS DE AUMENTO DE COBERTURA EDUCATIVA</t>
  </si>
  <si>
    <t>PROGRAMA DE CONSTRUCCIÓN Y/O MEJORAMIENTO DE INFRAESTRUCTURA EDUCATIVA</t>
  </si>
  <si>
    <t>PROGRAMAS DE FOMENTO DE LA CONVIVENCIA PACÍFICA EN LAS INSTITUCIONES EDUCATIVAS</t>
  </si>
  <si>
    <t xml:space="preserve">PROGRAMAS DE IMPLEMENTACIÓN Y/O GESTIÓN DE EDUCACION EN ADULTOS </t>
  </si>
  <si>
    <t>PROGRAMAS DE AUMENTO DE COBERTURA DE ALIMENTACIÓN ESCOLAR</t>
  </si>
  <si>
    <t>PROGRAMAS PARA AUMENTAR LA COBERTURA DE TRANSPORTE ESCOLAR</t>
  </si>
  <si>
    <t xml:space="preserve">PROGRAMAS COMPLEMENTARIOS PARA LAS PRUEBAS SABER </t>
  </si>
  <si>
    <t xml:space="preserve">PROGRAMAS DE REFUERZO EDUCATIVO </t>
  </si>
  <si>
    <t>PROGRAMAS PARA GESTIONAR O IMPLEMENTAR EL BILINGüISMO</t>
  </si>
  <si>
    <t>PROGRAMAS Y PROYECTOS PARA FORTALECER EL CENTRO VIRTUAL</t>
  </si>
  <si>
    <t>PROGRAMAS PARA GESTIONAR O IMPLEMENTAR BIBLIOTECAS VIRTUALES</t>
  </si>
  <si>
    <t xml:space="preserve">PROGRAMAS PARA FOMENTAR LA EDUCACIÓN </t>
  </si>
  <si>
    <t>PROGRAMAS DE FOMENTO DE LECTURA EN INSTITUCIONES EDUCATIVAS</t>
  </si>
  <si>
    <t>PROGRAMA DE GESTIÓN Y/O IMPLEMENTACIÓN DE UN PROGRAMA PILOTO DE JORNADA ÚNICA</t>
  </si>
  <si>
    <t>PROGRAMAS DE INCREMENTO DEL USO DE INTERNET Y CONECTIVIDAD DE LA POBLACIÓN</t>
  </si>
  <si>
    <t xml:space="preserve">PROGRAMAS DE GESTIÓN Y/O IMPLEMENTACIÓN DE COMPETENCIAS CIUDADANAS </t>
  </si>
  <si>
    <t>PROGRAMAS DE RECONOCIMIENTOS A INSTITUCIONES EDUCATIVAS</t>
  </si>
  <si>
    <t>PROGRAMAS DE VINCULACION A LA RECREACION Y DEPORTE EN LA ZONA URBANA Y RURAL</t>
  </si>
  <si>
    <t xml:space="preserve">PROGRAMAS DE FOMENTO, MASIFICACIÓN Y FORMACIÓN  DEL DEPORTE </t>
  </si>
  <si>
    <t>PROGRAMAS DE CONSTRUCCIÓN Y/O MEJORAMIENTO DE INFRAESTRUCTURA DEPORTIVA</t>
  </si>
  <si>
    <t>PROGRAMAS DE FOMENTO, FORTALECIMIENTO, MASIFICACIÓN Y PROMOCIÓN DE LA CULTURA</t>
  </si>
  <si>
    <t>PROGRAMAS DE CONSTRUCCIÓN Y/O MEJORAMIENTO DE INFRAESTRUCTURA CULTURAL</t>
  </si>
  <si>
    <t>PROGRAMAS  DE ATENCIÓN INTEGRAL, APOYO Y FORTALECIMIENTO DE LA POBLACIÓN VÍCTIMA DEL CONFLICTO</t>
  </si>
  <si>
    <t>PROGRAMAS DE ATENCIÓN INTEGRAL, APOYO Y FORTALECIMIENTO DE LA POBACIÓN ADULTA MAYOR</t>
  </si>
  <si>
    <t>PROGRAMAS DE ATENCIÓN INTEGRAL, APOYO Y FORTALECIMIENTO DE LA POBACIÓN AFRODESCENDIENTE</t>
  </si>
  <si>
    <t>PROGRAMAS DE ATENCIÓN INTEGRAL, APOYO Y FORTALECIMIENTO DE LA POBACIÓN DISCAPACITADA</t>
  </si>
  <si>
    <t>PROGRAMAS DE ATENCIÓN INTEGRAL, APOYO Y FORTALECIMIENTO DE LA EQUIDAD DE GÉNERO</t>
  </si>
  <si>
    <t>PROGRAMAS DE ATENCIÓN INTEGRAL, APOYO Y PROMOCIÓN DE DERECHOS DE LA POBACIÓN LGBT</t>
  </si>
  <si>
    <t xml:space="preserve">PROGRAMAS DE  "Todos Vivos, Saludables, Nutridos y con Familias" de atención integral a la población  infantil y adolescentes </t>
  </si>
  <si>
    <t xml:space="preserve">PROGRAMAS DE   "Todos con Educación, Jugando y afectuoso " de atención integral a la población  infantil y adolescentes </t>
  </si>
  <si>
    <t xml:space="preserve">PROGRAMAS DE  "Todos registrados y participando" de atención a la población  infantil y adolescentes </t>
  </si>
  <si>
    <t>PROGRAMAS DE  "Protección especial" de atención a la población  infantil y adolescentes</t>
  </si>
  <si>
    <t>PROGRAMAS DE ATENCION INTEGRAL A NIÑOS, NIÑAS, ADOLESCENTES Y JÓVENES</t>
  </si>
  <si>
    <t>PROGRAMAS Y PROYECTOS QUE MEJOREN LA PRESTACIÓN Y CALIDAD DE SERVICIOS PÚBLICOS Y DISEÑO E IMPLEMENTACIÓN DE INSTRUMENTOS DE PLANEACIÓN EN SERVICIOS PÚBLICOS</t>
  </si>
  <si>
    <t>PROGRAMAS Y PROYECTOS PARA APOYAR, ESTRUCTURAR, FORMULAR, IMPLEMENTAR AACIONES Y ESTRATEGIAS QUE BENEFICIEN EL MEDIO AMBIENTE</t>
  </si>
  <si>
    <t>PROGRAMAS DE GESTIÓN Y/O CREACION DE UN BANCO DE TIERRAS PARA VIS</t>
  </si>
  <si>
    <t>PROGRAMAS Y PROYECTOS PARA CONSTRUIR, APOYAR, ESTRUCTURAR, FORMULAR, E IMPLEMENTAR ACCIONES Y ESTRATEGIAS QUE PERMITAN EL DESARROLLO URBANO</t>
  </si>
  <si>
    <t>PROGRAMA PARA CONSTRUIR EL PALACIO MUNICIPAL</t>
  </si>
  <si>
    <t>PROGRAMAS Y PROYECTOS DE CONSTRUCCIÓN, MEJORAMIENTO Y MANTENIMIENTO VÍAL</t>
  </si>
  <si>
    <t>PROGRAMAS Y PROYECTOS PARA LOS SERVICIOS MASIVOS DOMICILIARIOS</t>
  </si>
  <si>
    <t xml:space="preserve">PROGRAMAS Y PROYECTOS DE APOYO, FORTALECIMIENTO , DISEÑO DE INSTRUMENTOS Y PREVENCION EN GESTIÓN DEL RIESGO EN EL MUNICIPIO </t>
  </si>
  <si>
    <t>PROGRAMAS Y PROYECTOS DE APOYO, FORTALECIMIENTO Y MECANISMOS DE GESTIÓN EN SEGURIDAD CIUDADANA EN EL MUNICIPIO</t>
  </si>
  <si>
    <t>PROGRAMAS Y PROYECTOS QUE MEJOREN LA GESTIÓN INSTITUCIONAL Y LOS PROCESOS Y DISEÑO DE INSTRUMENTOS  QUE PERMITAN GENERAR CAPACIDADES INSTITUCIONALES</t>
  </si>
  <si>
    <t>PROGRAMAS Y PROYECTOS DE APOYO, FORTALECIMIENTO DE ENTES DE PARTICPACIÓN CIUDADANA</t>
  </si>
  <si>
    <t>PROGRAMAS Y PROYECTOS QUE FOMENTEN Y PROMOCIONEN EL RESPETO POR LOS DERECHOS HUMANOS Y DIH</t>
  </si>
  <si>
    <t>PROGRAMAS Y PROYECTOS DE FOMENTO, APOYO Y DISEÑO DE INSTRUMENTOS QUE BENEFICIEN AL SECTOR ECONOMICO, GENERACIÓN DE EMPLEO Y OPORTUNIDADES  EN LA JAGUA DE IBIRICO</t>
  </si>
  <si>
    <t>PROGRAMAS Y PROYECTOS DE FOMENTO, APOYO Y DISEÑO DE INSTRUMENTOS QUE BENEFICIEN AL SECTOR AGROPECUARIO Y DESARROLLO RURAL EN LA JAGUA DE IBIRICO</t>
  </si>
  <si>
    <t>PROGRAMAS Y PROYECTOS DE APOYO, FOMENTO Y DISEÑO DE ESTRATEGIAS QUE DINAMICEN LA MINERIA SOSTENIBLE EN EL MUNICIPIO</t>
  </si>
  <si>
    <t>PROGRAMAS Y PROYECTOS PARA EL DISEÑO DE ESTRATEGIAS, FOMENTO, MASIFICACION, Y APOYO DE LA CIENCIA, TECNOLOGÍA E INNOVACIÓN</t>
  </si>
  <si>
    <t>PROGRAMAS Y PROYECTOS QUE FOMENTEN Y DINAMICEN EL TURISMO EN EL MUNICIPIO DE LA JAGUA DE IBIRICO</t>
  </si>
  <si>
    <t>X</t>
  </si>
  <si>
    <t>FORMULACIÓN PROYECTO
PROCESO CONTRACTUAL 
EJECUCIÓN 
SEGUIMIENTO Y MONIOTREO</t>
  </si>
  <si>
    <t>A</t>
  </si>
  <si>
    <t>PROGRAMAS DE FORTALECIMIENTO A ESCUELAS DE PADRES</t>
  </si>
  <si>
    <t xml:space="preserve">Realizar una actualización de la estratificación socioeconómica del municipio en el cuatrienio
</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</si>
</sst>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0\ _€_-;\-* #,##0.00\ _€_-;_-* &quot;-&quot;??\ _€_-;_-@_-"/>
    <numFmt numFmtId="185" formatCode="_-* #,##0\ _€_-;\-* #,##0\ _€_-;_-* &quot;-&quot;??\ _€_-;_-@_-"/>
    <numFmt numFmtId="186" formatCode="_ [$€-2]\ * #,##0.00_ ;_ [$€-2]\ * \-#,##0.00_ ;_ [$€-2]\ * &quot;-&quot;??_ "/>
    <numFmt numFmtId="187" formatCode="_(* #,##0_);_(* \(#,##0\);_(* &quot;-&quot;??_);_(@_)"/>
    <numFmt numFmtId="188" formatCode="#,##0_ ;\-#,##0\ "/>
    <numFmt numFmtId="189" formatCode="_ * #,##0_ ;_ * \-#,##0_ ;_ * &quot;-&quot;??_ ;_ @_ "/>
    <numFmt numFmtId="190" formatCode="_ * #,##0_ ;_ * \-#,##0_ ;_ * &quot;-&quot;_ ;_ @_ "/>
    <numFmt numFmtId="191" formatCode="0.0%"/>
    <numFmt numFmtId="192" formatCode="0.0"/>
    <numFmt numFmtId="193" formatCode="#,##0.000"/>
    <numFmt numFmtId="194" formatCode="#,##0.0000"/>
    <numFmt numFmtId="195" formatCode="_-* #,##0_-;\-* #,##0_-;_-* &quot;-&quot;??_-;_-@_-"/>
    <numFmt numFmtId="196" formatCode="_(* #,##0.0_);_(* \(#,##0.0\);_(* &quot;-&quot;??_);_(@_)"/>
    <numFmt numFmtId="197" formatCode="#,##0.00_);\-#,##0.00"/>
    <numFmt numFmtId="198" formatCode="&quot;$&quot;#,##0.00_);\-&quot;$&quot;#,##0.00"/>
    <numFmt numFmtId="199" formatCode="_ * #,##0.00_ ;_ * \-#,##0.00_ ;_ * &quot;-&quot;??_ ;_ @_ "/>
    <numFmt numFmtId="200" formatCode="&quot;$&quot;\ #,##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000000000000%"/>
    <numFmt numFmtId="206" formatCode="#,##0.00_ ;\-#,##0.00\ "/>
    <numFmt numFmtId="207" formatCode="#,##0_);\-#,##0"/>
    <numFmt numFmtId="208" formatCode="dd/mm/yyyy"/>
    <numFmt numFmtId="209" formatCode="[$-1809]dd\ mmmm\ yyyy"/>
    <numFmt numFmtId="210" formatCode="#,##0.0"/>
    <numFmt numFmtId="211" formatCode="#,##0.00000"/>
    <numFmt numFmtId="212" formatCode="#,##0.000000"/>
    <numFmt numFmtId="213" formatCode="#,##0.0000000"/>
    <numFmt numFmtId="214" formatCode="_ &quot;$&quot;\ * #,##0_ ;_ &quot;$&quot;\ * \-#,##0_ ;_ &quot;$&quot;\ * &quot;-&quot;_ ;_ @_ "/>
    <numFmt numFmtId="215" formatCode="_ &quot;$&quot;\ * #,##0.00_ ;_ &quot;$&quot;\ * \-#,##0.00_ ;_ &quot;$&quot;\ * &quot;-&quot;??_ ;_ @_ "/>
    <numFmt numFmtId="216" formatCode="[$-409]dddd\,\ mmmm\ dd\,\ yyyy"/>
    <numFmt numFmtId="217" formatCode="[$-409]h:mm:ss\ AM/PM"/>
    <numFmt numFmtId="218" formatCode="0.000%"/>
    <numFmt numFmtId="219" formatCode="0.0000%"/>
    <numFmt numFmtId="220" formatCode="#,##0.00;[Red]#,##0.00"/>
    <numFmt numFmtId="221" formatCode="_(* #,##0.000_);_(* \(#,##0.000\);_(* &quot;-&quot;??_);_(@_)"/>
    <numFmt numFmtId="222" formatCode="#,##0.000_);\-#,##0.000"/>
    <numFmt numFmtId="223" formatCode="#,##0.0000_);\-#,##0.0000"/>
    <numFmt numFmtId="224" formatCode="#,##0.0_);\-#,##0.0"/>
  </numFmts>
  <fonts count="188">
    <font>
      <sz val="11"/>
      <color theme="1"/>
      <name val="Calibri"/>
      <family val="2"/>
    </font>
    <font>
      <sz val="11"/>
      <color indexed="8"/>
      <name val="Calibri"/>
      <family val="2"/>
    </font>
    <font>
      <sz val="9"/>
      <name val="Arial"/>
      <family val="2"/>
    </font>
    <font>
      <sz val="10"/>
      <name val="Arial"/>
      <family val="2"/>
    </font>
    <font>
      <b/>
      <sz val="12"/>
      <name val="Arial"/>
      <family val="2"/>
    </font>
    <font>
      <sz val="12"/>
      <name val="Arial"/>
      <family val="2"/>
    </font>
    <font>
      <b/>
      <sz val="10"/>
      <name val="Arial"/>
      <family val="2"/>
    </font>
    <font>
      <b/>
      <i/>
      <sz val="10"/>
      <name val="Arial"/>
      <family val="2"/>
    </font>
    <font>
      <b/>
      <sz val="8"/>
      <name val="Tahoma"/>
      <family val="2"/>
    </font>
    <font>
      <sz val="8"/>
      <name val="Tahoma"/>
      <family val="2"/>
    </font>
    <font>
      <b/>
      <sz val="8"/>
      <name val="Arial"/>
      <family val="2"/>
    </font>
    <font>
      <sz val="10"/>
      <name val="Tahoma"/>
      <family val="2"/>
    </font>
    <font>
      <sz val="14"/>
      <name val="Arial"/>
      <family val="2"/>
    </font>
    <font>
      <sz val="11"/>
      <name val="Arial"/>
      <family val="2"/>
    </font>
    <font>
      <b/>
      <sz val="14"/>
      <name val="Arial"/>
      <family val="2"/>
    </font>
    <font>
      <sz val="8"/>
      <name val="Arial"/>
      <family val="2"/>
    </font>
    <font>
      <b/>
      <sz val="8"/>
      <name val="Times New Roman"/>
      <family val="1"/>
    </font>
    <font>
      <sz val="12"/>
      <name val="Verdana"/>
      <family val="2"/>
    </font>
    <font>
      <b/>
      <sz val="10"/>
      <name val="Times New Roman"/>
      <family val="1"/>
    </font>
    <font>
      <sz val="10"/>
      <name val="Times New Roman"/>
      <family val="1"/>
    </font>
    <font>
      <b/>
      <sz val="9"/>
      <name val="Arial"/>
      <family val="2"/>
    </font>
    <font>
      <b/>
      <i/>
      <sz val="9"/>
      <name val="Arial"/>
      <family val="2"/>
    </font>
    <font>
      <sz val="10"/>
      <name val="Arial Unicode MS"/>
      <family val="2"/>
    </font>
    <font>
      <b/>
      <sz val="12"/>
      <name val="Arial Unicode MS"/>
      <family val="2"/>
    </font>
    <font>
      <b/>
      <i/>
      <sz val="12"/>
      <color indexed="8"/>
      <name val="Arial"/>
      <family val="2"/>
    </font>
    <font>
      <i/>
      <sz val="10"/>
      <name val="Arial Unicode MS"/>
      <family val="2"/>
    </font>
    <font>
      <b/>
      <sz val="10"/>
      <color indexed="8"/>
      <name val="Arial Unicode MS"/>
      <family val="2"/>
    </font>
    <font>
      <b/>
      <sz val="10"/>
      <name val="Arial Unicode MS"/>
      <family val="2"/>
    </font>
    <font>
      <b/>
      <sz val="11"/>
      <color indexed="8"/>
      <name val="Arial"/>
      <family val="2"/>
    </font>
    <font>
      <sz val="10"/>
      <color indexed="8"/>
      <name val="Arial Unicode MS"/>
      <family val="2"/>
    </font>
    <font>
      <sz val="11"/>
      <color indexed="8"/>
      <name val="Arial"/>
      <family val="2"/>
    </font>
    <font>
      <sz val="10"/>
      <color indexed="10"/>
      <name val="Arial Unicode MS"/>
      <family val="2"/>
    </font>
    <font>
      <b/>
      <sz val="10"/>
      <color indexed="10"/>
      <name val="Arial Unicode MS"/>
      <family val="2"/>
    </font>
    <font>
      <b/>
      <sz val="9"/>
      <color indexed="8"/>
      <name val="Arial Unicode MS"/>
      <family val="2"/>
    </font>
    <font>
      <b/>
      <sz val="10"/>
      <color indexed="8"/>
      <name val="Arial"/>
      <family val="2"/>
    </font>
    <font>
      <b/>
      <i/>
      <sz val="10"/>
      <color indexed="8"/>
      <name val="Arial Unicode MS"/>
      <family val="2"/>
    </font>
    <font>
      <b/>
      <sz val="11"/>
      <name val="Arial"/>
      <family val="2"/>
    </font>
    <font>
      <b/>
      <sz val="10"/>
      <name val="Tahoma"/>
      <family val="2"/>
    </font>
    <font>
      <b/>
      <sz val="9"/>
      <name val="Tahoma"/>
      <family val="2"/>
    </font>
    <font>
      <sz val="9"/>
      <name val="Tahoma"/>
      <family val="2"/>
    </font>
    <font>
      <sz val="12"/>
      <name val="Times New Roman"/>
      <family val="1"/>
    </font>
    <font>
      <u val="single"/>
      <sz val="10"/>
      <color indexed="12"/>
      <name val="Arial"/>
      <family val="2"/>
    </font>
    <font>
      <sz val="10"/>
      <color indexed="8"/>
      <name val="MS Sans Serif"/>
      <family val="2"/>
    </font>
    <font>
      <sz val="10"/>
      <color indexed="8"/>
      <name val="Arial"/>
      <family val="2"/>
    </font>
    <font>
      <b/>
      <u val="single"/>
      <sz val="9.85"/>
      <color indexed="8"/>
      <name val="Times New Roman"/>
      <family val="1"/>
    </font>
    <font>
      <sz val="6"/>
      <name val="Arial"/>
      <family val="2"/>
    </font>
    <font>
      <sz val="8.05"/>
      <color indexed="8"/>
      <name val="Times New Roman"/>
      <family val="1"/>
    </font>
    <font>
      <b/>
      <sz val="8"/>
      <name val="Arial Unicode MS"/>
      <family val="2"/>
    </font>
    <font>
      <b/>
      <sz val="7"/>
      <color indexed="8"/>
      <name val="Arial Unicode MS"/>
      <family val="2"/>
    </font>
    <font>
      <sz val="10"/>
      <color indexed="8"/>
      <name val="Candara"/>
      <family val="2"/>
    </font>
    <font>
      <sz val="10"/>
      <name val="Candara"/>
      <family val="2"/>
    </font>
    <font>
      <strike/>
      <sz val="10"/>
      <color indexed="8"/>
      <name val="Candara"/>
      <family val="2"/>
    </font>
    <font>
      <sz val="20"/>
      <color indexed="8"/>
      <name val="Candara"/>
      <family val="2"/>
    </font>
    <font>
      <b/>
      <sz val="10"/>
      <color indexed="8"/>
      <name val="Candara"/>
      <family val="2"/>
    </font>
    <font>
      <b/>
      <sz val="10"/>
      <name val="Candara"/>
      <family val="2"/>
    </font>
    <font>
      <b/>
      <sz val="10"/>
      <name val="MS Reference Sans Serif"/>
      <family val="2"/>
    </font>
    <font>
      <b/>
      <sz val="8"/>
      <name val="Verdana"/>
      <family val="2"/>
    </font>
    <font>
      <b/>
      <sz val="7"/>
      <name val="Arial"/>
      <family val="2"/>
    </font>
    <font>
      <sz val="11"/>
      <color indexed="8"/>
      <name val="Times New Roman"/>
      <family val="1"/>
    </font>
    <font>
      <sz val="10"/>
      <color indexed="8"/>
      <name val="Times New Roman"/>
      <family val="1"/>
    </font>
    <font>
      <sz val="9"/>
      <color indexed="8"/>
      <name val="Times New Roman"/>
      <family val="1"/>
    </font>
    <font>
      <b/>
      <sz val="11"/>
      <name val="Arial Unicode MS"/>
      <family val="0"/>
    </font>
    <font>
      <sz val="11"/>
      <name val="Arial Unicode MS"/>
      <family val="0"/>
    </font>
    <font>
      <sz val="12"/>
      <name val="Arial Unicode MS"/>
      <family val="0"/>
    </font>
    <font>
      <b/>
      <sz val="9"/>
      <name val="Times New Roman"/>
      <family val="1"/>
    </font>
    <font>
      <b/>
      <sz val="9"/>
      <name val="Arial Narrow"/>
      <family val="2"/>
    </font>
    <font>
      <sz val="9"/>
      <name val="Times New Roman"/>
      <family val="1"/>
    </font>
    <font>
      <b/>
      <sz val="16"/>
      <name val="Arial"/>
      <family val="2"/>
    </font>
    <font>
      <sz val="16"/>
      <name val="Arial"/>
      <family val="2"/>
    </font>
    <font>
      <b/>
      <i/>
      <sz val="11"/>
      <name val="Arial"/>
      <family val="2"/>
    </font>
    <font>
      <b/>
      <sz val="8"/>
      <color indexed="8"/>
      <name val="Candara"/>
      <family val="2"/>
    </font>
    <font>
      <b/>
      <sz val="8"/>
      <name val="Candara"/>
      <family val="2"/>
    </font>
    <font>
      <b/>
      <sz val="8"/>
      <name val="MS Reference Sans Serif"/>
      <family val="2"/>
    </font>
    <font>
      <b/>
      <sz val="12"/>
      <name val="Candara"/>
      <family val="2"/>
    </font>
    <font>
      <b/>
      <sz val="11"/>
      <name val="Times New Roman"/>
      <family val="1"/>
    </font>
    <font>
      <sz val="11"/>
      <name val="Times New Roman"/>
      <family val="1"/>
    </font>
    <font>
      <sz val="11"/>
      <name val="Verdana"/>
      <family val="2"/>
    </font>
    <font>
      <b/>
      <sz val="9"/>
      <name val="Candara"/>
      <family val="2"/>
    </font>
    <font>
      <sz val="8"/>
      <name val="Candar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b/>
      <sz val="8"/>
      <color indexed="8"/>
      <name val="Calibri"/>
      <family val="2"/>
    </font>
    <font>
      <b/>
      <i/>
      <sz val="11"/>
      <color indexed="8"/>
      <name val="Calibri"/>
      <family val="2"/>
    </font>
    <font>
      <sz val="11"/>
      <name val="Calibri"/>
      <family val="2"/>
    </font>
    <font>
      <b/>
      <sz val="14"/>
      <name val="Calibri"/>
      <family val="2"/>
    </font>
    <font>
      <b/>
      <sz val="11"/>
      <name val="Calibri"/>
      <family val="2"/>
    </font>
    <font>
      <b/>
      <sz val="8"/>
      <color indexed="10"/>
      <name val="Arial"/>
      <family val="2"/>
    </font>
    <font>
      <sz val="16"/>
      <color indexed="10"/>
      <name val="Calibri"/>
      <family val="2"/>
    </font>
    <font>
      <sz val="8"/>
      <color indexed="10"/>
      <name val="Calibri"/>
      <family val="2"/>
    </font>
    <font>
      <b/>
      <sz val="10"/>
      <color indexed="10"/>
      <name val="MS Reference Sans Serif"/>
      <family val="2"/>
    </font>
    <font>
      <sz val="10"/>
      <color indexed="8"/>
      <name val="Calibri"/>
      <family val="2"/>
    </font>
    <font>
      <b/>
      <sz val="10"/>
      <color indexed="8"/>
      <name val="Calibri"/>
      <family val="2"/>
    </font>
    <font>
      <sz val="16"/>
      <name val="Calibri"/>
      <family val="2"/>
    </font>
    <font>
      <sz val="12"/>
      <name val="Calibri"/>
      <family val="2"/>
    </font>
    <font>
      <b/>
      <sz val="12"/>
      <name val="Calibri"/>
      <family val="2"/>
    </font>
    <font>
      <sz val="20"/>
      <color indexed="8"/>
      <name val="Calibri"/>
      <family val="2"/>
    </font>
    <font>
      <sz val="8"/>
      <color indexed="8"/>
      <name val="Candara"/>
      <family val="2"/>
    </font>
    <font>
      <sz val="8"/>
      <color indexed="8"/>
      <name val="Calibri"/>
      <family val="2"/>
    </font>
    <font>
      <sz val="16"/>
      <color indexed="8"/>
      <name val="Calibri"/>
      <family val="2"/>
    </font>
    <font>
      <sz val="8"/>
      <color indexed="10"/>
      <name val="Candara"/>
      <family val="2"/>
    </font>
    <font>
      <b/>
      <i/>
      <sz val="10"/>
      <color indexed="8"/>
      <name val="Arial"/>
      <family val="2"/>
    </font>
    <font>
      <b/>
      <sz val="11"/>
      <color indexed="10"/>
      <name val="Calibri"/>
      <family val="2"/>
    </font>
    <font>
      <b/>
      <sz val="8"/>
      <color indexed="10"/>
      <name val="MS Reference Sans Serif"/>
      <family val="2"/>
    </font>
    <font>
      <sz val="8"/>
      <color indexed="8"/>
      <name val="Arial"/>
      <family val="2"/>
    </font>
    <font>
      <sz val="12"/>
      <color indexed="8"/>
      <name val="Arial"/>
      <family val="2"/>
    </font>
    <font>
      <b/>
      <sz val="12"/>
      <color indexed="8"/>
      <name val="Candara"/>
      <family val="2"/>
    </font>
    <font>
      <b/>
      <sz val="16"/>
      <color indexed="8"/>
      <name val="Calibri"/>
      <family val="2"/>
    </font>
    <font>
      <sz val="10"/>
      <color indexed="63"/>
      <name val="Candara"/>
      <family val="2"/>
    </font>
    <font>
      <b/>
      <sz val="9"/>
      <color indexed="8"/>
      <name val="Candara"/>
      <family val="2"/>
    </font>
    <font>
      <b/>
      <sz val="12"/>
      <color indexed="8"/>
      <name val="Calibri"/>
      <family val="2"/>
    </font>
    <font>
      <b/>
      <sz val="14"/>
      <color indexed="8"/>
      <name val="Candara"/>
      <family val="2"/>
    </font>
    <font>
      <sz val="22"/>
      <color indexed="8"/>
      <name val="Calibri"/>
      <family val="2"/>
    </font>
    <font>
      <b/>
      <sz val="11"/>
      <color indexed="8"/>
      <name val="Candara"/>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b/>
      <sz val="8"/>
      <color theme="1"/>
      <name val="Calibri"/>
      <family val="2"/>
    </font>
    <font>
      <b/>
      <i/>
      <sz val="11"/>
      <color theme="1"/>
      <name val="Calibri"/>
      <family val="2"/>
    </font>
    <font>
      <sz val="10"/>
      <color theme="1"/>
      <name val="Candara"/>
      <family val="2"/>
    </font>
    <font>
      <sz val="10"/>
      <color rgb="FF000000"/>
      <name val="Candara"/>
      <family val="2"/>
    </font>
    <font>
      <b/>
      <sz val="10"/>
      <color theme="1"/>
      <name val="Candara"/>
      <family val="2"/>
    </font>
    <font>
      <b/>
      <sz val="10"/>
      <color rgb="FF000000"/>
      <name val="Candara"/>
      <family val="2"/>
    </font>
    <font>
      <sz val="20"/>
      <color theme="1"/>
      <name val="Candara"/>
      <family val="2"/>
    </font>
    <font>
      <b/>
      <sz val="8"/>
      <color rgb="FFFF0000"/>
      <name val="Arial"/>
      <family val="2"/>
    </font>
    <font>
      <sz val="16"/>
      <color rgb="FFFF0000"/>
      <name val="Calibri"/>
      <family val="2"/>
    </font>
    <font>
      <sz val="8"/>
      <color rgb="FFFF0000"/>
      <name val="Calibri"/>
      <family val="2"/>
    </font>
    <font>
      <b/>
      <sz val="10"/>
      <color rgb="FFFF0000"/>
      <name val="MS Reference Sans Serif"/>
      <family val="2"/>
    </font>
    <font>
      <sz val="10"/>
      <color theme="1"/>
      <name val="Calibri"/>
      <family val="2"/>
    </font>
    <font>
      <b/>
      <sz val="10"/>
      <color theme="1"/>
      <name val="Calibri"/>
      <family val="2"/>
    </font>
    <font>
      <sz val="20"/>
      <color theme="1"/>
      <name val="Calibri"/>
      <family val="2"/>
    </font>
    <font>
      <sz val="8"/>
      <color rgb="FF000000"/>
      <name val="Candara"/>
      <family val="2"/>
    </font>
    <font>
      <b/>
      <sz val="8"/>
      <color theme="1"/>
      <name val="Candara"/>
      <family val="2"/>
    </font>
    <font>
      <b/>
      <sz val="8"/>
      <color rgb="FF000000"/>
      <name val="Candara"/>
      <family val="2"/>
    </font>
    <font>
      <sz val="8"/>
      <color theme="1"/>
      <name val="Candara"/>
      <family val="2"/>
    </font>
    <font>
      <sz val="8"/>
      <color theme="1"/>
      <name val="Calibri"/>
      <family val="2"/>
    </font>
    <font>
      <sz val="16"/>
      <color theme="1"/>
      <name val="Calibri"/>
      <family val="2"/>
    </font>
    <font>
      <sz val="8"/>
      <color rgb="FFFF0000"/>
      <name val="Candara"/>
      <family val="2"/>
    </font>
    <font>
      <b/>
      <sz val="10"/>
      <color theme="1"/>
      <name val="Arial"/>
      <family val="2"/>
    </font>
    <font>
      <sz val="10"/>
      <color theme="1"/>
      <name val="Arial"/>
      <family val="2"/>
    </font>
    <font>
      <b/>
      <i/>
      <sz val="10"/>
      <color theme="1"/>
      <name val="Arial"/>
      <family val="2"/>
    </font>
    <font>
      <b/>
      <sz val="11"/>
      <color theme="1"/>
      <name val="Arial"/>
      <family val="2"/>
    </font>
    <font>
      <b/>
      <sz val="11"/>
      <color rgb="FFFF0000"/>
      <name val="Calibri"/>
      <family val="2"/>
    </font>
    <font>
      <b/>
      <sz val="8"/>
      <color rgb="FFFF0000"/>
      <name val="MS Reference Sans Serif"/>
      <family val="2"/>
    </font>
    <font>
      <sz val="8"/>
      <color theme="1"/>
      <name val="Arial"/>
      <family val="2"/>
    </font>
    <font>
      <sz val="11"/>
      <color theme="1"/>
      <name val="Arial"/>
      <family val="2"/>
    </font>
    <font>
      <sz val="12"/>
      <color theme="1"/>
      <name val="Arial"/>
      <family val="2"/>
    </font>
    <font>
      <b/>
      <sz val="12"/>
      <color theme="1"/>
      <name val="Candara"/>
      <family val="2"/>
    </font>
    <font>
      <b/>
      <sz val="12"/>
      <color theme="1"/>
      <name val="Calibri"/>
      <family val="2"/>
    </font>
    <font>
      <b/>
      <sz val="14"/>
      <color theme="1"/>
      <name val="Candara"/>
      <family val="2"/>
    </font>
    <font>
      <sz val="22"/>
      <color theme="1"/>
      <name val="Calibri"/>
      <family val="2"/>
    </font>
    <font>
      <b/>
      <sz val="12"/>
      <color rgb="FF000000"/>
      <name val="Candara"/>
      <family val="2"/>
    </font>
    <font>
      <b/>
      <sz val="9"/>
      <color theme="1"/>
      <name val="Candara"/>
      <family val="2"/>
    </font>
    <font>
      <sz val="10"/>
      <color rgb="FF2A2A2A"/>
      <name val="Candara"/>
      <family val="2"/>
    </font>
    <font>
      <b/>
      <sz val="16"/>
      <color theme="1"/>
      <name val="Calibri"/>
      <family val="2"/>
    </font>
    <font>
      <b/>
      <sz val="11"/>
      <color theme="1"/>
      <name val="Candara"/>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ck"/>
      <bottom style="thin"/>
    </border>
    <border>
      <left/>
      <right style="thin"/>
      <top style="thick"/>
      <bottom style="thin"/>
    </border>
    <border>
      <left style="thin"/>
      <right style="thin"/>
      <top style="thick"/>
      <bottom style="thin"/>
    </border>
    <border>
      <left style="thin"/>
      <right style="thick"/>
      <top style="thin"/>
      <bottom style="thin"/>
    </border>
    <border>
      <left style="thin"/>
      <right style="thin"/>
      <top style="thin"/>
      <bottom style="thick"/>
    </border>
    <border>
      <left style="medium"/>
      <right style="thin"/>
      <top style="thin"/>
      <bottom style="thin"/>
    </border>
    <border>
      <left style="thin"/>
      <right style="thin"/>
      <top style="thin"/>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style="medium"/>
      <right style="medium"/>
      <top/>
      <bottom/>
    </border>
    <border>
      <left/>
      <right style="medium"/>
      <top/>
      <bottom/>
    </border>
    <border>
      <left style="medium"/>
      <right/>
      <top style="medium"/>
      <bottom style="thin"/>
    </border>
    <border>
      <left style="medium"/>
      <right style="medium"/>
      <top style="medium"/>
      <bottom style="thin"/>
    </border>
    <border>
      <left/>
      <right style="medium"/>
      <top style="medium"/>
      <bottom style="thin"/>
    </border>
    <border>
      <left style="medium"/>
      <right/>
      <top style="thin"/>
      <bottom style="thin"/>
    </border>
    <border>
      <left style="medium"/>
      <right style="medium"/>
      <top style="thin"/>
      <bottom style="thin"/>
    </border>
    <border>
      <left/>
      <right style="medium"/>
      <top style="thin"/>
      <bottom style="thin"/>
    </border>
    <border>
      <left style="medium"/>
      <right style="medium"/>
      <top style="thin"/>
      <bottom/>
    </border>
    <border>
      <left style="medium"/>
      <right style="medium"/>
      <top style="thin"/>
      <bottom style="medium"/>
    </border>
    <border>
      <left style="medium"/>
      <right/>
      <top/>
      <bottom style="thin"/>
    </border>
    <border>
      <left style="medium"/>
      <right style="thin"/>
      <top style="medium"/>
      <bottom style="thin"/>
    </border>
    <border>
      <left style="thin"/>
      <right style="medium"/>
      <top style="medium"/>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bottom/>
    </border>
    <border>
      <left style="medium"/>
      <right/>
      <top style="thin"/>
      <bottom/>
    </border>
    <border>
      <left style="medium"/>
      <right/>
      <top style="medium"/>
      <bottom/>
    </border>
    <border>
      <left style="medium"/>
      <right/>
      <top/>
      <bottom style="medium"/>
    </border>
    <border>
      <left/>
      <right style="medium"/>
      <top style="thin"/>
      <bottom style="medium"/>
    </border>
    <border>
      <left style="medium"/>
      <right style="medium"/>
      <top style="medium"/>
      <bottom style="medium"/>
    </border>
    <border>
      <left/>
      <right style="medium"/>
      <top/>
      <bottom style="medium"/>
    </border>
    <border>
      <left style="medium"/>
      <right/>
      <top style="medium"/>
      <bottom style="medium"/>
    </border>
    <border>
      <left/>
      <right style="medium"/>
      <top style="medium"/>
      <bottom style="medium"/>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thin"/>
      <right style="thin"/>
      <top style="medium"/>
      <bottom style="thin"/>
    </border>
    <border>
      <left style="thin"/>
      <right style="thin"/>
      <top>
        <color indexed="63"/>
      </top>
      <bottom>
        <color indexed="63"/>
      </bottom>
    </border>
    <border>
      <left style="thin"/>
      <right style="thin"/>
      <top style="medium"/>
      <bottom/>
    </border>
    <border>
      <left style="medium"/>
      <right style="thin"/>
      <top style="medium"/>
      <bottom style="medium"/>
    </border>
    <border>
      <left/>
      <right style="thin"/>
      <top/>
      <bottom/>
    </border>
    <border>
      <left style="thin"/>
      <right style="thin"/>
      <top/>
      <bottom style="medium"/>
    </border>
    <border>
      <left style="thin"/>
      <right style="medium"/>
      <top style="medium"/>
      <bottom/>
    </border>
    <border>
      <left style="thin"/>
      <right style="thin"/>
      <top style="medium"/>
      <bottom style="medium"/>
    </border>
    <border>
      <left>
        <color indexed="63"/>
      </left>
      <right>
        <color indexed="63"/>
      </right>
      <top>
        <color indexed="63"/>
      </top>
      <bottom style="medium"/>
    </border>
    <border>
      <left/>
      <right style="thin"/>
      <top style="thin"/>
      <bottom/>
    </border>
    <border>
      <left>
        <color indexed="63"/>
      </left>
      <right style="thin"/>
      <top style="medium"/>
      <bottom style="medium"/>
    </border>
    <border>
      <left/>
      <right/>
      <top style="thin"/>
      <bottom/>
    </border>
    <border>
      <left>
        <color indexed="63"/>
      </left>
      <right style="thin"/>
      <top style="thin"/>
      <bottom style="thick"/>
    </border>
    <border>
      <left style="thin"/>
      <right style="medium"/>
      <top style="thin"/>
      <bottom style="thin"/>
    </border>
    <border>
      <left style="medium"/>
      <right style="thin"/>
      <top style="thin"/>
      <bottom/>
    </border>
    <border>
      <left style="medium"/>
      <right style="thin"/>
      <top/>
      <bottom style="thin"/>
    </border>
    <border>
      <left style="thin"/>
      <right style="medium"/>
      <top style="medium"/>
      <bottom style="medium"/>
    </border>
    <border>
      <left style="thick"/>
      <right style="thick"/>
      <top>
        <color indexed="63"/>
      </top>
      <bottom>
        <color indexed="63"/>
      </bottom>
    </border>
    <border>
      <left style="thin"/>
      <right style="medium"/>
      <top/>
      <bottom style="medium"/>
    </border>
    <border>
      <left>
        <color indexed="63"/>
      </left>
      <right style="thick"/>
      <top>
        <color indexed="63"/>
      </top>
      <bottom>
        <color indexed="63"/>
      </bottom>
    </border>
    <border>
      <left style="thick"/>
      <right>
        <color indexed="63"/>
      </right>
      <top>
        <color indexed="63"/>
      </top>
      <bottom>
        <color indexed="63"/>
      </bottom>
    </border>
    <border>
      <left style="medium"/>
      <right style="thin"/>
      <top style="medium"/>
      <bottom/>
    </border>
    <border>
      <left style="thin"/>
      <right/>
      <top/>
      <bottom style="thin"/>
    </border>
    <border>
      <left/>
      <right/>
      <top style="thin"/>
      <bottom style="thin"/>
    </border>
    <border>
      <left style="medium"/>
      <right style="thin"/>
      <top/>
      <bottom style="medium"/>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bottom/>
    </border>
    <border>
      <left style="thin"/>
      <right style="medium"/>
      <top/>
      <bottom>
        <color indexed="63"/>
      </bottom>
    </border>
    <border>
      <left style="thin"/>
      <right>
        <color indexed="63"/>
      </right>
      <top>
        <color indexed="63"/>
      </top>
      <bottom>
        <color indexed="63"/>
      </bottom>
    </border>
    <border>
      <left/>
      <right/>
      <top style="medium"/>
      <bottom>
        <color indexed="63"/>
      </bottom>
    </border>
    <border>
      <left style="thin"/>
      <right>
        <color indexed="63"/>
      </right>
      <top style="medium"/>
      <bottom style="thin"/>
    </border>
    <border>
      <left style="thin"/>
      <right style="medium"/>
      <top>
        <color indexed="63"/>
      </top>
      <bottom style="thin"/>
    </border>
    <border>
      <left style="thin"/>
      <right>
        <color indexed="63"/>
      </right>
      <top style="medium"/>
      <bottom>
        <color indexed="63"/>
      </bottom>
    </border>
    <border>
      <left/>
      <right/>
      <top/>
      <bottom style="thin"/>
    </border>
    <border>
      <left style="thin"/>
      <right>
        <color indexed="63"/>
      </right>
      <top style="medium"/>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1" fillId="20" borderId="0" applyNumberFormat="0" applyBorder="0" applyAlignment="0" applyProtection="0"/>
    <xf numFmtId="0" fontId="132" fillId="21" borderId="1" applyNumberFormat="0" applyAlignment="0" applyProtection="0"/>
    <xf numFmtId="0" fontId="133" fillId="22" borderId="2" applyNumberFormat="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0" applyNumberFormat="0" applyFill="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0" fillId="26" borderId="0" applyNumberFormat="0" applyBorder="0" applyAlignment="0" applyProtection="0"/>
    <xf numFmtId="0" fontId="130" fillId="27" borderId="0" applyNumberFormat="0" applyBorder="0" applyAlignment="0" applyProtection="0"/>
    <xf numFmtId="0" fontId="130" fillId="28" borderId="0" applyNumberFormat="0" applyBorder="0" applyAlignment="0" applyProtection="0"/>
    <xf numFmtId="0" fontId="137" fillId="29" borderId="1" applyNumberFormat="0" applyAlignment="0" applyProtection="0"/>
    <xf numFmtId="0" fontId="2" fillId="0" borderId="0" applyFill="0" applyBorder="0">
      <alignment wrapText="1"/>
      <protection/>
    </xf>
    <xf numFmtId="186" fontId="3" fillId="0" borderId="0" applyFont="0" applyFill="0" applyBorder="0" applyAlignment="0" applyProtection="0"/>
    <xf numFmtId="0" fontId="41" fillId="0" borderId="0" applyNumberFormat="0" applyFill="0" applyBorder="0" applyAlignment="0" applyProtection="0"/>
    <xf numFmtId="0" fontId="138" fillId="0" borderId="0" applyNumberFormat="0" applyFill="0" applyBorder="0" applyAlignment="0" applyProtection="0"/>
    <xf numFmtId="0" fontId="1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184" fontId="0"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21" borderId="6" applyNumberFormat="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7" applyNumberFormat="0" applyFill="0" applyAlignment="0" applyProtection="0"/>
    <xf numFmtId="0" fontId="136" fillId="0" borderId="8" applyNumberFormat="0" applyFill="0" applyAlignment="0" applyProtection="0"/>
    <xf numFmtId="0" fontId="146" fillId="0" borderId="9" applyNumberFormat="0" applyFill="0" applyAlignment="0" applyProtection="0"/>
  </cellStyleXfs>
  <cellXfs count="1590">
    <xf numFmtId="0" fontId="0" fillId="0" borderId="0" xfId="0" applyFont="1" applyAlignment="1">
      <alignment/>
    </xf>
    <xf numFmtId="0" fontId="3" fillId="0" borderId="0" xfId="82">
      <alignment/>
      <protection/>
    </xf>
    <xf numFmtId="0" fontId="3" fillId="0" borderId="10" xfId="82" applyBorder="1">
      <alignment/>
      <protection/>
    </xf>
    <xf numFmtId="0" fontId="3" fillId="0" borderId="10" xfId="82" applyFont="1" applyBorder="1">
      <alignment/>
      <protection/>
    </xf>
    <xf numFmtId="0" fontId="3" fillId="0" borderId="0" xfId="82" applyFont="1">
      <alignment/>
      <protection/>
    </xf>
    <xf numFmtId="0" fontId="6" fillId="0" borderId="0" xfId="82" applyFont="1">
      <alignment/>
      <protection/>
    </xf>
    <xf numFmtId="0" fontId="14" fillId="0" borderId="11" xfId="82" applyFont="1" applyBorder="1" applyAlignment="1">
      <alignment/>
      <protection/>
    </xf>
    <xf numFmtId="0" fontId="14" fillId="0" borderId="12" xfId="82" applyFont="1" applyBorder="1" applyAlignment="1">
      <alignment/>
      <protection/>
    </xf>
    <xf numFmtId="0" fontId="3" fillId="0" borderId="13" xfId="82" applyBorder="1">
      <alignment/>
      <protection/>
    </xf>
    <xf numFmtId="0" fontId="15" fillId="0" borderId="10" xfId="82" applyFont="1" applyBorder="1">
      <alignment/>
      <protection/>
    </xf>
    <xf numFmtId="0" fontId="16" fillId="0" borderId="10" xfId="82" applyNumberFormat="1" applyFont="1" applyFill="1" applyBorder="1" applyAlignment="1" applyProtection="1">
      <alignment horizontal="center"/>
      <protection/>
    </xf>
    <xf numFmtId="0" fontId="10" fillId="0" borderId="10" xfId="82" applyFont="1" applyBorder="1">
      <alignment/>
      <protection/>
    </xf>
    <xf numFmtId="0" fontId="10" fillId="0" borderId="14" xfId="82" applyFont="1" applyBorder="1">
      <alignment/>
      <protection/>
    </xf>
    <xf numFmtId="190" fontId="10" fillId="0" borderId="10" xfId="82" applyNumberFormat="1" applyFont="1" applyBorder="1">
      <alignment/>
      <protection/>
    </xf>
    <xf numFmtId="190" fontId="15" fillId="0" borderId="10" xfId="82" applyNumberFormat="1" applyFont="1" applyBorder="1">
      <alignment/>
      <protection/>
    </xf>
    <xf numFmtId="0" fontId="15" fillId="0" borderId="15" xfId="82" applyFont="1" applyBorder="1">
      <alignment/>
      <protection/>
    </xf>
    <xf numFmtId="190" fontId="3" fillId="0" borderId="0" xfId="82" applyNumberFormat="1">
      <alignment/>
      <protection/>
    </xf>
    <xf numFmtId="3" fontId="3" fillId="0" borderId="0" xfId="82" applyNumberFormat="1">
      <alignment/>
      <protection/>
    </xf>
    <xf numFmtId="0" fontId="6" fillId="0" borderId="0" xfId="82" applyFont="1" applyAlignment="1">
      <alignment horizontal="left" vertical="center" wrapText="1"/>
      <protection/>
    </xf>
    <xf numFmtId="0" fontId="6" fillId="0" borderId="0" xfId="82" applyFont="1" applyBorder="1" applyAlignment="1">
      <alignment horizontal="left" vertical="center" wrapText="1"/>
      <protection/>
    </xf>
    <xf numFmtId="3" fontId="4" fillId="0" borderId="0" xfId="82" applyNumberFormat="1" applyFont="1" applyBorder="1" applyAlignment="1">
      <alignment vertical="center" wrapText="1"/>
      <protection/>
    </xf>
    <xf numFmtId="0" fontId="18" fillId="0" borderId="0" xfId="82" applyNumberFormat="1" applyFont="1" applyFill="1" applyBorder="1" applyAlignment="1" applyProtection="1">
      <alignment/>
      <protection/>
    </xf>
    <xf numFmtId="0" fontId="18" fillId="0" borderId="0" xfId="82" applyNumberFormat="1" applyFont="1" applyFill="1" applyBorder="1" applyAlignment="1" applyProtection="1">
      <alignment horizontal="center"/>
      <protection/>
    </xf>
    <xf numFmtId="191" fontId="18" fillId="0" borderId="0" xfId="96" applyNumberFormat="1" applyFont="1" applyFill="1" applyBorder="1" applyAlignment="1" applyProtection="1">
      <alignment/>
      <protection/>
    </xf>
    <xf numFmtId="191" fontId="19" fillId="0" borderId="0" xfId="82" applyNumberFormat="1" applyFont="1">
      <alignment/>
      <protection/>
    </xf>
    <xf numFmtId="9" fontId="19" fillId="33" borderId="0" xfId="82" applyNumberFormat="1" applyFont="1" applyFill="1">
      <alignment/>
      <protection/>
    </xf>
    <xf numFmtId="9" fontId="19" fillId="0" borderId="0" xfId="82" applyNumberFormat="1" applyFont="1">
      <alignment/>
      <protection/>
    </xf>
    <xf numFmtId="0" fontId="19" fillId="0" borderId="0" xfId="82" applyFont="1">
      <alignment/>
      <protection/>
    </xf>
    <xf numFmtId="0" fontId="10" fillId="0" borderId="0" xfId="82" applyFont="1">
      <alignment/>
      <protection/>
    </xf>
    <xf numFmtId="191" fontId="19" fillId="0" borderId="0" xfId="96" applyNumberFormat="1" applyFont="1" applyAlignment="1">
      <alignment/>
    </xf>
    <xf numFmtId="10" fontId="19" fillId="0" borderId="0" xfId="82" applyNumberFormat="1" applyFont="1">
      <alignment/>
      <protection/>
    </xf>
    <xf numFmtId="191" fontId="18" fillId="0" borderId="0" xfId="96" applyNumberFormat="1" applyFont="1" applyAlignment="1">
      <alignment/>
    </xf>
    <xf numFmtId="191" fontId="18" fillId="0" borderId="0" xfId="82" applyNumberFormat="1" applyFont="1">
      <alignment/>
      <protection/>
    </xf>
    <xf numFmtId="0" fontId="14" fillId="0" borderId="0" xfId="82" applyFont="1" applyAlignment="1">
      <alignment horizontal="center"/>
      <protection/>
    </xf>
    <xf numFmtId="0" fontId="12" fillId="0" borderId="0" xfId="82" applyFont="1">
      <alignment/>
      <protection/>
    </xf>
    <xf numFmtId="49" fontId="6" fillId="34" borderId="0" xfId="74" applyNumberFormat="1" applyFont="1" applyFill="1" applyBorder="1" applyAlignment="1">
      <alignment horizontal="center" vertical="center"/>
    </xf>
    <xf numFmtId="190" fontId="20" fillId="35" borderId="0" xfId="82" applyNumberFormat="1" applyFont="1" applyFill="1" applyBorder="1">
      <alignment/>
      <protection/>
    </xf>
    <xf numFmtId="0" fontId="6" fillId="0" borderId="16" xfId="82" applyFont="1" applyFill="1" applyBorder="1" applyAlignment="1">
      <alignment horizontal="left" vertical="center" wrapText="1"/>
      <protection/>
    </xf>
    <xf numFmtId="190" fontId="6" fillId="0" borderId="10" xfId="82" applyNumberFormat="1" applyFont="1" applyFill="1" applyBorder="1">
      <alignment/>
      <protection/>
    </xf>
    <xf numFmtId="190" fontId="20" fillId="0" borderId="0" xfId="82" applyNumberFormat="1" applyFont="1" applyFill="1" applyBorder="1">
      <alignment/>
      <protection/>
    </xf>
    <xf numFmtId="0" fontId="3" fillId="0" borderId="16" xfId="82" applyFont="1" applyFill="1" applyBorder="1" applyAlignment="1">
      <alignment horizontal="left" vertical="center" wrapText="1"/>
      <protection/>
    </xf>
    <xf numFmtId="190" fontId="3" fillId="0" borderId="10" xfId="82" applyNumberFormat="1" applyFont="1" applyFill="1" applyBorder="1">
      <alignment/>
      <protection/>
    </xf>
    <xf numFmtId="190" fontId="6" fillId="0" borderId="0" xfId="82" applyNumberFormat="1" applyFont="1" applyFill="1" applyBorder="1">
      <alignment/>
      <protection/>
    </xf>
    <xf numFmtId="189" fontId="19" fillId="0" borderId="10" xfId="74" applyNumberFormat="1" applyFont="1" applyFill="1" applyBorder="1" applyAlignment="1" applyProtection="1">
      <alignment/>
      <protection/>
    </xf>
    <xf numFmtId="189" fontId="19" fillId="0" borderId="0" xfId="74" applyNumberFormat="1" applyFont="1" applyFill="1" applyBorder="1" applyAlignment="1" applyProtection="1">
      <alignment/>
      <protection/>
    </xf>
    <xf numFmtId="0" fontId="21" fillId="0" borderId="16" xfId="82" applyFont="1" applyFill="1" applyBorder="1" applyAlignment="1">
      <alignment horizontal="left" vertical="center" wrapText="1"/>
      <protection/>
    </xf>
    <xf numFmtId="190" fontId="21" fillId="0" borderId="10" xfId="82" applyNumberFormat="1" applyFont="1" applyFill="1" applyBorder="1">
      <alignment/>
      <protection/>
    </xf>
    <xf numFmtId="190" fontId="7" fillId="0" borderId="10" xfId="82" applyNumberFormat="1" applyFont="1" applyFill="1" applyBorder="1">
      <alignment/>
      <protection/>
    </xf>
    <xf numFmtId="189" fontId="18" fillId="0" borderId="10" xfId="74" applyNumberFormat="1" applyFont="1" applyFill="1" applyBorder="1" applyAlignment="1" applyProtection="1">
      <alignment/>
      <protection/>
    </xf>
    <xf numFmtId="190" fontId="10" fillId="35" borderId="0" xfId="82" applyNumberFormat="1" applyFont="1" applyFill="1" applyBorder="1">
      <alignment/>
      <protection/>
    </xf>
    <xf numFmtId="190" fontId="10" fillId="0" borderId="0" xfId="82" applyNumberFormat="1" applyFont="1" applyBorder="1">
      <alignment/>
      <protection/>
    </xf>
    <xf numFmtId="190" fontId="6" fillId="0" borderId="10" xfId="82" applyNumberFormat="1" applyFont="1" applyBorder="1">
      <alignment/>
      <protection/>
    </xf>
    <xf numFmtId="190" fontId="15" fillId="0" borderId="0" xfId="82" applyNumberFormat="1" applyFont="1" applyBorder="1">
      <alignment/>
      <protection/>
    </xf>
    <xf numFmtId="190" fontId="10" fillId="0" borderId="17" xfId="82" applyNumberFormat="1" applyFont="1" applyBorder="1">
      <alignment/>
      <protection/>
    </xf>
    <xf numFmtId="0" fontId="15" fillId="0" borderId="0" xfId="82" applyFont="1" applyFill="1" applyBorder="1" applyAlignment="1">
      <alignment horizontal="left" vertical="center" wrapText="1"/>
      <protection/>
    </xf>
    <xf numFmtId="0" fontId="6" fillId="34" borderId="18" xfId="82" applyFont="1" applyFill="1" applyBorder="1" applyAlignment="1">
      <alignment horizontal="left" vertical="center" wrapText="1"/>
      <protection/>
    </xf>
    <xf numFmtId="190" fontId="6" fillId="34" borderId="18" xfId="82" applyNumberFormat="1" applyFont="1" applyFill="1" applyBorder="1">
      <alignment/>
      <protection/>
    </xf>
    <xf numFmtId="190" fontId="10" fillId="34" borderId="18" xfId="82" applyNumberFormat="1" applyFont="1" applyFill="1" applyBorder="1">
      <alignment/>
      <protection/>
    </xf>
    <xf numFmtId="190" fontId="10" fillId="34" borderId="0" xfId="82" applyNumberFormat="1" applyFont="1" applyFill="1" applyBorder="1">
      <alignment/>
      <protection/>
    </xf>
    <xf numFmtId="190" fontId="10" fillId="36" borderId="0" xfId="82" applyNumberFormat="1" applyFont="1" applyFill="1" applyBorder="1">
      <alignment/>
      <protection/>
    </xf>
    <xf numFmtId="0" fontId="6" fillId="37" borderId="0" xfId="82" applyFont="1" applyFill="1" applyBorder="1">
      <alignment/>
      <protection/>
    </xf>
    <xf numFmtId="0" fontId="22" fillId="34" borderId="0" xfId="82" applyFont="1" applyFill="1" applyProtection="1">
      <alignment/>
      <protection/>
    </xf>
    <xf numFmtId="0" fontId="22" fillId="0" borderId="0" xfId="82" applyFont="1" applyFill="1" applyProtection="1">
      <alignment/>
      <protection/>
    </xf>
    <xf numFmtId="0" fontId="25" fillId="0" borderId="0" xfId="82" applyFont="1" applyFill="1" applyProtection="1">
      <alignment/>
      <protection/>
    </xf>
    <xf numFmtId="0" fontId="26" fillId="38" borderId="19" xfId="82" applyFont="1" applyFill="1" applyBorder="1" applyAlignment="1" applyProtection="1">
      <alignment horizontal="centerContinuous" vertical="center" wrapText="1"/>
      <protection/>
    </xf>
    <xf numFmtId="0" fontId="26" fillId="38" borderId="19" xfId="82" applyFont="1" applyFill="1" applyBorder="1" applyAlignment="1" applyProtection="1">
      <alignment horizontal="centerContinuous" vertical="center"/>
      <protection/>
    </xf>
    <xf numFmtId="0" fontId="27" fillId="38" borderId="19" xfId="82" applyFont="1" applyFill="1" applyBorder="1" applyAlignment="1" applyProtection="1">
      <alignment horizontal="centerContinuous" vertical="center" wrapText="1"/>
      <protection/>
    </xf>
    <xf numFmtId="0" fontId="26" fillId="38" borderId="20" xfId="82" applyFont="1" applyFill="1" applyBorder="1" applyAlignment="1" applyProtection="1">
      <alignment horizontal="centerContinuous" vertical="center" wrapText="1"/>
      <protection/>
    </xf>
    <xf numFmtId="0" fontId="26" fillId="38" borderId="20" xfId="82" applyFont="1" applyFill="1" applyBorder="1" applyAlignment="1" applyProtection="1">
      <alignment horizontal="center" vertical="center" wrapText="1"/>
      <protection/>
    </xf>
    <xf numFmtId="0" fontId="28" fillId="38" borderId="19" xfId="82" applyFont="1" applyFill="1" applyBorder="1" applyAlignment="1" applyProtection="1">
      <alignment horizontal="center" vertical="center" wrapText="1"/>
      <protection/>
    </xf>
    <xf numFmtId="0" fontId="26" fillId="38" borderId="21" xfId="82" applyFont="1" applyFill="1" applyBorder="1" applyAlignment="1" applyProtection="1">
      <alignment horizontal="centerContinuous" vertical="center" wrapText="1"/>
      <protection/>
    </xf>
    <xf numFmtId="0" fontId="26" fillId="38" borderId="21" xfId="82" applyFont="1" applyFill="1" applyBorder="1" applyAlignment="1" applyProtection="1">
      <alignment horizontal="centerContinuous" vertical="center"/>
      <protection/>
    </xf>
    <xf numFmtId="0" fontId="20" fillId="38" borderId="22" xfId="82" applyFont="1" applyFill="1" applyBorder="1" applyAlignment="1" applyProtection="1">
      <alignment horizontal="center" vertical="center"/>
      <protection/>
    </xf>
    <xf numFmtId="1" fontId="26" fillId="38" borderId="23" xfId="82" applyNumberFormat="1" applyFont="1" applyFill="1" applyBorder="1" applyAlignment="1" applyProtection="1">
      <alignment horizontal="centerContinuous" vertical="center" wrapText="1"/>
      <protection/>
    </xf>
    <xf numFmtId="0" fontId="26" fillId="38" borderId="23" xfId="82" applyFont="1" applyFill="1" applyBorder="1" applyAlignment="1" applyProtection="1">
      <alignment horizontal="centerContinuous" vertical="center" wrapText="1"/>
      <protection/>
    </xf>
    <xf numFmtId="0" fontId="28" fillId="38" borderId="22" xfId="82" applyFont="1" applyFill="1" applyBorder="1" applyAlignment="1" applyProtection="1">
      <alignment horizontal="centerContinuous" vertical="center" wrapText="1"/>
      <protection/>
    </xf>
    <xf numFmtId="49" fontId="26" fillId="38" borderId="24" xfId="82" applyNumberFormat="1" applyFont="1" applyFill="1" applyBorder="1" applyAlignment="1" applyProtection="1">
      <alignment horizontal="left" vertical="center"/>
      <protection/>
    </xf>
    <xf numFmtId="0" fontId="27" fillId="38" borderId="25" xfId="82" applyFont="1" applyFill="1" applyBorder="1" applyAlignment="1" applyProtection="1">
      <alignment vertical="center"/>
      <protection/>
    </xf>
    <xf numFmtId="3" fontId="26" fillId="38" borderId="26" xfId="82" applyNumberFormat="1" applyFont="1" applyFill="1" applyBorder="1" applyAlignment="1" applyProtection="1">
      <alignment horizontal="right" vertical="center"/>
      <protection/>
    </xf>
    <xf numFmtId="3" fontId="26" fillId="38" borderId="25" xfId="82" applyNumberFormat="1" applyFont="1" applyFill="1" applyBorder="1" applyAlignment="1" applyProtection="1">
      <alignment horizontal="right" vertical="center"/>
      <protection/>
    </xf>
    <xf numFmtId="3" fontId="28" fillId="38" borderId="25" xfId="82" applyNumberFormat="1" applyFont="1" applyFill="1" applyBorder="1" applyAlignment="1" applyProtection="1">
      <alignment horizontal="right"/>
      <protection/>
    </xf>
    <xf numFmtId="0" fontId="22" fillId="34" borderId="0" xfId="82" applyFont="1" applyFill="1" applyAlignment="1" applyProtection="1">
      <alignment vertical="center"/>
      <protection/>
    </xf>
    <xf numFmtId="0" fontId="22" fillId="0" borderId="0" xfId="82" applyFont="1" applyFill="1" applyAlignment="1" applyProtection="1">
      <alignment vertical="center"/>
      <protection/>
    </xf>
    <xf numFmtId="192" fontId="29" fillId="38" borderId="27" xfId="82" applyNumberFormat="1" applyFont="1" applyFill="1" applyBorder="1" applyAlignment="1" applyProtection="1">
      <alignment horizontal="left" vertical="center"/>
      <protection/>
    </xf>
    <xf numFmtId="0" fontId="22" fillId="38" borderId="28" xfId="82" applyFont="1" applyFill="1" applyBorder="1" applyAlignment="1" applyProtection="1">
      <alignment vertical="center"/>
      <protection/>
    </xf>
    <xf numFmtId="3" fontId="22" fillId="38" borderId="29" xfId="82" applyNumberFormat="1" applyFont="1" applyFill="1" applyBorder="1" applyAlignment="1" applyProtection="1">
      <alignment horizontal="right" vertical="center"/>
      <protection/>
    </xf>
    <xf numFmtId="3" fontId="29" fillId="38" borderId="28" xfId="82" applyNumberFormat="1" applyFont="1" applyFill="1" applyBorder="1" applyAlignment="1" applyProtection="1">
      <alignment horizontal="right" vertical="center"/>
      <protection/>
    </xf>
    <xf numFmtId="3" fontId="30" fillId="38" borderId="28" xfId="82" applyNumberFormat="1" applyFont="1" applyFill="1" applyBorder="1" applyAlignment="1" applyProtection="1">
      <alignment horizontal="right"/>
      <protection/>
    </xf>
    <xf numFmtId="0" fontId="22" fillId="38" borderId="28" xfId="82" applyFont="1" applyFill="1" applyBorder="1" applyAlignment="1" applyProtection="1">
      <alignment horizontal="left" vertical="center"/>
      <protection/>
    </xf>
    <xf numFmtId="1" fontId="29" fillId="38" borderId="27" xfId="82" applyNumberFormat="1" applyFont="1" applyFill="1" applyBorder="1" applyAlignment="1" applyProtection="1">
      <alignment horizontal="left" vertical="center"/>
      <protection/>
    </xf>
    <xf numFmtId="0" fontId="29" fillId="38" borderId="28" xfId="82" applyFont="1" applyFill="1" applyBorder="1" applyAlignment="1" applyProtection="1">
      <alignment horizontal="left" vertical="center"/>
      <protection/>
    </xf>
    <xf numFmtId="3" fontId="31" fillId="38" borderId="29" xfId="82" applyNumberFormat="1" applyFont="1" applyFill="1" applyBorder="1" applyAlignment="1" applyProtection="1">
      <alignment horizontal="right" vertical="center"/>
      <protection/>
    </xf>
    <xf numFmtId="3" fontId="31" fillId="38" borderId="28" xfId="82" applyNumberFormat="1" applyFont="1" applyFill="1" applyBorder="1" applyAlignment="1" applyProtection="1">
      <alignment horizontal="right" vertical="center"/>
      <protection/>
    </xf>
    <xf numFmtId="3" fontId="13" fillId="38" borderId="28" xfId="82" applyNumberFormat="1" applyFont="1" applyFill="1" applyBorder="1" applyAlignment="1" applyProtection="1">
      <alignment horizontal="right"/>
      <protection/>
    </xf>
    <xf numFmtId="49" fontId="26" fillId="38" borderId="27" xfId="82" applyNumberFormat="1" applyFont="1" applyFill="1" applyBorder="1" applyAlignment="1" applyProtection="1">
      <alignment horizontal="left" vertical="center"/>
      <protection/>
    </xf>
    <xf numFmtId="0" fontId="26" fillId="38" borderId="28" xfId="82" applyFont="1" applyFill="1" applyBorder="1" applyAlignment="1" applyProtection="1">
      <alignment horizontal="left" vertical="center"/>
      <protection/>
    </xf>
    <xf numFmtId="3" fontId="26" fillId="38" borderId="29" xfId="82" applyNumberFormat="1" applyFont="1" applyFill="1" applyBorder="1" applyAlignment="1" applyProtection="1">
      <alignment horizontal="right" vertical="center"/>
      <protection/>
    </xf>
    <xf numFmtId="3" fontId="26" fillId="38" borderId="28" xfId="82" applyNumberFormat="1" applyFont="1" applyFill="1" applyBorder="1" applyAlignment="1" applyProtection="1">
      <alignment horizontal="right" vertical="center"/>
      <protection/>
    </xf>
    <xf numFmtId="3" fontId="28" fillId="38" borderId="28" xfId="82" applyNumberFormat="1" applyFont="1" applyFill="1" applyBorder="1" applyAlignment="1" applyProtection="1">
      <alignment horizontal="right"/>
      <protection/>
    </xf>
    <xf numFmtId="3" fontId="22" fillId="38" borderId="28" xfId="82" applyNumberFormat="1" applyFont="1" applyFill="1" applyBorder="1" applyAlignment="1" applyProtection="1">
      <alignment horizontal="right" vertical="center"/>
      <protection/>
    </xf>
    <xf numFmtId="0" fontId="29" fillId="38" borderId="28" xfId="82" applyFont="1" applyFill="1" applyBorder="1" applyAlignment="1" applyProtection="1">
      <alignment horizontal="left" vertical="center" wrapText="1"/>
      <protection/>
    </xf>
    <xf numFmtId="3" fontId="31" fillId="38" borderId="30" xfId="82" applyNumberFormat="1" applyFont="1" applyFill="1" applyBorder="1" applyAlignment="1" applyProtection="1">
      <alignment horizontal="right" vertical="center"/>
      <protection/>
    </xf>
    <xf numFmtId="3" fontId="22" fillId="38" borderId="30" xfId="82" applyNumberFormat="1" applyFont="1" applyFill="1" applyBorder="1" applyAlignment="1" applyProtection="1">
      <alignment horizontal="right" vertical="center"/>
      <protection/>
    </xf>
    <xf numFmtId="3" fontId="13" fillId="38" borderId="30" xfId="82" applyNumberFormat="1" applyFont="1" applyFill="1" applyBorder="1" applyAlignment="1" applyProtection="1">
      <alignment horizontal="right"/>
      <protection/>
    </xf>
    <xf numFmtId="1" fontId="26" fillId="38" borderId="31" xfId="82" applyNumberFormat="1" applyFont="1" applyFill="1" applyBorder="1" applyAlignment="1" applyProtection="1">
      <alignment horizontal="left" vertical="center"/>
      <protection/>
    </xf>
    <xf numFmtId="3" fontId="22" fillId="38" borderId="31" xfId="82" applyNumberFormat="1" applyFont="1" applyFill="1" applyBorder="1" applyAlignment="1" applyProtection="1">
      <alignment horizontal="right" vertical="center"/>
      <protection/>
    </xf>
    <xf numFmtId="3" fontId="13" fillId="38" borderId="31" xfId="82" applyNumberFormat="1" applyFont="1" applyFill="1" applyBorder="1" applyAlignment="1" applyProtection="1">
      <alignment horizontal="right"/>
      <protection/>
    </xf>
    <xf numFmtId="1" fontId="26" fillId="38" borderId="32" xfId="82" applyNumberFormat="1" applyFont="1" applyFill="1" applyBorder="1" applyAlignment="1" applyProtection="1">
      <alignment horizontal="left" vertical="center"/>
      <protection/>
    </xf>
    <xf numFmtId="1" fontId="26" fillId="38" borderId="25" xfId="82" applyNumberFormat="1" applyFont="1" applyFill="1" applyBorder="1" applyAlignment="1" applyProtection="1">
      <alignment horizontal="left" vertical="center"/>
      <protection/>
    </xf>
    <xf numFmtId="3" fontId="26" fillId="38" borderId="33" xfId="82" applyNumberFormat="1" applyFont="1" applyFill="1" applyBorder="1" applyAlignment="1" applyProtection="1">
      <alignment horizontal="right" vertical="center"/>
      <protection/>
    </xf>
    <xf numFmtId="3" fontId="26" fillId="38" borderId="34" xfId="82" applyNumberFormat="1" applyFont="1" applyFill="1" applyBorder="1" applyAlignment="1" applyProtection="1">
      <alignment horizontal="right" vertical="center"/>
      <protection/>
    </xf>
    <xf numFmtId="1" fontId="26" fillId="38" borderId="35" xfId="82" applyNumberFormat="1" applyFont="1" applyFill="1" applyBorder="1" applyAlignment="1" applyProtection="1">
      <alignment horizontal="left" vertical="center"/>
      <protection/>
    </xf>
    <xf numFmtId="0" fontId="32" fillId="38" borderId="31" xfId="82" applyFont="1" applyFill="1" applyBorder="1" applyAlignment="1" applyProtection="1">
      <alignment horizontal="left" vertical="center"/>
      <protection/>
    </xf>
    <xf numFmtId="3" fontId="29" fillId="38" borderId="31" xfId="96" applyNumberFormat="1" applyFont="1" applyFill="1" applyBorder="1" applyAlignment="1" applyProtection="1">
      <alignment horizontal="right" vertical="center"/>
      <protection locked="0"/>
    </xf>
    <xf numFmtId="193" fontId="28" fillId="39" borderId="36" xfId="96" applyNumberFormat="1" applyFont="1" applyFill="1" applyBorder="1" applyAlignment="1" applyProtection="1">
      <alignment horizontal="center"/>
      <protection locked="0"/>
    </xf>
    <xf numFmtId="193" fontId="29" fillId="38" borderId="37" xfId="96" applyNumberFormat="1" applyFont="1" applyFill="1" applyBorder="1" applyAlignment="1" applyProtection="1">
      <alignment horizontal="centerContinuous" vertical="center"/>
      <protection/>
    </xf>
    <xf numFmtId="193" fontId="28" fillId="40" borderId="36" xfId="96" applyNumberFormat="1" applyFont="1" applyFill="1" applyBorder="1" applyAlignment="1" applyProtection="1">
      <alignment horizontal="center"/>
      <protection locked="0"/>
    </xf>
    <xf numFmtId="193" fontId="28" fillId="0" borderId="0" xfId="96" applyNumberFormat="1" applyFont="1" applyFill="1" applyBorder="1" applyAlignment="1" applyProtection="1">
      <alignment horizontal="centerContinuous"/>
      <protection/>
    </xf>
    <xf numFmtId="0" fontId="27" fillId="34" borderId="0" xfId="82" applyFont="1" applyFill="1" applyBorder="1" applyAlignment="1">
      <alignment horizontal="left" vertical="center"/>
      <protection/>
    </xf>
    <xf numFmtId="1" fontId="26" fillId="34" borderId="38" xfId="82" applyNumberFormat="1" applyFont="1" applyFill="1" applyBorder="1" applyAlignment="1" applyProtection="1">
      <alignment horizontal="left" vertical="center"/>
      <protection/>
    </xf>
    <xf numFmtId="3" fontId="26" fillId="34" borderId="0" xfId="82" applyNumberFormat="1" applyFont="1" applyFill="1" applyBorder="1" applyAlignment="1" applyProtection="1">
      <alignment horizontal="centerContinuous" vertical="center"/>
      <protection/>
    </xf>
    <xf numFmtId="3" fontId="26" fillId="34" borderId="0" xfId="82" applyNumberFormat="1" applyFont="1" applyFill="1" applyBorder="1" applyAlignment="1" applyProtection="1">
      <alignment horizontal="right" vertical="center"/>
      <protection/>
    </xf>
    <xf numFmtId="3" fontId="28" fillId="0" borderId="0" xfId="82" applyNumberFormat="1" applyFont="1" applyFill="1" applyBorder="1" applyAlignment="1" applyProtection="1">
      <alignment horizontal="right"/>
      <protection/>
    </xf>
    <xf numFmtId="3" fontId="26" fillId="38" borderId="25" xfId="82" applyNumberFormat="1" applyFont="1" applyFill="1" applyBorder="1" applyAlignment="1" applyProtection="1">
      <alignment horizontal="left" vertical="center"/>
      <protection locked="0"/>
    </xf>
    <xf numFmtId="0" fontId="22" fillId="38" borderId="27" xfId="82" applyFont="1" applyFill="1" applyBorder="1" applyAlignment="1" applyProtection="1">
      <alignment horizontal="left" vertical="center"/>
      <protection/>
    </xf>
    <xf numFmtId="1" fontId="29" fillId="38" borderId="28" xfId="82" applyNumberFormat="1" applyFont="1" applyFill="1" applyBorder="1" applyAlignment="1" applyProtection="1">
      <alignment horizontal="left" vertical="center"/>
      <protection/>
    </xf>
    <xf numFmtId="3" fontId="26" fillId="38" borderId="28" xfId="82" applyNumberFormat="1" applyFont="1" applyFill="1" applyBorder="1" applyAlignment="1" applyProtection="1">
      <alignment horizontal="center" vertical="center"/>
      <protection locked="0"/>
    </xf>
    <xf numFmtId="3" fontId="29" fillId="38" borderId="28" xfId="82" applyNumberFormat="1" applyFont="1" applyFill="1" applyBorder="1" applyAlignment="1" applyProtection="1">
      <alignment horizontal="right" vertical="center"/>
      <protection locked="0"/>
    </xf>
    <xf numFmtId="3" fontId="30" fillId="37" borderId="28" xfId="82" applyNumberFormat="1" applyFont="1" applyFill="1" applyBorder="1" applyAlignment="1" applyProtection="1">
      <alignment horizontal="right"/>
      <protection/>
    </xf>
    <xf numFmtId="49" fontId="22" fillId="38" borderId="27" xfId="82" applyNumberFormat="1" applyFont="1" applyFill="1" applyBorder="1" applyAlignment="1" applyProtection="1">
      <alignment horizontal="left" vertical="center"/>
      <protection/>
    </xf>
    <xf numFmtId="3" fontId="27" fillId="38" borderId="28" xfId="82" applyNumberFormat="1" applyFont="1" applyFill="1" applyBorder="1" applyAlignment="1" applyProtection="1">
      <alignment horizontal="center" vertical="center"/>
      <protection locked="0"/>
    </xf>
    <xf numFmtId="3" fontId="30" fillId="38" borderId="28" xfId="82" applyNumberFormat="1" applyFont="1" applyFill="1" applyBorder="1" applyAlignment="1" applyProtection="1">
      <alignment horizontal="right"/>
      <protection locked="0"/>
    </xf>
    <xf numFmtId="0" fontId="27" fillId="38" borderId="27" xfId="82" applyFont="1" applyFill="1" applyBorder="1" applyAlignment="1">
      <alignment horizontal="left" vertical="center"/>
      <protection/>
    </xf>
    <xf numFmtId="49" fontId="29" fillId="38" borderId="27" xfId="82" applyNumberFormat="1" applyFont="1" applyFill="1" applyBorder="1" applyAlignment="1" applyProtection="1">
      <alignment horizontal="left" vertical="center"/>
      <protection/>
    </xf>
    <xf numFmtId="3" fontId="26" fillId="38" borderId="28" xfId="82" applyNumberFormat="1" applyFont="1" applyFill="1" applyBorder="1" applyAlignment="1" applyProtection="1">
      <alignment horizontal="left" vertical="center"/>
      <protection locked="0"/>
    </xf>
    <xf numFmtId="0" fontId="22" fillId="38" borderId="39" xfId="82" applyFont="1" applyFill="1" applyBorder="1" applyAlignment="1" applyProtection="1">
      <alignment horizontal="left" vertical="center"/>
      <protection/>
    </xf>
    <xf numFmtId="1" fontId="29" fillId="38" borderId="30" xfId="82" applyNumberFormat="1" applyFont="1" applyFill="1" applyBorder="1" applyAlignment="1" applyProtection="1">
      <alignment horizontal="left" vertical="center"/>
      <protection/>
    </xf>
    <xf numFmtId="3" fontId="26" fillId="38" borderId="30" xfId="82" applyNumberFormat="1" applyFont="1" applyFill="1" applyBorder="1" applyAlignment="1" applyProtection="1">
      <alignment horizontal="left" vertical="center"/>
      <protection locked="0"/>
    </xf>
    <xf numFmtId="3" fontId="29" fillId="38" borderId="30" xfId="82" applyNumberFormat="1" applyFont="1" applyFill="1" applyBorder="1" applyAlignment="1" applyProtection="1">
      <alignment horizontal="right" vertical="center"/>
      <protection/>
    </xf>
    <xf numFmtId="0" fontId="22" fillId="34" borderId="0" xfId="82" applyFont="1" applyFill="1" applyBorder="1" applyAlignment="1" applyProtection="1">
      <alignment vertical="center"/>
      <protection/>
    </xf>
    <xf numFmtId="0" fontId="22" fillId="0" borderId="0" xfId="82" applyFont="1" applyFill="1" applyBorder="1" applyAlignment="1" applyProtection="1">
      <alignment vertical="center"/>
      <protection/>
    </xf>
    <xf numFmtId="49" fontId="27" fillId="38" borderId="27" xfId="82" applyNumberFormat="1" applyFont="1" applyFill="1" applyBorder="1" applyAlignment="1" applyProtection="1">
      <alignment horizontal="left" vertical="center"/>
      <protection/>
    </xf>
    <xf numFmtId="1" fontId="26" fillId="38" borderId="28" xfId="82" applyNumberFormat="1" applyFont="1" applyFill="1" applyBorder="1" applyAlignment="1" applyProtection="1">
      <alignment horizontal="left" vertical="center"/>
      <protection/>
    </xf>
    <xf numFmtId="49" fontId="22" fillId="38" borderId="35" xfId="82" applyNumberFormat="1" applyFont="1" applyFill="1" applyBorder="1" applyAlignment="1" applyProtection="1">
      <alignment horizontal="left" vertical="center"/>
      <protection/>
    </xf>
    <xf numFmtId="1" fontId="29" fillId="38" borderId="31" xfId="82" applyNumberFormat="1" applyFont="1" applyFill="1" applyBorder="1" applyAlignment="1" applyProtection="1">
      <alignment horizontal="left" vertical="center"/>
      <protection/>
    </xf>
    <xf numFmtId="3" fontId="26" fillId="38" borderId="31" xfId="82" applyNumberFormat="1" applyFont="1" applyFill="1" applyBorder="1" applyAlignment="1" applyProtection="1">
      <alignment horizontal="left" vertical="center"/>
      <protection locked="0"/>
    </xf>
    <xf numFmtId="3" fontId="29" fillId="38" borderId="31" xfId="82" applyNumberFormat="1" applyFont="1" applyFill="1" applyBorder="1" applyAlignment="1" applyProtection="1">
      <alignment horizontal="right" vertical="center"/>
      <protection locked="0"/>
    </xf>
    <xf numFmtId="3" fontId="29" fillId="38" borderId="31" xfId="82" applyNumberFormat="1" applyFont="1" applyFill="1" applyBorder="1" applyAlignment="1" applyProtection="1">
      <alignment horizontal="right" vertical="center"/>
      <protection/>
    </xf>
    <xf numFmtId="3" fontId="30" fillId="38" borderId="31" xfId="82" applyNumberFormat="1" applyFont="1" applyFill="1" applyBorder="1" applyAlignment="1" applyProtection="1">
      <alignment horizontal="right"/>
      <protection locked="0"/>
    </xf>
    <xf numFmtId="49" fontId="27" fillId="34" borderId="0" xfId="82" applyNumberFormat="1" applyFont="1" applyFill="1" applyBorder="1" applyAlignment="1" applyProtection="1">
      <alignment horizontal="left" vertical="center"/>
      <protection/>
    </xf>
    <xf numFmtId="0" fontId="3" fillId="0" borderId="0" xfId="82" applyFill="1" applyProtection="1">
      <alignment/>
      <protection/>
    </xf>
    <xf numFmtId="49" fontId="22" fillId="38" borderId="24" xfId="82" applyNumberFormat="1" applyFont="1" applyFill="1" applyBorder="1" applyAlignment="1" applyProtection="1">
      <alignment horizontal="left" vertical="center"/>
      <protection/>
    </xf>
    <xf numFmtId="1" fontId="29" fillId="38" borderId="25" xfId="82" applyNumberFormat="1" applyFont="1" applyFill="1" applyBorder="1" applyAlignment="1" applyProtection="1">
      <alignment horizontal="left" vertical="center"/>
      <protection/>
    </xf>
    <xf numFmtId="3" fontId="27" fillId="38" borderId="25" xfId="82" applyNumberFormat="1" applyFont="1" applyFill="1" applyBorder="1" applyAlignment="1" applyProtection="1">
      <alignment horizontal="right" vertical="center"/>
      <protection locked="0"/>
    </xf>
    <xf numFmtId="3" fontId="13" fillId="38" borderId="25" xfId="82" applyNumberFormat="1" applyFont="1" applyFill="1" applyBorder="1" applyAlignment="1" applyProtection="1">
      <alignment horizontal="right"/>
      <protection locked="0"/>
    </xf>
    <xf numFmtId="3" fontId="22" fillId="38" borderId="25" xfId="82" applyNumberFormat="1" applyFont="1" applyFill="1" applyBorder="1" applyAlignment="1" applyProtection="1">
      <alignment horizontal="right" vertical="center"/>
      <protection/>
    </xf>
    <xf numFmtId="3" fontId="26" fillId="38" borderId="28" xfId="82" applyNumberFormat="1" applyFont="1" applyFill="1" applyBorder="1" applyAlignment="1" applyProtection="1">
      <alignment horizontal="right" vertical="center"/>
      <protection locked="0"/>
    </xf>
    <xf numFmtId="3" fontId="26" fillId="38" borderId="31" xfId="82" applyNumberFormat="1" applyFont="1" applyFill="1" applyBorder="1" applyAlignment="1" applyProtection="1">
      <alignment horizontal="right" vertical="center"/>
      <protection locked="0"/>
    </xf>
    <xf numFmtId="0" fontId="27" fillId="34" borderId="38" xfId="82" applyFont="1" applyFill="1" applyBorder="1" applyAlignment="1" applyProtection="1">
      <alignment horizontal="left" vertical="center"/>
      <protection/>
    </xf>
    <xf numFmtId="3" fontId="27" fillId="34" borderId="0" xfId="82" applyNumberFormat="1" applyFont="1" applyFill="1" applyBorder="1" applyAlignment="1" applyProtection="1">
      <alignment horizontal="centerContinuous" vertical="center"/>
      <protection/>
    </xf>
    <xf numFmtId="3" fontId="22" fillId="34" borderId="0" xfId="82" applyNumberFormat="1" applyFont="1" applyFill="1" applyBorder="1" applyAlignment="1" applyProtection="1">
      <alignment vertical="center"/>
      <protection/>
    </xf>
    <xf numFmtId="49" fontId="22" fillId="38" borderId="40" xfId="82" applyNumberFormat="1" applyFont="1" applyFill="1" applyBorder="1" applyAlignment="1" applyProtection="1">
      <alignment horizontal="left" vertical="center"/>
      <protection/>
    </xf>
    <xf numFmtId="3" fontId="28" fillId="38" borderId="26" xfId="82" applyNumberFormat="1" applyFont="1" applyFill="1" applyBorder="1" applyAlignment="1" applyProtection="1">
      <alignment horizontal="right"/>
      <protection/>
    </xf>
    <xf numFmtId="0" fontId="22" fillId="38" borderId="41" xfId="82" applyFont="1" applyFill="1" applyBorder="1" applyAlignment="1" applyProtection="1">
      <alignment horizontal="left" vertical="center"/>
      <protection/>
    </xf>
    <xf numFmtId="3" fontId="26" fillId="38" borderId="42" xfId="82" applyNumberFormat="1" applyFont="1" applyFill="1" applyBorder="1" applyAlignment="1" applyProtection="1">
      <alignment horizontal="right" vertical="center"/>
      <protection/>
    </xf>
    <xf numFmtId="3" fontId="28" fillId="38" borderId="42" xfId="82" applyNumberFormat="1" applyFont="1" applyFill="1" applyBorder="1" applyAlignment="1" applyProtection="1">
      <alignment horizontal="right"/>
      <protection/>
    </xf>
    <xf numFmtId="0" fontId="27" fillId="38" borderId="40" xfId="82" applyFont="1" applyFill="1" applyBorder="1" applyAlignment="1">
      <alignment horizontal="left" vertical="center"/>
      <protection/>
    </xf>
    <xf numFmtId="4" fontId="27" fillId="38" borderId="25" xfId="82" applyNumberFormat="1" applyFont="1" applyFill="1" applyBorder="1" applyAlignment="1" applyProtection="1">
      <alignment horizontal="right" vertical="center"/>
      <protection locked="0"/>
    </xf>
    <xf numFmtId="191" fontId="26" fillId="38" borderId="26" xfId="96" applyNumberFormat="1" applyFont="1" applyFill="1" applyBorder="1" applyAlignment="1" applyProtection="1">
      <alignment horizontal="right" vertical="center"/>
      <protection/>
    </xf>
    <xf numFmtId="191" fontId="28" fillId="38" borderId="26" xfId="96" applyNumberFormat="1" applyFont="1" applyFill="1" applyBorder="1" applyAlignment="1" applyProtection="1">
      <alignment horizontal="right"/>
      <protection/>
    </xf>
    <xf numFmtId="0" fontId="27" fillId="38" borderId="38" xfId="82" applyFont="1" applyFill="1" applyBorder="1" applyAlignment="1">
      <alignment horizontal="left" vertical="center"/>
      <protection/>
    </xf>
    <xf numFmtId="1" fontId="33" fillId="38" borderId="30" xfId="82" applyNumberFormat="1" applyFont="1" applyFill="1" applyBorder="1" applyAlignment="1" applyProtection="1">
      <alignment horizontal="left" vertical="center"/>
      <protection/>
    </xf>
    <xf numFmtId="191" fontId="26" fillId="38" borderId="29" xfId="96" applyNumberFormat="1" applyFont="1" applyFill="1" applyBorder="1" applyAlignment="1" applyProtection="1">
      <alignment horizontal="right" vertical="center"/>
      <protection/>
    </xf>
    <xf numFmtId="191" fontId="28" fillId="38" borderId="29" xfId="96" applyNumberFormat="1" applyFont="1" applyFill="1" applyBorder="1" applyAlignment="1" applyProtection="1">
      <alignment horizontal="right"/>
      <protection/>
    </xf>
    <xf numFmtId="1" fontId="26" fillId="38" borderId="41" xfId="82" applyNumberFormat="1" applyFont="1" applyFill="1" applyBorder="1" applyAlignment="1" applyProtection="1">
      <alignment horizontal="left" vertical="center"/>
      <protection/>
    </xf>
    <xf numFmtId="1" fontId="26" fillId="38" borderId="43" xfId="82" applyNumberFormat="1" applyFont="1" applyFill="1" applyBorder="1" applyAlignment="1" applyProtection="1">
      <alignment horizontal="left" vertical="center"/>
      <protection/>
    </xf>
    <xf numFmtId="1" fontId="26" fillId="38" borderId="42" xfId="82" applyNumberFormat="1" applyFont="1" applyFill="1" applyBorder="1" applyAlignment="1" applyProtection="1">
      <alignment horizontal="center" vertical="center" wrapText="1"/>
      <protection locked="0"/>
    </xf>
    <xf numFmtId="1" fontId="26" fillId="38" borderId="42" xfId="82" applyNumberFormat="1" applyFont="1" applyFill="1" applyBorder="1" applyAlignment="1" applyProtection="1">
      <alignment horizontal="center" vertical="center" wrapText="1"/>
      <protection/>
    </xf>
    <xf numFmtId="1" fontId="28" fillId="38" borderId="42" xfId="82" applyNumberFormat="1" applyFont="1" applyFill="1" applyBorder="1" applyAlignment="1" applyProtection="1">
      <alignment horizontal="center" vertical="center" wrapText="1"/>
      <protection/>
    </xf>
    <xf numFmtId="0" fontId="27" fillId="34" borderId="0" xfId="82" applyFont="1" applyFill="1" applyProtection="1">
      <alignment/>
      <protection/>
    </xf>
    <xf numFmtId="0" fontId="3" fillId="34" borderId="0" xfId="82" applyFill="1" applyProtection="1">
      <alignment/>
      <protection/>
    </xf>
    <xf numFmtId="0" fontId="27" fillId="34" borderId="0" xfId="82" applyFont="1" applyFill="1" applyAlignment="1" applyProtection="1">
      <alignment horizontal="right"/>
      <protection/>
    </xf>
    <xf numFmtId="0" fontId="26" fillId="34" borderId="0" xfId="82" applyFont="1" applyFill="1" applyBorder="1" applyAlignment="1" applyProtection="1">
      <alignment horizontal="left"/>
      <protection/>
    </xf>
    <xf numFmtId="4" fontId="22" fillId="34" borderId="0" xfId="82" applyNumberFormat="1" applyFont="1" applyFill="1" applyProtection="1">
      <alignment/>
      <protection/>
    </xf>
    <xf numFmtId="4" fontId="3" fillId="34" borderId="0" xfId="82" applyNumberFormat="1" applyFill="1" applyProtection="1">
      <alignment/>
      <protection/>
    </xf>
    <xf numFmtId="0" fontId="26" fillId="34" borderId="0" xfId="82" applyFont="1" applyFill="1" applyBorder="1" applyAlignment="1" applyProtection="1">
      <alignment horizontal="right"/>
      <protection/>
    </xf>
    <xf numFmtId="4" fontId="26" fillId="34" borderId="0" xfId="82" applyNumberFormat="1" applyFont="1" applyFill="1" applyBorder="1" applyAlignment="1" applyProtection="1">
      <alignment horizontal="left"/>
      <protection/>
    </xf>
    <xf numFmtId="4" fontId="26" fillId="34" borderId="0" xfId="82" applyNumberFormat="1" applyFont="1" applyFill="1" applyBorder="1" applyAlignment="1" applyProtection="1">
      <alignment horizontal="right"/>
      <protection/>
    </xf>
    <xf numFmtId="4" fontId="34" fillId="34" borderId="0" xfId="82" applyNumberFormat="1" applyFont="1" applyFill="1" applyBorder="1" applyAlignment="1" applyProtection="1">
      <alignment horizontal="left"/>
      <protection/>
    </xf>
    <xf numFmtId="192" fontId="26" fillId="34" borderId="0" xfId="82" applyNumberFormat="1" applyFont="1" applyFill="1" applyBorder="1" applyAlignment="1" applyProtection="1">
      <alignment horizontal="centerContinuous"/>
      <protection/>
    </xf>
    <xf numFmtId="0" fontId="26" fillId="34" borderId="0" xfId="82" applyFont="1" applyFill="1" applyBorder="1" applyAlignment="1" applyProtection="1">
      <alignment horizontal="centerContinuous"/>
      <protection/>
    </xf>
    <xf numFmtId="4" fontId="26" fillId="34" borderId="0" xfId="82" applyNumberFormat="1" applyFont="1" applyFill="1" applyBorder="1" applyAlignment="1" applyProtection="1">
      <alignment horizontal="centerContinuous"/>
      <protection/>
    </xf>
    <xf numFmtId="194" fontId="26" fillId="34" borderId="0" xfId="82" applyNumberFormat="1" applyFont="1" applyFill="1" applyBorder="1" applyAlignment="1" applyProtection="1">
      <alignment horizontal="centerContinuous"/>
      <protection/>
    </xf>
    <xf numFmtId="194" fontId="34" fillId="34" borderId="0" xfId="82" applyNumberFormat="1" applyFont="1" applyFill="1" applyBorder="1" applyAlignment="1" applyProtection="1">
      <alignment horizontal="right"/>
      <protection/>
    </xf>
    <xf numFmtId="0" fontId="27" fillId="34" borderId="0" xfId="82" applyFont="1" applyFill="1" applyBorder="1" applyAlignment="1" applyProtection="1">
      <alignment horizontal="centerContinuous"/>
      <protection/>
    </xf>
    <xf numFmtId="0" fontId="27" fillId="34" borderId="0" xfId="82" applyFont="1" applyFill="1" applyBorder="1" applyAlignment="1" applyProtection="1">
      <alignment horizontal="center"/>
      <protection/>
    </xf>
    <xf numFmtId="0" fontId="35" fillId="34" borderId="0" xfId="82" applyFont="1" applyFill="1" applyBorder="1" applyAlignment="1" applyProtection="1">
      <alignment horizontal="centerContinuous"/>
      <protection/>
    </xf>
    <xf numFmtId="0" fontId="24" fillId="34" borderId="0" xfId="82" applyFont="1" applyFill="1" applyBorder="1" applyAlignment="1" applyProtection="1">
      <alignment horizontal="centerContinuous" vertical="center"/>
      <protection/>
    </xf>
    <xf numFmtId="0" fontId="26" fillId="38" borderId="40" xfId="82" applyFont="1" applyFill="1" applyBorder="1" applyAlignment="1" applyProtection="1">
      <alignment horizontal="centerContinuous" vertical="center"/>
      <protection/>
    </xf>
    <xf numFmtId="0" fontId="36" fillId="38" borderId="19" xfId="82" applyFont="1" applyFill="1" applyBorder="1" applyAlignment="1" applyProtection="1">
      <alignment horizontal="centerContinuous" vertical="center" wrapText="1"/>
      <protection/>
    </xf>
    <xf numFmtId="0" fontId="26" fillId="38" borderId="41" xfId="82" applyFont="1" applyFill="1" applyBorder="1" applyAlignment="1" applyProtection="1">
      <alignment horizontal="centerContinuous" vertical="center"/>
      <protection/>
    </xf>
    <xf numFmtId="0" fontId="20" fillId="38" borderId="21" xfId="82" applyFont="1" applyFill="1" applyBorder="1" applyAlignment="1" applyProtection="1">
      <alignment horizontal="centerContinuous" vertical="center"/>
      <protection/>
    </xf>
    <xf numFmtId="0" fontId="27" fillId="38" borderId="21" xfId="82" applyFont="1" applyFill="1" applyBorder="1" applyAlignment="1" applyProtection="1">
      <alignment horizontal="centerContinuous" vertical="center" wrapText="1"/>
      <protection/>
    </xf>
    <xf numFmtId="0" fontId="36" fillId="38" borderId="21" xfId="82" applyFont="1" applyFill="1" applyBorder="1" applyAlignment="1" applyProtection="1">
      <alignment horizontal="centerContinuous" vertical="center" wrapText="1"/>
      <protection/>
    </xf>
    <xf numFmtId="1" fontId="26" fillId="38" borderId="19" xfId="82" applyNumberFormat="1" applyFont="1" applyFill="1" applyBorder="1" applyAlignment="1" applyProtection="1">
      <alignment horizontal="left" vertical="center"/>
      <protection/>
    </xf>
    <xf numFmtId="0" fontId="27" fillId="38" borderId="19" xfId="82" applyFont="1" applyFill="1" applyBorder="1" applyAlignment="1" applyProtection="1">
      <alignment vertical="center"/>
      <protection/>
    </xf>
    <xf numFmtId="3" fontId="26" fillId="38" borderId="19" xfId="82" applyNumberFormat="1" applyFont="1" applyFill="1" applyBorder="1" applyAlignment="1" applyProtection="1">
      <alignment horizontal="right" vertical="center"/>
      <protection/>
    </xf>
    <xf numFmtId="3" fontId="28" fillId="38" borderId="19" xfId="82" applyNumberFormat="1" applyFont="1" applyFill="1" applyBorder="1" applyAlignment="1" applyProtection="1">
      <alignment horizontal="right"/>
      <protection/>
    </xf>
    <xf numFmtId="1" fontId="26" fillId="38" borderId="22" xfId="82" applyNumberFormat="1" applyFont="1" applyFill="1" applyBorder="1" applyAlignment="1" applyProtection="1">
      <alignment horizontal="left" vertical="center"/>
      <protection/>
    </xf>
    <xf numFmtId="1" fontId="26" fillId="38" borderId="21" xfId="82" applyNumberFormat="1" applyFont="1" applyFill="1" applyBorder="1" applyAlignment="1" applyProtection="1">
      <alignment horizontal="left" vertical="center"/>
      <protection/>
    </xf>
    <xf numFmtId="3" fontId="26" fillId="38" borderId="21" xfId="82" applyNumberFormat="1" applyFont="1" applyFill="1" applyBorder="1" applyAlignment="1" applyProtection="1">
      <alignment horizontal="right" vertical="center"/>
      <protection/>
    </xf>
    <xf numFmtId="3" fontId="28" fillId="38" borderId="21" xfId="82" applyNumberFormat="1" applyFont="1" applyFill="1" applyBorder="1" applyAlignment="1" applyProtection="1">
      <alignment horizontal="right"/>
      <protection/>
    </xf>
    <xf numFmtId="0" fontId="22" fillId="34" borderId="0" xfId="82" applyFont="1" applyFill="1" applyBorder="1" applyAlignment="1" applyProtection="1">
      <alignment horizontal="left"/>
      <protection/>
    </xf>
    <xf numFmtId="1" fontId="26" fillId="34" borderId="0" xfId="82" applyNumberFormat="1" applyFont="1" applyFill="1" applyBorder="1" applyAlignment="1" applyProtection="1">
      <alignment horizontal="left"/>
      <protection/>
    </xf>
    <xf numFmtId="3" fontId="26" fillId="34" borderId="0" xfId="82" applyNumberFormat="1" applyFont="1" applyFill="1" applyBorder="1" applyAlignment="1" applyProtection="1">
      <alignment horizontal="left"/>
      <protection/>
    </xf>
    <xf numFmtId="3" fontId="26" fillId="34" borderId="0" xfId="82" applyNumberFormat="1" applyFont="1" applyFill="1" applyBorder="1" applyAlignment="1" applyProtection="1">
      <alignment horizontal="right"/>
      <protection/>
    </xf>
    <xf numFmtId="0" fontId="27" fillId="38" borderId="19" xfId="82" applyFont="1" applyFill="1" applyBorder="1" applyAlignment="1">
      <alignment horizontal="left"/>
      <protection/>
    </xf>
    <xf numFmtId="9" fontId="26" fillId="38" borderId="43" xfId="96" applyNumberFormat="1" applyFont="1" applyFill="1" applyBorder="1" applyAlignment="1" applyProtection="1">
      <alignment horizontal="right"/>
      <protection/>
    </xf>
    <xf numFmtId="191" fontId="26" fillId="38" borderId="26" xfId="96" applyNumberFormat="1" applyFont="1" applyFill="1" applyBorder="1" applyAlignment="1" applyProtection="1">
      <alignment horizontal="right"/>
      <protection/>
    </xf>
    <xf numFmtId="0" fontId="27" fillId="38" borderId="22" xfId="82" applyFont="1" applyFill="1" applyBorder="1" applyAlignment="1">
      <alignment horizontal="left"/>
      <protection/>
    </xf>
    <xf numFmtId="191" fontId="26" fillId="38" borderId="29" xfId="96" applyNumberFormat="1" applyFont="1" applyFill="1" applyBorder="1" applyAlignment="1" applyProtection="1">
      <alignment horizontal="right"/>
      <protection/>
    </xf>
    <xf numFmtId="1" fontId="26" fillId="38" borderId="21" xfId="82" applyNumberFormat="1" applyFont="1" applyFill="1" applyBorder="1" applyAlignment="1" applyProtection="1">
      <alignment horizontal="left"/>
      <protection/>
    </xf>
    <xf numFmtId="1" fontId="26" fillId="38" borderId="41" xfId="82" applyNumberFormat="1" applyFont="1" applyFill="1" applyBorder="1" applyAlignment="1" applyProtection="1">
      <alignment horizontal="left"/>
      <protection/>
    </xf>
    <xf numFmtId="1" fontId="26" fillId="38" borderId="43" xfId="82" applyNumberFormat="1" applyFont="1" applyFill="1" applyBorder="1" applyAlignment="1" applyProtection="1">
      <alignment horizontal="center" wrapText="1"/>
      <protection locked="0"/>
    </xf>
    <xf numFmtId="1" fontId="26" fillId="38" borderId="44" xfId="82" applyNumberFormat="1" applyFont="1" applyFill="1" applyBorder="1" applyAlignment="1" applyProtection="1">
      <alignment horizontal="center" wrapText="1"/>
      <protection/>
    </xf>
    <xf numFmtId="1" fontId="28" fillId="38" borderId="44" xfId="82" applyNumberFormat="1" applyFont="1" applyFill="1" applyBorder="1" applyAlignment="1" applyProtection="1">
      <alignment horizontal="center" wrapText="1"/>
      <protection/>
    </xf>
    <xf numFmtId="0" fontId="22" fillId="38" borderId="21" xfId="82" applyFont="1" applyFill="1" applyBorder="1" applyAlignment="1" applyProtection="1">
      <alignment vertical="center"/>
      <protection/>
    </xf>
    <xf numFmtId="1" fontId="26" fillId="38" borderId="43" xfId="82" applyNumberFormat="1" applyFont="1" applyFill="1" applyBorder="1" applyAlignment="1" applyProtection="1">
      <alignment horizontal="center" vertical="center" wrapText="1"/>
      <protection locked="0"/>
    </xf>
    <xf numFmtId="1" fontId="26" fillId="38" borderId="44" xfId="82" applyNumberFormat="1" applyFont="1" applyFill="1" applyBorder="1" applyAlignment="1" applyProtection="1">
      <alignment horizontal="center" vertical="center" wrapText="1"/>
      <protection/>
    </xf>
    <xf numFmtId="0" fontId="22" fillId="34" borderId="0" xfId="82" applyFont="1" applyFill="1" applyAlignment="1" applyProtection="1">
      <alignment horizontal="left"/>
      <protection/>
    </xf>
    <xf numFmtId="0" fontId="27" fillId="38" borderId="43" xfId="82" applyFont="1" applyFill="1" applyBorder="1" applyAlignment="1">
      <alignment horizontal="left"/>
      <protection/>
    </xf>
    <xf numFmtId="1" fontId="26" fillId="38" borderId="45" xfId="82" applyNumberFormat="1" applyFont="1" applyFill="1" applyBorder="1" applyAlignment="1" applyProtection="1">
      <alignment horizontal="left"/>
      <protection locked="0"/>
    </xf>
    <xf numFmtId="1" fontId="26" fillId="38" borderId="18" xfId="82" applyNumberFormat="1" applyFont="1" applyFill="1" applyBorder="1" applyAlignment="1" applyProtection="1">
      <alignment horizontal="left"/>
      <protection/>
    </xf>
    <xf numFmtId="1" fontId="26" fillId="38" borderId="46" xfId="82" applyNumberFormat="1" applyFont="1" applyFill="1" applyBorder="1" applyAlignment="1" applyProtection="1">
      <alignment horizontal="left"/>
      <protection/>
    </xf>
    <xf numFmtId="3" fontId="27" fillId="37" borderId="43" xfId="82" applyNumberFormat="1" applyFont="1" applyFill="1" applyBorder="1" applyAlignment="1" applyProtection="1">
      <alignment horizontal="right"/>
      <protection locked="0"/>
    </xf>
    <xf numFmtId="195" fontId="3" fillId="0" borderId="0" xfId="76" applyNumberFormat="1" applyFont="1" applyAlignment="1">
      <alignment/>
    </xf>
    <xf numFmtId="0" fontId="20" fillId="0" borderId="0" xfId="82" applyFont="1">
      <alignment/>
      <protection/>
    </xf>
    <xf numFmtId="195" fontId="40" fillId="0" borderId="0" xfId="76" applyNumberFormat="1" applyFont="1" applyAlignment="1">
      <alignment/>
    </xf>
    <xf numFmtId="0" fontId="20" fillId="41" borderId="10" xfId="82" applyFont="1" applyFill="1" applyBorder="1" applyAlignment="1">
      <alignment horizontal="center"/>
      <protection/>
    </xf>
    <xf numFmtId="1" fontId="20" fillId="41" borderId="47" xfId="76" applyNumberFormat="1" applyFont="1" applyFill="1" applyBorder="1" applyAlignment="1">
      <alignment horizontal="center"/>
    </xf>
    <xf numFmtId="195" fontId="2" fillId="0" borderId="48" xfId="76" applyNumberFormat="1" applyFont="1" applyBorder="1" applyAlignment="1">
      <alignment horizontal="center"/>
    </xf>
    <xf numFmtId="0" fontId="20" fillId="0" borderId="10" xfId="82" applyFont="1" applyFill="1" applyBorder="1">
      <alignment/>
      <protection/>
    </xf>
    <xf numFmtId="195" fontId="3" fillId="0" borderId="10" xfId="76" applyNumberFormat="1" applyFont="1" applyBorder="1" applyAlignment="1">
      <alignment/>
    </xf>
    <xf numFmtId="0" fontId="6" fillId="0" borderId="10" xfId="82" applyFont="1" applyBorder="1" applyAlignment="1">
      <alignment horizontal="justify" vertical="justify"/>
      <protection/>
    </xf>
    <xf numFmtId="3" fontId="0" fillId="0" borderId="0" xfId="57" applyNumberFormat="1" applyFont="1" applyAlignment="1">
      <alignment/>
    </xf>
    <xf numFmtId="3" fontId="146" fillId="0" borderId="0" xfId="57" applyNumberFormat="1" applyFont="1" applyAlignment="1">
      <alignment/>
    </xf>
    <xf numFmtId="3" fontId="147" fillId="0" borderId="10" xfId="57" applyNumberFormat="1" applyFont="1" applyBorder="1" applyAlignment="1">
      <alignment horizontal="center"/>
    </xf>
    <xf numFmtId="3" fontId="146" fillId="0" borderId="10" xfId="57" applyNumberFormat="1" applyFont="1" applyBorder="1" applyAlignment="1">
      <alignment/>
    </xf>
    <xf numFmtId="3" fontId="0" fillId="0" borderId="10" xfId="57" applyNumberFormat="1" applyFont="1" applyBorder="1" applyAlignment="1">
      <alignment/>
    </xf>
    <xf numFmtId="3" fontId="4" fillId="0" borderId="0" xfId="82" applyNumberFormat="1" applyFont="1" applyAlignment="1">
      <alignment vertical="center" wrapText="1"/>
      <protection/>
    </xf>
    <xf numFmtId="3" fontId="6" fillId="0" borderId="0" xfId="82" applyNumberFormat="1" applyFont="1" applyAlignment="1">
      <alignment horizontal="left" vertical="center" wrapText="1"/>
      <protection/>
    </xf>
    <xf numFmtId="3" fontId="6" fillId="0" borderId="0" xfId="82" applyNumberFormat="1" applyFont="1" applyBorder="1" applyAlignment="1">
      <alignment horizontal="left" vertical="center" wrapText="1"/>
      <protection/>
    </xf>
    <xf numFmtId="3" fontId="0" fillId="0" borderId="0" xfId="0" applyNumberFormat="1" applyAlignment="1">
      <alignment/>
    </xf>
    <xf numFmtId="3" fontId="0" fillId="0" borderId="0" xfId="0" applyNumberFormat="1" applyAlignment="1">
      <alignment wrapText="1"/>
    </xf>
    <xf numFmtId="3" fontId="147" fillId="0" borderId="10" xfId="0" applyNumberFormat="1" applyFont="1" applyBorder="1" applyAlignment="1">
      <alignment wrapText="1"/>
    </xf>
    <xf numFmtId="3" fontId="148" fillId="0" borderId="0" xfId="57" applyNumberFormat="1" applyFont="1" applyAlignment="1">
      <alignment/>
    </xf>
    <xf numFmtId="3" fontId="148" fillId="0" borderId="0" xfId="0" applyNumberFormat="1" applyFont="1" applyAlignment="1">
      <alignment wrapText="1"/>
    </xf>
    <xf numFmtId="3" fontId="148" fillId="0" borderId="0" xfId="57" applyNumberFormat="1" applyFont="1" applyAlignment="1">
      <alignment wrapText="1"/>
    </xf>
    <xf numFmtId="3" fontId="148" fillId="33" borderId="0" xfId="57" applyNumberFormat="1" applyFont="1" applyFill="1" applyAlignment="1">
      <alignment wrapText="1"/>
    </xf>
    <xf numFmtId="3" fontId="0" fillId="42" borderId="0" xfId="0" applyNumberFormat="1" applyFill="1" applyAlignment="1">
      <alignment/>
    </xf>
    <xf numFmtId="3" fontId="146" fillId="0" borderId="10" xfId="0" applyNumberFormat="1" applyFont="1" applyBorder="1" applyAlignment="1">
      <alignment wrapText="1"/>
    </xf>
    <xf numFmtId="3" fontId="0" fillId="33" borderId="0" xfId="57" applyNumberFormat="1" applyFont="1" applyFill="1" applyAlignment="1">
      <alignment/>
    </xf>
    <xf numFmtId="3" fontId="146" fillId="0" borderId="10" xfId="0" applyNumberFormat="1" applyFont="1" applyBorder="1" applyAlignment="1">
      <alignment/>
    </xf>
    <xf numFmtId="3" fontId="0" fillId="0" borderId="10" xfId="0" applyNumberFormat="1" applyBorder="1" applyAlignment="1">
      <alignment/>
    </xf>
    <xf numFmtId="3" fontId="0" fillId="43" borderId="10" xfId="0" applyNumberFormat="1" applyFill="1" applyBorder="1" applyAlignment="1">
      <alignment wrapText="1"/>
    </xf>
    <xf numFmtId="3" fontId="142" fillId="0" borderId="0" xfId="0" applyNumberFormat="1" applyFont="1" applyAlignment="1">
      <alignment/>
    </xf>
    <xf numFmtId="3" fontId="18" fillId="0" borderId="0" xfId="82" applyNumberFormat="1" applyFont="1" applyFill="1" applyBorder="1" applyAlignment="1" applyProtection="1">
      <alignment/>
      <protection/>
    </xf>
    <xf numFmtId="3" fontId="18" fillId="0" borderId="0" xfId="82" applyNumberFormat="1" applyFont="1" applyFill="1" applyBorder="1" applyAlignment="1" applyProtection="1">
      <alignment horizontal="center"/>
      <protection/>
    </xf>
    <xf numFmtId="3" fontId="0" fillId="0" borderId="0" xfId="51" applyNumberFormat="1" applyFont="1" applyAlignment="1">
      <alignment/>
    </xf>
    <xf numFmtId="3" fontId="6" fillId="0" borderId="0" xfId="82" applyNumberFormat="1" applyFont="1">
      <alignment/>
      <protection/>
    </xf>
    <xf numFmtId="3" fontId="146" fillId="43" borderId="10" xfId="0" applyNumberFormat="1" applyFont="1" applyFill="1" applyBorder="1" applyAlignment="1">
      <alignment wrapText="1"/>
    </xf>
    <xf numFmtId="3" fontId="146" fillId="0" borderId="0" xfId="0" applyNumberFormat="1" applyFont="1" applyAlignment="1">
      <alignment/>
    </xf>
    <xf numFmtId="3" fontId="0" fillId="0" borderId="0" xfId="94" applyNumberFormat="1" applyFont="1" applyAlignment="1">
      <alignment/>
    </xf>
    <xf numFmtId="3" fontId="10" fillId="0" borderId="0" xfId="82" applyNumberFormat="1" applyFont="1">
      <alignment/>
      <protection/>
    </xf>
    <xf numFmtId="3" fontId="3" fillId="0" borderId="0" xfId="82" applyNumberFormat="1" applyFont="1">
      <alignment/>
      <protection/>
    </xf>
    <xf numFmtId="3" fontId="0" fillId="0" borderId="10" xfId="0" applyNumberFormat="1" applyBorder="1" applyAlignment="1">
      <alignment wrapText="1"/>
    </xf>
    <xf numFmtId="3" fontId="0" fillId="0" borderId="10" xfId="0" applyNumberFormat="1" applyFont="1" applyBorder="1" applyAlignment="1">
      <alignment wrapText="1"/>
    </xf>
    <xf numFmtId="3" fontId="17" fillId="0" borderId="0" xfId="82" applyNumberFormat="1" applyFont="1" applyFill="1">
      <alignment/>
      <protection/>
    </xf>
    <xf numFmtId="3" fontId="149" fillId="0" borderId="10" xfId="0" applyNumberFormat="1" applyFont="1" applyBorder="1" applyAlignment="1">
      <alignment wrapText="1"/>
    </xf>
    <xf numFmtId="3" fontId="20" fillId="41" borderId="49" xfId="82" applyNumberFormat="1" applyFont="1" applyFill="1" applyBorder="1">
      <alignment/>
      <protection/>
    </xf>
    <xf numFmtId="3" fontId="20" fillId="41" borderId="48" xfId="76" applyNumberFormat="1" applyFont="1" applyFill="1" applyBorder="1" applyAlignment="1">
      <alignment horizontal="center"/>
    </xf>
    <xf numFmtId="3" fontId="3" fillId="0" borderId="0" xfId="76" applyNumberFormat="1" applyFont="1" applyAlignment="1">
      <alignment/>
    </xf>
    <xf numFmtId="10" fontId="6" fillId="41" borderId="10" xfId="82" applyNumberFormat="1" applyFont="1" applyFill="1" applyBorder="1">
      <alignment/>
      <protection/>
    </xf>
    <xf numFmtId="10" fontId="3" fillId="41" borderId="10" xfId="76" applyNumberFormat="1" applyFont="1" applyFill="1" applyBorder="1" applyAlignment="1">
      <alignment/>
    </xf>
    <xf numFmtId="10" fontId="3" fillId="0" borderId="0" xfId="76" applyNumberFormat="1" applyFont="1" applyAlignment="1">
      <alignment/>
    </xf>
    <xf numFmtId="10" fontId="3" fillId="0" borderId="0" xfId="82" applyNumberFormat="1" applyFont="1">
      <alignment/>
      <protection/>
    </xf>
    <xf numFmtId="3" fontId="146" fillId="33" borderId="0" xfId="57" applyNumberFormat="1" applyFont="1" applyFill="1" applyAlignment="1">
      <alignment/>
    </xf>
    <xf numFmtId="10" fontId="3" fillId="0" borderId="0" xfId="82" applyNumberFormat="1">
      <alignment/>
      <protection/>
    </xf>
    <xf numFmtId="10" fontId="6" fillId="0" borderId="0" xfId="82" applyNumberFormat="1" applyFont="1" applyAlignment="1">
      <alignment horizontal="left" vertical="center" wrapText="1"/>
      <protection/>
    </xf>
    <xf numFmtId="10" fontId="0" fillId="0" borderId="0" xfId="0" applyNumberFormat="1" applyAlignment="1">
      <alignment/>
    </xf>
    <xf numFmtId="10" fontId="6" fillId="0" borderId="0" xfId="82" applyNumberFormat="1" applyFont="1" applyBorder="1" applyAlignment="1">
      <alignment horizontal="left" vertical="center" wrapText="1"/>
      <protection/>
    </xf>
    <xf numFmtId="10" fontId="4" fillId="0" borderId="0" xfId="82" applyNumberFormat="1" applyFont="1" applyBorder="1" applyAlignment="1">
      <alignment vertical="center" wrapText="1"/>
      <protection/>
    </xf>
    <xf numFmtId="10" fontId="18" fillId="0" borderId="0" xfId="96" applyNumberFormat="1" applyFont="1" applyFill="1" applyBorder="1" applyAlignment="1" applyProtection="1">
      <alignment/>
      <protection/>
    </xf>
    <xf numFmtId="10" fontId="19" fillId="33" borderId="0" xfId="82" applyNumberFormat="1" applyFont="1" applyFill="1">
      <alignment/>
      <protection/>
    </xf>
    <xf numFmtId="10" fontId="19" fillId="0" borderId="0" xfId="96" applyNumberFormat="1" applyFont="1" applyAlignment="1">
      <alignment/>
    </xf>
    <xf numFmtId="10" fontId="18" fillId="0" borderId="0" xfId="96" applyNumberFormat="1" applyFont="1" applyAlignment="1">
      <alignment/>
    </xf>
    <xf numFmtId="10" fontId="18" fillId="0" borderId="0" xfId="82" applyNumberFormat="1" applyFont="1">
      <alignment/>
      <protection/>
    </xf>
    <xf numFmtId="10" fontId="17" fillId="0" borderId="0" xfId="82" applyNumberFormat="1" applyFont="1" applyFill="1">
      <alignment/>
      <protection/>
    </xf>
    <xf numFmtId="10" fontId="0" fillId="0" borderId="0" xfId="57" applyNumberFormat="1" applyFont="1" applyAlignment="1">
      <alignment/>
    </xf>
    <xf numFmtId="3" fontId="99" fillId="0" borderId="0" xfId="57" applyNumberFormat="1" applyFont="1" applyFill="1" applyAlignment="1">
      <alignment/>
    </xf>
    <xf numFmtId="3" fontId="100" fillId="0" borderId="10" xfId="57" applyNumberFormat="1" applyFont="1" applyFill="1" applyBorder="1" applyAlignment="1">
      <alignment horizontal="center"/>
    </xf>
    <xf numFmtId="3" fontId="101" fillId="0" borderId="10" xfId="57" applyNumberFormat="1" applyFont="1" applyFill="1" applyBorder="1" applyAlignment="1">
      <alignment/>
    </xf>
    <xf numFmtId="3" fontId="99" fillId="0" borderId="10" xfId="57" applyNumberFormat="1" applyFont="1" applyFill="1" applyBorder="1" applyAlignment="1">
      <alignment/>
    </xf>
    <xf numFmtId="3" fontId="22" fillId="34" borderId="0" xfId="82" applyNumberFormat="1" applyFont="1" applyFill="1" applyProtection="1">
      <alignment/>
      <protection/>
    </xf>
    <xf numFmtId="3" fontId="146" fillId="42" borderId="10" xfId="0" applyNumberFormat="1" applyFont="1" applyFill="1" applyBorder="1" applyAlignment="1">
      <alignment wrapText="1"/>
    </xf>
    <xf numFmtId="3" fontId="0" fillId="42" borderId="10" xfId="0" applyNumberFormat="1" applyFill="1" applyBorder="1" applyAlignment="1">
      <alignment wrapText="1"/>
    </xf>
    <xf numFmtId="3" fontId="0" fillId="0" borderId="0" xfId="57" applyNumberFormat="1" applyFont="1" applyFill="1" applyAlignment="1">
      <alignment/>
    </xf>
    <xf numFmtId="3" fontId="147" fillId="0" borderId="10" xfId="57" applyNumberFormat="1" applyFont="1" applyFill="1" applyBorder="1" applyAlignment="1">
      <alignment horizontal="center"/>
    </xf>
    <xf numFmtId="3" fontId="0" fillId="0" borderId="0" xfId="57" applyNumberFormat="1" applyFont="1" applyAlignment="1">
      <alignment/>
    </xf>
    <xf numFmtId="3" fontId="0" fillId="0" borderId="10" xfId="57" applyNumberFormat="1" applyFont="1" applyBorder="1" applyAlignment="1">
      <alignment/>
    </xf>
    <xf numFmtId="3" fontId="0" fillId="0" borderId="10" xfId="57" applyNumberFormat="1" applyFont="1" applyFill="1" applyBorder="1" applyAlignment="1">
      <alignment/>
    </xf>
    <xf numFmtId="0" fontId="3" fillId="0" borderId="16" xfId="82" applyFont="1" applyFill="1" applyBorder="1" applyAlignment="1">
      <alignment horizontal="left" vertical="center" wrapText="1"/>
      <protection/>
    </xf>
    <xf numFmtId="3" fontId="0" fillId="33" borderId="10" xfId="57" applyNumberFormat="1" applyFont="1" applyFill="1" applyBorder="1" applyAlignment="1">
      <alignment/>
    </xf>
    <xf numFmtId="3" fontId="146" fillId="0" borderId="10" xfId="57" applyNumberFormat="1" applyFont="1" applyFill="1" applyBorder="1" applyAlignment="1">
      <alignment/>
    </xf>
    <xf numFmtId="3" fontId="142" fillId="0" borderId="10" xfId="57" applyNumberFormat="1" applyFont="1" applyFill="1" applyBorder="1" applyAlignment="1">
      <alignment/>
    </xf>
    <xf numFmtId="0" fontId="23" fillId="34" borderId="0" xfId="82" applyFont="1" applyFill="1" applyBorder="1" applyAlignment="1" applyProtection="1">
      <alignment horizontal="center"/>
      <protection/>
    </xf>
    <xf numFmtId="0" fontId="4" fillId="0" borderId="0" xfId="82" applyFont="1" applyAlignment="1">
      <alignment horizontal="center"/>
      <protection/>
    </xf>
    <xf numFmtId="194" fontId="3" fillId="0" borderId="0" xfId="82" applyNumberFormat="1">
      <alignment/>
      <protection/>
    </xf>
    <xf numFmtId="9" fontId="16" fillId="0" borderId="10" xfId="96" applyNumberFormat="1" applyFont="1" applyFill="1" applyBorder="1" applyAlignment="1" applyProtection="1">
      <alignment/>
      <protection/>
    </xf>
    <xf numFmtId="9" fontId="15" fillId="0" borderId="10" xfId="82" applyNumberFormat="1" applyFont="1" applyBorder="1">
      <alignment/>
      <protection/>
    </xf>
    <xf numFmtId="9" fontId="15" fillId="0" borderId="14" xfId="82" applyNumberFormat="1" applyFont="1" applyBorder="1">
      <alignment/>
      <protection/>
    </xf>
    <xf numFmtId="3" fontId="0" fillId="0" borderId="10" xfId="57" applyNumberFormat="1" applyFont="1" applyBorder="1" applyAlignment="1">
      <alignment/>
    </xf>
    <xf numFmtId="43" fontId="101" fillId="0" borderId="10" xfId="51" applyFont="1" applyFill="1" applyBorder="1" applyAlignment="1">
      <alignment/>
    </xf>
    <xf numFmtId="0" fontId="4" fillId="43" borderId="0" xfId="87" applyFont="1" applyFill="1" applyAlignment="1">
      <alignment horizontal="center" wrapText="1"/>
      <protection/>
    </xf>
    <xf numFmtId="0" fontId="6" fillId="43" borderId="0" xfId="87" applyFont="1" applyFill="1">
      <alignment/>
      <protection/>
    </xf>
    <xf numFmtId="185" fontId="4" fillId="43" borderId="0" xfId="65" applyNumberFormat="1" applyFont="1" applyFill="1" applyAlignment="1">
      <alignment/>
    </xf>
    <xf numFmtId="185" fontId="4" fillId="43" borderId="10" xfId="65" applyNumberFormat="1" applyFont="1" applyFill="1" applyBorder="1" applyAlignment="1">
      <alignment/>
    </xf>
    <xf numFmtId="185" fontId="6" fillId="43" borderId="10" xfId="65" applyNumberFormat="1" applyFont="1" applyFill="1" applyBorder="1" applyAlignment="1">
      <alignment/>
    </xf>
    <xf numFmtId="0" fontId="3" fillId="43" borderId="0" xfId="87" applyFont="1" applyFill="1">
      <alignment/>
      <protection/>
    </xf>
    <xf numFmtId="49" fontId="6" fillId="43" borderId="10" xfId="87" applyNumberFormat="1" applyFont="1" applyFill="1" applyBorder="1">
      <alignment/>
      <protection/>
    </xf>
    <xf numFmtId="184" fontId="6" fillId="43" borderId="0" xfId="57" applyFont="1" applyFill="1" applyAlignment="1">
      <alignment/>
    </xf>
    <xf numFmtId="9" fontId="6" fillId="43" borderId="0" xfId="87" applyNumberFormat="1" applyFont="1" applyFill="1">
      <alignment/>
      <protection/>
    </xf>
    <xf numFmtId="3" fontId="6" fillId="43" borderId="0" xfId="87" applyNumberFormat="1" applyFont="1" applyFill="1">
      <alignment/>
      <protection/>
    </xf>
    <xf numFmtId="185" fontId="99" fillId="43" borderId="10" xfId="65" applyNumberFormat="1" applyFont="1" applyFill="1" applyBorder="1" applyAlignment="1">
      <alignment/>
    </xf>
    <xf numFmtId="185" fontId="3" fillId="43" borderId="0" xfId="57" applyNumberFormat="1" applyFont="1" applyFill="1" applyAlignment="1">
      <alignment/>
    </xf>
    <xf numFmtId="185" fontId="99" fillId="43" borderId="0" xfId="65" applyNumberFormat="1" applyFont="1" applyFill="1" applyAlignment="1">
      <alignment/>
    </xf>
    <xf numFmtId="3" fontId="99" fillId="43" borderId="0" xfId="65" applyNumberFormat="1" applyFont="1" applyFill="1" applyAlignment="1">
      <alignment/>
    </xf>
    <xf numFmtId="9" fontId="3" fillId="43" borderId="0" xfId="87" applyNumberFormat="1" applyFont="1" applyFill="1">
      <alignment/>
      <protection/>
    </xf>
    <xf numFmtId="3" fontId="3" fillId="43" borderId="0" xfId="87" applyNumberFormat="1" applyFont="1" applyFill="1">
      <alignment/>
      <protection/>
    </xf>
    <xf numFmtId="184" fontId="3" fillId="43" borderId="0" xfId="57" applyFont="1" applyFill="1" applyAlignment="1">
      <alignment/>
    </xf>
    <xf numFmtId="9" fontId="3" fillId="43" borderId="0" xfId="57" applyNumberFormat="1" applyFont="1" applyFill="1" applyAlignment="1">
      <alignment/>
    </xf>
    <xf numFmtId="185" fontId="3" fillId="43" borderId="0" xfId="87" applyNumberFormat="1" applyFont="1" applyFill="1">
      <alignment/>
      <protection/>
    </xf>
    <xf numFmtId="177" fontId="3" fillId="43" borderId="0" xfId="87" applyNumberFormat="1" applyFont="1" applyFill="1">
      <alignment/>
      <protection/>
    </xf>
    <xf numFmtId="185" fontId="99" fillId="43" borderId="0" xfId="65" applyNumberFormat="1" applyFont="1" applyFill="1" applyBorder="1" applyAlignment="1">
      <alignment/>
    </xf>
    <xf numFmtId="185" fontId="101" fillId="43" borderId="10" xfId="65" applyNumberFormat="1" applyFont="1" applyFill="1" applyBorder="1" applyAlignment="1">
      <alignment/>
    </xf>
    <xf numFmtId="185" fontId="3" fillId="43" borderId="10" xfId="65" applyNumberFormat="1" applyFont="1" applyFill="1" applyBorder="1" applyAlignment="1">
      <alignment/>
    </xf>
    <xf numFmtId="185" fontId="3" fillId="43" borderId="0" xfId="65" applyNumberFormat="1" applyFont="1" applyFill="1" applyBorder="1" applyAlignment="1">
      <alignment/>
    </xf>
    <xf numFmtId="9" fontId="99" fillId="43" borderId="0" xfId="65" applyNumberFormat="1" applyFont="1" applyFill="1" applyAlignment="1">
      <alignment/>
    </xf>
    <xf numFmtId="184" fontId="45" fillId="43" borderId="0" xfId="57" applyFont="1" applyFill="1" applyAlignment="1">
      <alignment horizontal="center" wrapText="1"/>
    </xf>
    <xf numFmtId="3" fontId="0" fillId="0" borderId="0" xfId="57" applyNumberFormat="1" applyFont="1" applyAlignment="1">
      <alignment/>
    </xf>
    <xf numFmtId="185" fontId="4" fillId="43" borderId="0" xfId="65" applyNumberFormat="1" applyFont="1" applyFill="1" applyBorder="1" applyAlignment="1">
      <alignment/>
    </xf>
    <xf numFmtId="185" fontId="6" fillId="43" borderId="0" xfId="65" applyNumberFormat="1" applyFont="1" applyFill="1" applyBorder="1" applyAlignment="1">
      <alignment/>
    </xf>
    <xf numFmtId="185" fontId="101" fillId="43" borderId="0" xfId="65" applyNumberFormat="1" applyFont="1" applyFill="1" applyBorder="1" applyAlignment="1">
      <alignment/>
    </xf>
    <xf numFmtId="49" fontId="3" fillId="43" borderId="0" xfId="57" applyNumberFormat="1" applyFont="1" applyFill="1" applyAlignment="1">
      <alignment/>
    </xf>
    <xf numFmtId="49" fontId="3" fillId="43" borderId="0" xfId="87" applyNumberFormat="1" applyFont="1" applyFill="1">
      <alignment/>
      <protection/>
    </xf>
    <xf numFmtId="0" fontId="6" fillId="43" borderId="10" xfId="87" applyFont="1" applyFill="1" applyBorder="1">
      <alignment/>
      <protection/>
    </xf>
    <xf numFmtId="2" fontId="3" fillId="43" borderId="10" xfId="94" applyNumberFormat="1" applyFont="1" applyFill="1" applyBorder="1" applyAlignment="1">
      <alignment/>
    </xf>
    <xf numFmtId="1" fontId="36" fillId="43" borderId="10" xfId="87" applyNumberFormat="1" applyFont="1" applyFill="1" applyBorder="1">
      <alignment/>
      <protection/>
    </xf>
    <xf numFmtId="185" fontId="36" fillId="43" borderId="10" xfId="65" applyNumberFormat="1" applyFont="1" applyFill="1" applyBorder="1" applyAlignment="1">
      <alignment/>
    </xf>
    <xf numFmtId="197" fontId="46" fillId="0" borderId="0" xfId="0" applyNumberFormat="1" applyFont="1" applyAlignment="1">
      <alignment horizontal="right" vertical="center"/>
    </xf>
    <xf numFmtId="197" fontId="46" fillId="0" borderId="10" xfId="0" applyNumberFormat="1" applyFont="1" applyBorder="1" applyAlignment="1">
      <alignment horizontal="right" vertical="center"/>
    </xf>
    <xf numFmtId="197" fontId="46" fillId="43" borderId="0" xfId="0" applyNumberFormat="1" applyFont="1" applyFill="1" applyAlignment="1">
      <alignment horizontal="right" vertical="center"/>
    </xf>
    <xf numFmtId="0" fontId="47" fillId="38" borderId="43" xfId="82" applyFont="1" applyFill="1" applyBorder="1" applyAlignment="1" applyProtection="1">
      <alignment wrapText="1"/>
      <protection/>
    </xf>
    <xf numFmtId="1" fontId="48" fillId="38" borderId="43" xfId="82" applyNumberFormat="1" applyFont="1" applyFill="1" applyBorder="1" applyAlignment="1" applyProtection="1">
      <alignment horizontal="left"/>
      <protection/>
    </xf>
    <xf numFmtId="0" fontId="150" fillId="0" borderId="10" xfId="0" applyFont="1" applyBorder="1" applyAlignment="1">
      <alignment vertical="center" wrapText="1"/>
    </xf>
    <xf numFmtId="0" fontId="150" fillId="0" borderId="10" xfId="0" applyFont="1" applyBorder="1" applyAlignment="1">
      <alignment/>
    </xf>
    <xf numFmtId="9" fontId="150" fillId="0" borderId="10" xfId="0" applyNumberFormat="1" applyFont="1" applyBorder="1" applyAlignment="1">
      <alignment horizontal="center" vertical="center"/>
    </xf>
    <xf numFmtId="0" fontId="150" fillId="0" borderId="10" xfId="0" applyFont="1" applyBorder="1" applyAlignment="1">
      <alignment horizontal="center" vertical="center"/>
    </xf>
    <xf numFmtId="0" fontId="151" fillId="0" borderId="10" xfId="0" applyFont="1" applyFill="1" applyBorder="1" applyAlignment="1">
      <alignment horizontal="center" vertical="center" wrapText="1"/>
    </xf>
    <xf numFmtId="9" fontId="151" fillId="0" borderId="10" xfId="0" applyNumberFormat="1" applyFont="1" applyFill="1" applyBorder="1" applyAlignment="1">
      <alignment horizontal="center" vertical="center" wrapText="1"/>
    </xf>
    <xf numFmtId="0" fontId="150" fillId="43" borderId="10" xfId="0" applyFont="1" applyFill="1" applyBorder="1" applyAlignment="1">
      <alignment horizontal="justify" vertical="center" wrapText="1"/>
    </xf>
    <xf numFmtId="0" fontId="151" fillId="43" borderId="10" xfId="0" applyFont="1" applyFill="1" applyBorder="1" applyAlignment="1">
      <alignment horizontal="justify" vertical="center" wrapText="1"/>
    </xf>
    <xf numFmtId="0" fontId="50" fillId="43" borderId="10" xfId="0" applyFont="1" applyFill="1" applyBorder="1" applyAlignment="1">
      <alignment horizontal="justify" vertical="center" wrapText="1"/>
    </xf>
    <xf numFmtId="0" fontId="150" fillId="0" borderId="50" xfId="0" applyFont="1" applyBorder="1" applyAlignment="1">
      <alignment/>
    </xf>
    <xf numFmtId="0" fontId="150" fillId="0" borderId="51" xfId="0" applyFont="1" applyBorder="1" applyAlignment="1">
      <alignment horizontal="center" vertical="center" wrapText="1"/>
    </xf>
    <xf numFmtId="0" fontId="150" fillId="0" borderId="47" xfId="0" applyFont="1" applyBorder="1" applyAlignment="1">
      <alignment horizontal="center" vertical="center" wrapText="1"/>
    </xf>
    <xf numFmtId="0" fontId="150" fillId="0" borderId="52" xfId="0" applyFont="1" applyBorder="1" applyAlignment="1">
      <alignment horizontal="center" vertical="center" wrapText="1"/>
    </xf>
    <xf numFmtId="0" fontId="150" fillId="0" borderId="10" xfId="0" applyFont="1" applyFill="1" applyBorder="1" applyAlignment="1">
      <alignment horizontal="justify" vertical="center" wrapText="1"/>
    </xf>
    <xf numFmtId="0" fontId="0" fillId="0" borderId="10" xfId="0" applyBorder="1" applyAlignment="1">
      <alignment horizontal="center" vertical="center" wrapText="1"/>
    </xf>
    <xf numFmtId="0" fontId="151" fillId="0" borderId="0" xfId="0" applyFont="1" applyAlignment="1">
      <alignment horizontal="center" vertical="center" wrapText="1"/>
    </xf>
    <xf numFmtId="10" fontId="151" fillId="0" borderId="10" xfId="0" applyNumberFormat="1" applyFont="1" applyBorder="1" applyAlignment="1">
      <alignment horizontal="center" vertical="center" wrapText="1"/>
    </xf>
    <xf numFmtId="3" fontId="151" fillId="0" borderId="10" xfId="0" applyNumberFormat="1" applyFont="1" applyBorder="1" applyAlignment="1">
      <alignment horizontal="center" vertical="center" wrapText="1"/>
    </xf>
    <xf numFmtId="9" fontId="151" fillId="0" borderId="10" xfId="0" applyNumberFormat="1" applyFont="1" applyBorder="1" applyAlignment="1">
      <alignment horizontal="center" vertical="center" wrapText="1"/>
    </xf>
    <xf numFmtId="0" fontId="151" fillId="0" borderId="10" xfId="0" applyFont="1" applyBorder="1" applyAlignment="1">
      <alignment vertical="center" wrapText="1"/>
    </xf>
    <xf numFmtId="9" fontId="150" fillId="0" borderId="50" xfId="0" applyNumberFormat="1" applyFont="1" applyBorder="1" applyAlignment="1">
      <alignment horizontal="center" vertical="center" wrapText="1"/>
    </xf>
    <xf numFmtId="0" fontId="150" fillId="0" borderId="50" xfId="0" applyFont="1" applyFill="1" applyBorder="1" applyAlignment="1">
      <alignment horizontal="justify" vertical="center" wrapText="1"/>
    </xf>
    <xf numFmtId="0" fontId="0" fillId="0" borderId="0" xfId="0" applyBorder="1" applyAlignment="1">
      <alignment/>
    </xf>
    <xf numFmtId="0" fontId="15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150" fillId="0" borderId="50" xfId="0" applyFont="1" applyBorder="1" applyAlignment="1">
      <alignment horizontal="center"/>
    </xf>
    <xf numFmtId="0" fontId="151" fillId="0" borderId="51" xfId="0" applyFont="1" applyBorder="1" applyAlignment="1">
      <alignment horizontal="center" vertical="center" wrapText="1"/>
    </xf>
    <xf numFmtId="49" fontId="50" fillId="43" borderId="51" xfId="0" applyNumberFormat="1" applyFont="1" applyFill="1" applyBorder="1" applyAlignment="1" applyProtection="1">
      <alignment horizontal="center" vertical="center" wrapText="1"/>
      <protection locked="0"/>
    </xf>
    <xf numFmtId="49" fontId="50" fillId="0" borderId="51" xfId="0" applyNumberFormat="1" applyFont="1" applyFill="1" applyBorder="1" applyAlignment="1" applyProtection="1">
      <alignment horizontal="center" vertical="center" wrapText="1"/>
      <protection locked="0"/>
    </xf>
    <xf numFmtId="49" fontId="50" fillId="0" borderId="52" xfId="0" applyNumberFormat="1" applyFont="1" applyFill="1" applyBorder="1" applyAlignment="1" applyProtection="1">
      <alignment horizontal="center" vertical="center" wrapText="1"/>
      <protection locked="0"/>
    </xf>
    <xf numFmtId="0" fontId="150" fillId="0" borderId="51" xfId="0" applyFont="1" applyFill="1" applyBorder="1" applyAlignment="1">
      <alignment horizontal="center" vertical="center" wrapText="1"/>
    </xf>
    <xf numFmtId="0" fontId="152" fillId="0" borderId="10" xfId="0" applyFont="1" applyFill="1" applyBorder="1" applyAlignment="1">
      <alignment horizontal="center" vertical="center" wrapText="1"/>
    </xf>
    <xf numFmtId="0" fontId="153" fillId="0" borderId="10" xfId="0" applyFont="1" applyBorder="1" applyAlignment="1">
      <alignment horizontal="center" vertical="center" wrapText="1"/>
    </xf>
    <xf numFmtId="0" fontId="153" fillId="0" borderId="10" xfId="0" applyFont="1" applyFill="1" applyBorder="1" applyAlignment="1">
      <alignment horizontal="center" vertical="center" wrapText="1"/>
    </xf>
    <xf numFmtId="0" fontId="54" fillId="0" borderId="10" xfId="84" applyFont="1" applyFill="1" applyBorder="1" applyAlignment="1">
      <alignment horizontal="justify" vertical="center" wrapText="1"/>
      <protection/>
    </xf>
    <xf numFmtId="0" fontId="54"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54" fillId="0" borderId="50" xfId="0" applyFont="1" applyFill="1" applyBorder="1" applyAlignment="1">
      <alignment horizontal="justify" vertical="center" wrapText="1"/>
    </xf>
    <xf numFmtId="0" fontId="54" fillId="33" borderId="10" xfId="0" applyFont="1" applyFill="1" applyBorder="1" applyAlignment="1">
      <alignment horizontal="justify" vertical="center" wrapText="1"/>
    </xf>
    <xf numFmtId="0" fontId="146" fillId="0" borderId="0" xfId="0" applyFont="1" applyBorder="1" applyAlignment="1">
      <alignment/>
    </xf>
    <xf numFmtId="0" fontId="152" fillId="33" borderId="10" xfId="0" applyFont="1" applyFill="1" applyBorder="1" applyAlignment="1">
      <alignment horizontal="center" vertical="center" wrapText="1"/>
    </xf>
    <xf numFmtId="0" fontId="49" fillId="0" borderId="10" xfId="0" applyFont="1" applyBorder="1" applyAlignment="1" quotePrefix="1">
      <alignment horizontal="center" vertical="center" wrapText="1"/>
    </xf>
    <xf numFmtId="0" fontId="52" fillId="0" borderId="10" xfId="0" applyFont="1" applyBorder="1" applyAlignment="1" quotePrefix="1">
      <alignment horizontal="center" vertical="center" wrapText="1"/>
    </xf>
    <xf numFmtId="0" fontId="52" fillId="0" borderId="10" xfId="0" applyFont="1" applyBorder="1" applyAlignment="1">
      <alignment horizontal="center" vertical="center" wrapText="1"/>
    </xf>
    <xf numFmtId="3" fontId="20" fillId="42" borderId="10" xfId="0" applyNumberFormat="1" applyFont="1" applyFill="1" applyBorder="1" applyAlignment="1">
      <alignment horizontal="center" vertical="center" wrapText="1"/>
    </xf>
    <xf numFmtId="3" fontId="0" fillId="0" borderId="0" xfId="0" applyNumberFormat="1" applyBorder="1" applyAlignment="1">
      <alignment/>
    </xf>
    <xf numFmtId="3" fontId="10" fillId="0" borderId="10" xfId="85" applyNumberFormat="1" applyFont="1" applyFill="1" applyBorder="1" applyAlignment="1">
      <alignment horizontal="center" vertical="center" wrapText="1"/>
      <protection/>
    </xf>
    <xf numFmtId="0" fontId="0" fillId="0" borderId="0" xfId="0" applyAlignment="1">
      <alignment/>
    </xf>
    <xf numFmtId="0" fontId="20" fillId="42" borderId="50" xfId="0" applyFont="1" applyFill="1" applyBorder="1" applyAlignment="1">
      <alignment horizontal="center" vertical="center" textRotation="90" wrapText="1"/>
    </xf>
    <xf numFmtId="0" fontId="20" fillId="42" borderId="51" xfId="0" applyFont="1" applyFill="1" applyBorder="1" applyAlignment="1">
      <alignment horizontal="center" vertical="center" wrapText="1"/>
    </xf>
    <xf numFmtId="3" fontId="10" fillId="33" borderId="50" xfId="85" applyNumberFormat="1" applyFont="1" applyFill="1" applyBorder="1" applyAlignment="1">
      <alignment horizontal="center" vertical="center" wrapText="1"/>
      <protection/>
    </xf>
    <xf numFmtId="3" fontId="10" fillId="0" borderId="53" xfId="85" applyNumberFormat="1" applyFont="1" applyFill="1" applyBorder="1" applyAlignment="1">
      <alignment horizontal="center" vertical="center" wrapText="1"/>
      <protection/>
    </xf>
    <xf numFmtId="3" fontId="57" fillId="0" borderId="53" xfId="85" applyNumberFormat="1" applyFont="1" applyFill="1" applyBorder="1" applyAlignment="1">
      <alignment horizontal="center" vertical="center" wrapText="1"/>
      <protection/>
    </xf>
    <xf numFmtId="3" fontId="56" fillId="0" borderId="34" xfId="85" applyNumberFormat="1" applyFont="1" applyFill="1" applyBorder="1" applyAlignment="1">
      <alignment horizontal="center" vertical="center" wrapText="1"/>
      <protection/>
    </xf>
    <xf numFmtId="0" fontId="151" fillId="33" borderId="10" xfId="0" applyFont="1" applyFill="1" applyBorder="1" applyAlignment="1">
      <alignment horizontal="center" vertical="center" wrapText="1"/>
    </xf>
    <xf numFmtId="0" fontId="154" fillId="33" borderId="54" xfId="0" applyFont="1" applyFill="1" applyBorder="1" applyAlignment="1">
      <alignment horizontal="center" vertical="center" wrapText="1"/>
    </xf>
    <xf numFmtId="0" fontId="52" fillId="0" borderId="50" xfId="0" applyFont="1" applyBorder="1" applyAlignment="1" quotePrefix="1">
      <alignment horizontal="center" vertical="center" wrapText="1"/>
    </xf>
    <xf numFmtId="0" fontId="150" fillId="33" borderId="50" xfId="0" applyFont="1" applyFill="1" applyBorder="1" applyAlignment="1">
      <alignment horizontal="center" vertical="center" wrapText="1"/>
    </xf>
    <xf numFmtId="0" fontId="151" fillId="33" borderId="50" xfId="0" applyFont="1" applyFill="1" applyBorder="1" applyAlignment="1">
      <alignment horizontal="center" vertical="center" wrapText="1"/>
    </xf>
    <xf numFmtId="0" fontId="154" fillId="33" borderId="49" xfId="0" applyFont="1" applyFill="1" applyBorder="1" applyAlignment="1">
      <alignment horizontal="center" vertical="center" wrapText="1"/>
    </xf>
    <xf numFmtId="0" fontId="151" fillId="42" borderId="50" xfId="0" applyFont="1" applyFill="1" applyBorder="1" applyAlignment="1">
      <alignment horizontal="center" vertical="center" wrapText="1"/>
    </xf>
    <xf numFmtId="0" fontId="154" fillId="42" borderId="54" xfId="0" applyFont="1" applyFill="1" applyBorder="1" applyAlignment="1">
      <alignment horizontal="center" vertical="center" wrapText="1"/>
    </xf>
    <xf numFmtId="0" fontId="150" fillId="33" borderId="54" xfId="0" applyFont="1" applyFill="1" applyBorder="1" applyAlignment="1">
      <alignment horizontal="center" vertical="center" wrapText="1"/>
    </xf>
    <xf numFmtId="0" fontId="150" fillId="33" borderId="52" xfId="0" applyFont="1" applyFill="1" applyBorder="1" applyAlignment="1">
      <alignment horizontal="center" vertical="center" wrapText="1"/>
    </xf>
    <xf numFmtId="0" fontId="151" fillId="42" borderId="54" xfId="0" applyFont="1" applyFill="1" applyBorder="1" applyAlignment="1">
      <alignment horizontal="center" vertical="center" wrapText="1"/>
    </xf>
    <xf numFmtId="0" fontId="150" fillId="33" borderId="49" xfId="0" applyFont="1" applyFill="1" applyBorder="1" applyAlignment="1">
      <alignment horizontal="center" vertical="center" wrapText="1"/>
    </xf>
    <xf numFmtId="0" fontId="0" fillId="33" borderId="55" xfId="0" applyFill="1" applyBorder="1" applyAlignment="1">
      <alignment/>
    </xf>
    <xf numFmtId="0" fontId="0" fillId="0" borderId="56" xfId="0" applyBorder="1" applyAlignment="1">
      <alignment/>
    </xf>
    <xf numFmtId="3" fontId="155" fillId="0" borderId="10" xfId="85" applyNumberFormat="1" applyFont="1" applyFill="1" applyBorder="1" applyAlignment="1">
      <alignment horizontal="center" vertical="center" wrapText="1"/>
      <protection/>
    </xf>
    <xf numFmtId="3" fontId="156" fillId="0" borderId="0" xfId="0" applyNumberFormat="1" applyFont="1" applyAlignment="1">
      <alignment/>
    </xf>
    <xf numFmtId="3" fontId="157" fillId="0" borderId="0" xfId="0" applyNumberFormat="1" applyFont="1" applyAlignment="1">
      <alignment/>
    </xf>
    <xf numFmtId="3" fontId="55" fillId="0" borderId="33" xfId="85" applyNumberFormat="1" applyFont="1" applyFill="1" applyBorder="1" applyAlignment="1">
      <alignment horizontal="center" vertical="center" wrapText="1"/>
      <protection/>
    </xf>
    <xf numFmtId="3" fontId="55" fillId="0" borderId="16" xfId="85" applyNumberFormat="1" applyFont="1" applyFill="1" applyBorder="1" applyAlignment="1">
      <alignment horizontal="center" vertical="center" wrapText="1"/>
      <protection/>
    </xf>
    <xf numFmtId="3" fontId="158" fillId="0" borderId="16" xfId="85" applyNumberFormat="1" applyFont="1" applyFill="1" applyBorder="1" applyAlignment="1">
      <alignment horizontal="center" vertical="center" wrapText="1"/>
      <protection/>
    </xf>
    <xf numFmtId="0" fontId="152" fillId="0" borderId="10" xfId="0" applyFont="1" applyBorder="1" applyAlignment="1">
      <alignment horizontal="left" vertical="center" wrapText="1"/>
    </xf>
    <xf numFmtId="0" fontId="59" fillId="0" borderId="0" xfId="92" applyFont="1" applyAlignment="1">
      <alignment horizontal="center" vertical="center" wrapText="1"/>
      <protection/>
    </xf>
    <xf numFmtId="0" fontId="159" fillId="0" borderId="16" xfId="0" applyFont="1" applyBorder="1" applyAlignment="1">
      <alignment horizontal="center" vertical="center" wrapText="1"/>
    </xf>
    <xf numFmtId="0" fontId="159" fillId="0" borderId="0" xfId="0" applyFont="1" applyAlignment="1">
      <alignment horizontal="center" vertical="center" wrapText="1"/>
    </xf>
    <xf numFmtId="0" fontId="59" fillId="0" borderId="10" xfId="92" applyFont="1" applyBorder="1" applyAlignment="1">
      <alignment horizontal="center" vertical="center" wrapText="1"/>
      <protection/>
    </xf>
    <xf numFmtId="0" fontId="58" fillId="0" borderId="0" xfId="92" applyFont="1" applyAlignment="1">
      <alignment horizontal="center" vertical="center" wrapText="1"/>
      <protection/>
    </xf>
    <xf numFmtId="0" fontId="0" fillId="43" borderId="0" xfId="0" applyFill="1" applyAlignment="1">
      <alignment horizontal="center" vertical="center" wrapText="1"/>
    </xf>
    <xf numFmtId="0" fontId="160" fillId="0" borderId="10" xfId="0" applyFont="1" applyBorder="1" applyAlignment="1">
      <alignment horizontal="center" vertical="center" wrapText="1"/>
    </xf>
    <xf numFmtId="0" fontId="60" fillId="0" borderId="48" xfId="92" applyFont="1" applyBorder="1" applyAlignment="1">
      <alignment horizontal="center" vertical="center" wrapText="1"/>
      <protection/>
    </xf>
    <xf numFmtId="49" fontId="159" fillId="0" borderId="16" xfId="0" applyNumberFormat="1" applyFont="1" applyBorder="1" applyAlignment="1">
      <alignment horizontal="center" vertical="center" wrapText="1"/>
    </xf>
    <xf numFmtId="0" fontId="58" fillId="0" borderId="57" xfId="92" applyFont="1" applyBorder="1" applyAlignment="1">
      <alignment vertical="center" wrapText="1"/>
      <protection/>
    </xf>
    <xf numFmtId="0" fontId="58" fillId="0" borderId="10" xfId="92" applyFont="1" applyBorder="1" applyAlignment="1">
      <alignment horizontal="center" vertical="center" wrapText="1"/>
      <protection/>
    </xf>
    <xf numFmtId="0" fontId="58" fillId="0" borderId="10" xfId="92" applyFont="1" applyBorder="1" applyAlignment="1">
      <alignment vertical="center" wrapText="1"/>
      <protection/>
    </xf>
    <xf numFmtId="0" fontId="58" fillId="0" borderId="50" xfId="92" applyFont="1" applyBorder="1" applyAlignment="1">
      <alignment vertical="center" wrapText="1"/>
      <protection/>
    </xf>
    <xf numFmtId="0" fontId="58" fillId="0" borderId="49" xfId="92" applyFont="1" applyBorder="1" applyAlignment="1">
      <alignment vertical="center" wrapText="1"/>
      <protection/>
    </xf>
    <xf numFmtId="0" fontId="159" fillId="0" borderId="50" xfId="0" applyFont="1" applyBorder="1" applyAlignment="1">
      <alignment vertical="center" wrapText="1"/>
    </xf>
    <xf numFmtId="0" fontId="159" fillId="0" borderId="49" xfId="0" applyFont="1" applyBorder="1" applyAlignment="1">
      <alignment vertical="center" wrapText="1"/>
    </xf>
    <xf numFmtId="0" fontId="159" fillId="0" borderId="10" xfId="0" applyFont="1" applyBorder="1" applyAlignment="1">
      <alignment vertical="center" wrapText="1"/>
    </xf>
    <xf numFmtId="49" fontId="150" fillId="0" borderId="10" xfId="0" applyNumberFormat="1" applyFont="1" applyBorder="1" applyAlignment="1">
      <alignment horizontal="center" vertical="center" wrapText="1"/>
    </xf>
    <xf numFmtId="0" fontId="58" fillId="0" borderId="48" xfId="92" applyFont="1" applyBorder="1" applyAlignment="1">
      <alignment vertical="center" wrapText="1"/>
      <protection/>
    </xf>
    <xf numFmtId="49" fontId="159" fillId="0" borderId="50" xfId="0" applyNumberFormat="1" applyFont="1" applyBorder="1" applyAlignment="1">
      <alignment vertical="center" wrapText="1"/>
    </xf>
    <xf numFmtId="3" fontId="0" fillId="0" borderId="10" xfId="0" applyNumberFormat="1" applyBorder="1" applyAlignment="1">
      <alignment horizontal="center" vertical="center"/>
    </xf>
    <xf numFmtId="3" fontId="58" fillId="0" borderId="10" xfId="92" applyNumberFormat="1" applyFont="1" applyBorder="1" applyAlignment="1">
      <alignment horizontal="center" vertical="center" wrapText="1"/>
      <protection/>
    </xf>
    <xf numFmtId="3" fontId="146" fillId="33" borderId="10" xfId="0" applyNumberFormat="1" applyFont="1" applyFill="1" applyBorder="1" applyAlignment="1">
      <alignment horizontal="center" vertical="center"/>
    </xf>
    <xf numFmtId="3" fontId="58" fillId="0" borderId="49" xfId="92" applyNumberFormat="1" applyFont="1" applyBorder="1" applyAlignment="1">
      <alignment horizontal="center" vertical="center" wrapText="1"/>
      <protection/>
    </xf>
    <xf numFmtId="3" fontId="58" fillId="0" borderId="50" xfId="92" applyNumberFormat="1" applyFont="1" applyBorder="1" applyAlignment="1">
      <alignment vertical="center" wrapText="1"/>
      <protection/>
    </xf>
    <xf numFmtId="3" fontId="58" fillId="0" borderId="49" xfId="92" applyNumberFormat="1" applyFont="1" applyBorder="1" applyAlignment="1">
      <alignment vertical="center" wrapText="1"/>
      <protection/>
    </xf>
    <xf numFmtId="3" fontId="159" fillId="0" borderId="50" xfId="0" applyNumberFormat="1" applyFont="1" applyBorder="1" applyAlignment="1">
      <alignment vertical="center" wrapText="1"/>
    </xf>
    <xf numFmtId="3" fontId="0" fillId="0" borderId="0" xfId="0" applyNumberFormat="1" applyAlignment="1">
      <alignment horizontal="center" vertical="center"/>
    </xf>
    <xf numFmtId="3" fontId="58" fillId="43" borderId="50" xfId="92" applyNumberFormat="1" applyFont="1" applyFill="1" applyBorder="1" applyAlignment="1">
      <alignment horizontal="center" vertical="center" wrapText="1"/>
      <protection/>
    </xf>
    <xf numFmtId="3" fontId="146" fillId="42" borderId="10" xfId="0" applyNumberFormat="1" applyFont="1" applyFill="1" applyBorder="1" applyAlignment="1">
      <alignment horizontal="center" vertical="center"/>
    </xf>
    <xf numFmtId="3" fontId="58" fillId="0" borderId="58" xfId="92" applyNumberFormat="1" applyFont="1" applyBorder="1" applyAlignment="1">
      <alignment vertical="center" wrapText="1"/>
      <protection/>
    </xf>
    <xf numFmtId="3" fontId="146" fillId="33" borderId="55" xfId="0" applyNumberFormat="1" applyFont="1" applyFill="1" applyBorder="1" applyAlignment="1">
      <alignment horizontal="center" vertical="center"/>
    </xf>
    <xf numFmtId="3" fontId="146" fillId="33" borderId="59" xfId="0" applyNumberFormat="1" applyFont="1" applyFill="1" applyBorder="1" applyAlignment="1">
      <alignment horizontal="center" vertical="center"/>
    </xf>
    <xf numFmtId="3" fontId="146" fillId="42" borderId="55" xfId="0" applyNumberFormat="1" applyFont="1" applyFill="1" applyBorder="1" applyAlignment="1">
      <alignment horizontal="center" vertical="center"/>
    </xf>
    <xf numFmtId="3" fontId="146" fillId="42" borderId="59" xfId="0" applyNumberFormat="1" applyFont="1" applyFill="1" applyBorder="1" applyAlignment="1">
      <alignment horizontal="center" vertical="center"/>
    </xf>
    <xf numFmtId="3" fontId="146" fillId="0" borderId="60" xfId="0" applyNumberFormat="1" applyFont="1" applyBorder="1" applyAlignment="1">
      <alignment horizontal="center" vertical="center"/>
    </xf>
    <xf numFmtId="0" fontId="58" fillId="0" borderId="0" xfId="92" applyFont="1" applyAlignment="1">
      <alignment horizontal="left" vertical="center" wrapText="1"/>
      <protection/>
    </xf>
    <xf numFmtId="0" fontId="152" fillId="43" borderId="10" xfId="0" applyFont="1" applyFill="1" applyBorder="1" applyAlignment="1">
      <alignment horizontal="center" vertical="center" wrapText="1"/>
    </xf>
    <xf numFmtId="0" fontId="20" fillId="43" borderId="0" xfId="87" applyFont="1" applyFill="1">
      <alignment/>
      <protection/>
    </xf>
    <xf numFmtId="190" fontId="6" fillId="0" borderId="0" xfId="82" applyNumberFormat="1" applyFont="1">
      <alignment/>
      <protection/>
    </xf>
    <xf numFmtId="195" fontId="3" fillId="0" borderId="61" xfId="76" applyNumberFormat="1" applyFont="1" applyBorder="1" applyAlignment="1">
      <alignment/>
    </xf>
    <xf numFmtId="0" fontId="3" fillId="0" borderId="61" xfId="82" applyFont="1" applyBorder="1">
      <alignment/>
      <protection/>
    </xf>
    <xf numFmtId="0" fontId="15" fillId="0" borderId="38" xfId="82" applyFont="1" applyFill="1" applyBorder="1" applyAlignment="1">
      <alignment horizontal="left" vertical="center" wrapText="1"/>
      <protection/>
    </xf>
    <xf numFmtId="0" fontId="15" fillId="0" borderId="16" xfId="82" applyFont="1" applyFill="1" applyBorder="1" applyAlignment="1">
      <alignment horizontal="left" vertical="center" wrapText="1"/>
      <protection/>
    </xf>
    <xf numFmtId="0" fontId="10" fillId="0" borderId="16" xfId="82" applyFont="1" applyFill="1" applyBorder="1" applyAlignment="1">
      <alignment horizontal="left" vertical="center" wrapText="1"/>
      <protection/>
    </xf>
    <xf numFmtId="0" fontId="15" fillId="0" borderId="10" xfId="82" applyFont="1" applyFill="1" applyBorder="1" applyAlignment="1">
      <alignment horizontal="left" vertical="center" wrapText="1"/>
      <protection/>
    </xf>
    <xf numFmtId="0" fontId="10" fillId="0" borderId="10" xfId="82" applyFont="1" applyFill="1" applyBorder="1" applyAlignment="1">
      <alignment horizontal="left" vertical="center" wrapText="1"/>
      <protection/>
    </xf>
    <xf numFmtId="0" fontId="20" fillId="41" borderId="48" xfId="76" applyNumberFormat="1" applyFont="1" applyFill="1" applyBorder="1" applyAlignment="1">
      <alignment horizontal="center"/>
    </xf>
    <xf numFmtId="195" fontId="20" fillId="41" borderId="48" xfId="76" applyNumberFormat="1" applyFont="1" applyFill="1" applyBorder="1" applyAlignment="1">
      <alignment horizontal="center"/>
    </xf>
    <xf numFmtId="190" fontId="3" fillId="43" borderId="10" xfId="82" applyNumberFormat="1" applyFont="1" applyFill="1" applyBorder="1">
      <alignment/>
      <protection/>
    </xf>
    <xf numFmtId="190" fontId="6" fillId="43" borderId="10" xfId="82" applyNumberFormat="1" applyFont="1" applyFill="1" applyBorder="1">
      <alignment/>
      <protection/>
    </xf>
    <xf numFmtId="4" fontId="101" fillId="43" borderId="10" xfId="57" applyNumberFormat="1" applyFont="1" applyFill="1" applyBorder="1" applyAlignment="1">
      <alignment/>
    </xf>
    <xf numFmtId="3" fontId="99" fillId="43" borderId="10" xfId="57" applyNumberFormat="1" applyFont="1" applyFill="1" applyBorder="1" applyAlignment="1">
      <alignment/>
    </xf>
    <xf numFmtId="3" fontId="101" fillId="43" borderId="10" xfId="57" applyNumberFormat="1" applyFont="1" applyFill="1" applyBorder="1" applyAlignment="1">
      <alignment/>
    </xf>
    <xf numFmtId="43" fontId="101" fillId="43" borderId="10" xfId="51" applyFont="1" applyFill="1" applyBorder="1" applyAlignment="1">
      <alignment/>
    </xf>
    <xf numFmtId="0" fontId="58" fillId="0" borderId="62" xfId="92" applyFont="1" applyBorder="1" applyAlignment="1">
      <alignment horizontal="center" vertical="center" wrapText="1"/>
      <protection/>
    </xf>
    <xf numFmtId="0" fontId="54" fillId="43" borderId="10" xfId="0" applyFont="1" applyFill="1" applyBorder="1" applyAlignment="1">
      <alignment horizontal="justify" vertical="center" wrapText="1"/>
    </xf>
    <xf numFmtId="0" fontId="153" fillId="43" borderId="10" xfId="0" applyFont="1" applyFill="1" applyBorder="1" applyAlignment="1">
      <alignment horizontal="center" vertical="center" wrapText="1"/>
    </xf>
    <xf numFmtId="0" fontId="58" fillId="0" borderId="10" xfId="92" applyFont="1" applyBorder="1" applyAlignment="1">
      <alignment horizontal="left" vertical="center" wrapText="1"/>
      <protection/>
    </xf>
    <xf numFmtId="3" fontId="58" fillId="0" borderId="54" xfId="92" applyNumberFormat="1" applyFont="1" applyBorder="1" applyAlignment="1">
      <alignment vertical="center" wrapText="1"/>
      <protection/>
    </xf>
    <xf numFmtId="43" fontId="58" fillId="0" borderId="50" xfId="51" applyFont="1" applyBorder="1" applyAlignment="1">
      <alignment vertical="center" wrapText="1"/>
    </xf>
    <xf numFmtId="43" fontId="58" fillId="0" borderId="54" xfId="51" applyFont="1" applyBorder="1" applyAlignment="1">
      <alignment vertical="center" wrapText="1"/>
    </xf>
    <xf numFmtId="43" fontId="58" fillId="0" borderId="62" xfId="51" applyFont="1" applyBorder="1" applyAlignment="1">
      <alignment horizontal="center" vertical="center" wrapText="1"/>
    </xf>
    <xf numFmtId="43" fontId="0" fillId="0" borderId="10" xfId="51" applyFont="1" applyBorder="1" applyAlignment="1">
      <alignment horizontal="center" vertical="center"/>
    </xf>
    <xf numFmtId="43" fontId="159" fillId="0" borderId="49" xfId="51" applyFont="1" applyBorder="1" applyAlignment="1">
      <alignment vertical="center" wrapText="1"/>
    </xf>
    <xf numFmtId="43" fontId="0" fillId="0" borderId="49" xfId="51" applyFont="1" applyBorder="1" applyAlignment="1">
      <alignment horizontal="center" vertical="center"/>
    </xf>
    <xf numFmtId="43" fontId="58" fillId="0" borderId="10" xfId="51" applyFont="1" applyBorder="1" applyAlignment="1">
      <alignment horizontal="center" vertical="center" wrapText="1"/>
    </xf>
    <xf numFmtId="43" fontId="58" fillId="0" borderId="50" xfId="51" applyFont="1" applyBorder="1" applyAlignment="1">
      <alignment horizontal="center" vertical="center" wrapText="1"/>
    </xf>
    <xf numFmtId="43" fontId="58" fillId="0" borderId="49" xfId="51" applyFont="1" applyBorder="1" applyAlignment="1">
      <alignment vertical="center" wrapText="1"/>
    </xf>
    <xf numFmtId="0" fontId="147" fillId="0" borderId="45" xfId="0" applyFont="1" applyBorder="1" applyAlignment="1">
      <alignment/>
    </xf>
    <xf numFmtId="0" fontId="147" fillId="0" borderId="18" xfId="0" applyFont="1" applyBorder="1" applyAlignment="1">
      <alignment/>
    </xf>
    <xf numFmtId="0" fontId="147" fillId="0" borderId="63" xfId="0" applyFont="1" applyBorder="1" applyAlignment="1">
      <alignment/>
    </xf>
    <xf numFmtId="3" fontId="30" fillId="43" borderId="28" xfId="82" applyNumberFormat="1" applyFont="1" applyFill="1" applyBorder="1" applyAlignment="1" applyProtection="1">
      <alignment horizontal="right"/>
      <protection/>
    </xf>
    <xf numFmtId="0" fontId="62" fillId="34" borderId="0" xfId="82" applyFont="1" applyFill="1" applyProtection="1">
      <alignment/>
      <protection/>
    </xf>
    <xf numFmtId="0" fontId="63" fillId="34" borderId="0" xfId="82" applyFont="1" applyFill="1" applyProtection="1">
      <alignment/>
      <protection/>
    </xf>
    <xf numFmtId="0" fontId="61" fillId="34" borderId="0" xfId="82" applyFont="1" applyFill="1" applyProtection="1">
      <alignment/>
      <protection/>
    </xf>
    <xf numFmtId="0" fontId="15" fillId="0" borderId="0" xfId="82" applyFont="1">
      <alignment/>
      <protection/>
    </xf>
    <xf numFmtId="3" fontId="15" fillId="0" borderId="0" xfId="82" applyNumberFormat="1" applyFont="1">
      <alignment/>
      <protection/>
    </xf>
    <xf numFmtId="3" fontId="3" fillId="0" borderId="61" xfId="82" applyNumberFormat="1" applyBorder="1">
      <alignment/>
      <protection/>
    </xf>
    <xf numFmtId="3" fontId="15" fillId="0" borderId="61" xfId="82" applyNumberFormat="1" applyFont="1" applyBorder="1">
      <alignment/>
      <protection/>
    </xf>
    <xf numFmtId="0" fontId="3" fillId="0" borderId="47" xfId="82" applyBorder="1">
      <alignment/>
      <protection/>
    </xf>
    <xf numFmtId="0" fontId="14" fillId="0" borderId="64" xfId="82" applyFont="1" applyBorder="1" applyAlignment="1">
      <alignment/>
      <protection/>
    </xf>
    <xf numFmtId="0" fontId="14" fillId="0" borderId="62" xfId="82" applyFont="1" applyBorder="1" applyAlignment="1">
      <alignment/>
      <protection/>
    </xf>
    <xf numFmtId="0" fontId="15" fillId="0" borderId="49" xfId="82" applyFont="1" applyBorder="1">
      <alignment/>
      <protection/>
    </xf>
    <xf numFmtId="0" fontId="16" fillId="0" borderId="49" xfId="82" applyNumberFormat="1" applyFont="1" applyFill="1" applyBorder="1" applyAlignment="1" applyProtection="1">
      <alignment horizontal="center"/>
      <protection/>
    </xf>
    <xf numFmtId="0" fontId="16" fillId="0" borderId="48" xfId="82" applyNumberFormat="1" applyFont="1" applyFill="1" applyBorder="1" applyAlignment="1" applyProtection="1">
      <alignment horizontal="center"/>
      <protection/>
    </xf>
    <xf numFmtId="0" fontId="16" fillId="0" borderId="47" xfId="82" applyNumberFormat="1" applyFont="1" applyFill="1" applyBorder="1" applyAlignment="1" applyProtection="1">
      <alignment/>
      <protection/>
    </xf>
    <xf numFmtId="3" fontId="16" fillId="0" borderId="47" xfId="82" applyNumberFormat="1" applyFont="1" applyFill="1" applyBorder="1" applyAlignment="1" applyProtection="1">
      <alignment horizontal="center" vertical="justify"/>
      <protection/>
    </xf>
    <xf numFmtId="0" fontId="15" fillId="0" borderId="47" xfId="82" applyFont="1" applyBorder="1">
      <alignment/>
      <protection/>
    </xf>
    <xf numFmtId="0" fontId="15" fillId="0" borderId="65" xfId="82" applyFont="1" applyBorder="1">
      <alignment/>
      <protection/>
    </xf>
    <xf numFmtId="0" fontId="15" fillId="0" borderId="33" xfId="82" applyFont="1" applyBorder="1">
      <alignment/>
      <protection/>
    </xf>
    <xf numFmtId="0" fontId="15" fillId="0" borderId="53" xfId="82" applyFont="1" applyBorder="1">
      <alignment/>
      <protection/>
    </xf>
    <xf numFmtId="0" fontId="15" fillId="0" borderId="34" xfId="82" applyFont="1" applyBorder="1">
      <alignment/>
      <protection/>
    </xf>
    <xf numFmtId="0" fontId="10" fillId="0" borderId="36" xfId="82" applyFont="1" applyBorder="1" applyAlignment="1">
      <alignment horizontal="left" vertical="center" wrapText="1"/>
      <protection/>
    </xf>
    <xf numFmtId="189" fontId="16" fillId="0" borderId="17" xfId="72" applyNumberFormat="1" applyFont="1" applyFill="1" applyBorder="1" applyAlignment="1" applyProtection="1">
      <alignment/>
      <protection/>
    </xf>
    <xf numFmtId="190" fontId="10" fillId="0" borderId="37" xfId="82" applyNumberFormat="1" applyFont="1" applyBorder="1">
      <alignment/>
      <protection/>
    </xf>
    <xf numFmtId="49" fontId="20" fillId="0" borderId="10" xfId="72" applyNumberFormat="1" applyFont="1" applyBorder="1" applyAlignment="1">
      <alignment horizontal="center" vertical="justify"/>
    </xf>
    <xf numFmtId="1" fontId="20" fillId="0" borderId="10" xfId="72" applyNumberFormat="1" applyFont="1" applyFill="1" applyBorder="1" applyAlignment="1">
      <alignment horizontal="center" vertical="center"/>
    </xf>
    <xf numFmtId="49" fontId="64" fillId="0" borderId="66" xfId="72" applyNumberFormat="1" applyFont="1" applyFill="1" applyBorder="1" applyAlignment="1" applyProtection="1">
      <alignment horizontal="center" vertical="center"/>
      <protection/>
    </xf>
    <xf numFmtId="3" fontId="2" fillId="0" borderId="0" xfId="82" applyNumberFormat="1" applyFont="1" applyBorder="1">
      <alignment/>
      <protection/>
    </xf>
    <xf numFmtId="3" fontId="20" fillId="0" borderId="10" xfId="82" applyNumberFormat="1" applyFont="1" applyBorder="1">
      <alignment/>
      <protection/>
    </xf>
    <xf numFmtId="3" fontId="20" fillId="0" borderId="66" xfId="82" applyNumberFormat="1" applyFont="1" applyBorder="1">
      <alignment/>
      <protection/>
    </xf>
    <xf numFmtId="0" fontId="65" fillId="0" borderId="16" xfId="82" applyFont="1" applyBorder="1" applyAlignment="1">
      <alignment horizontal="left" wrapText="1"/>
      <protection/>
    </xf>
    <xf numFmtId="190" fontId="20" fillId="0" borderId="10" xfId="82" applyNumberFormat="1" applyFont="1" applyBorder="1">
      <alignment/>
      <protection/>
    </xf>
    <xf numFmtId="190" fontId="20" fillId="0" borderId="66" xfId="82" applyNumberFormat="1" applyFont="1" applyBorder="1">
      <alignment/>
      <protection/>
    </xf>
    <xf numFmtId="0" fontId="2" fillId="0" borderId="16" xfId="82" applyFont="1" applyBorder="1" applyAlignment="1">
      <alignment horizontal="left" vertical="center" wrapText="1"/>
      <protection/>
    </xf>
    <xf numFmtId="190" fontId="2" fillId="0" borderId="10" xfId="82" applyNumberFormat="1" applyFont="1" applyBorder="1">
      <alignment/>
      <protection/>
    </xf>
    <xf numFmtId="189" fontId="66" fillId="0" borderId="10" xfId="72" applyNumberFormat="1" applyFont="1" applyFill="1" applyBorder="1" applyAlignment="1" applyProtection="1">
      <alignment/>
      <protection/>
    </xf>
    <xf numFmtId="0" fontId="20" fillId="0" borderId="16" xfId="82" applyFont="1" applyBorder="1" applyAlignment="1">
      <alignment horizontal="left" vertical="center" wrapText="1"/>
      <protection/>
    </xf>
    <xf numFmtId="189" fontId="64" fillId="0" borderId="10" xfId="72" applyNumberFormat="1" applyFont="1" applyFill="1" applyBorder="1" applyAlignment="1" applyProtection="1">
      <alignment/>
      <protection/>
    </xf>
    <xf numFmtId="3" fontId="64" fillId="0" borderId="10" xfId="72" applyNumberFormat="1" applyFont="1" applyFill="1" applyBorder="1" applyAlignment="1" applyProtection="1">
      <alignment/>
      <protection/>
    </xf>
    <xf numFmtId="3" fontId="4" fillId="0" borderId="0" xfId="82" applyNumberFormat="1" applyFont="1">
      <alignment/>
      <protection/>
    </xf>
    <xf numFmtId="3" fontId="5" fillId="0" borderId="0" xfId="82" applyNumberFormat="1" applyFont="1">
      <alignment/>
      <protection/>
    </xf>
    <xf numFmtId="0" fontId="67" fillId="0" borderId="0" xfId="82" applyFont="1" applyAlignment="1">
      <alignment horizontal="center"/>
      <protection/>
    </xf>
    <xf numFmtId="0" fontId="14" fillId="0" borderId="0" xfId="82" applyFont="1">
      <alignment/>
      <protection/>
    </xf>
    <xf numFmtId="195" fontId="12" fillId="0" borderId="0" xfId="76" applyNumberFormat="1" applyFont="1" applyAlignment="1">
      <alignment/>
    </xf>
    <xf numFmtId="195" fontId="14" fillId="0" borderId="0" xfId="76" applyNumberFormat="1" applyFont="1" applyAlignment="1">
      <alignment/>
    </xf>
    <xf numFmtId="0" fontId="14" fillId="0" borderId="0" xfId="82" applyFont="1" applyAlignment="1">
      <alignment/>
      <protection/>
    </xf>
    <xf numFmtId="0" fontId="67" fillId="0" borderId="0" xfId="82" applyFont="1" applyAlignment="1">
      <alignment/>
      <protection/>
    </xf>
    <xf numFmtId="0" fontId="10" fillId="0" borderId="49" xfId="82" applyFont="1" applyBorder="1">
      <alignment/>
      <protection/>
    </xf>
    <xf numFmtId="1" fontId="20" fillId="41" borderId="10" xfId="76" applyNumberFormat="1" applyFont="1" applyFill="1" applyBorder="1" applyAlignment="1">
      <alignment horizontal="center"/>
    </xf>
    <xf numFmtId="195" fontId="2" fillId="0" borderId="49" xfId="76" applyNumberFormat="1" applyFont="1" applyBorder="1" applyAlignment="1">
      <alignment horizontal="center"/>
    </xf>
    <xf numFmtId="3" fontId="20" fillId="41" borderId="49" xfId="76" applyNumberFormat="1" applyFont="1" applyFill="1" applyBorder="1" applyAlignment="1">
      <alignment horizontal="center"/>
    </xf>
    <xf numFmtId="0" fontId="68" fillId="0" borderId="0" xfId="82" applyFont="1">
      <alignment/>
      <protection/>
    </xf>
    <xf numFmtId="0" fontId="3" fillId="0" borderId="61" xfId="82" applyBorder="1">
      <alignment/>
      <protection/>
    </xf>
    <xf numFmtId="190" fontId="15" fillId="0" borderId="0" xfId="82" applyNumberFormat="1" applyFont="1">
      <alignment/>
      <protection/>
    </xf>
    <xf numFmtId="0" fontId="6" fillId="43" borderId="33" xfId="82" applyFont="1" applyFill="1" applyBorder="1" applyAlignment="1">
      <alignment horizontal="left" vertical="center" wrapText="1"/>
      <protection/>
    </xf>
    <xf numFmtId="190" fontId="6" fillId="43" borderId="53" xfId="82" applyNumberFormat="1" applyFont="1" applyFill="1" applyBorder="1">
      <alignment/>
      <protection/>
    </xf>
    <xf numFmtId="190" fontId="10" fillId="43" borderId="34" xfId="82" applyNumberFormat="1" applyFont="1" applyFill="1" applyBorder="1">
      <alignment/>
      <protection/>
    </xf>
    <xf numFmtId="0" fontId="6" fillId="43" borderId="67" xfId="82" applyFont="1" applyFill="1" applyBorder="1" applyAlignment="1">
      <alignment horizontal="left" vertical="center" wrapText="1"/>
      <protection/>
    </xf>
    <xf numFmtId="190" fontId="6" fillId="43" borderId="50" xfId="82" applyNumberFormat="1" applyFont="1" applyFill="1" applyBorder="1">
      <alignment/>
      <protection/>
    </xf>
    <xf numFmtId="0" fontId="6" fillId="43" borderId="68" xfId="82" applyFont="1" applyFill="1" applyBorder="1" applyAlignment="1">
      <alignment horizontal="left" vertical="center" wrapText="1"/>
      <protection/>
    </xf>
    <xf numFmtId="9" fontId="6" fillId="43" borderId="49" xfId="82" applyNumberFormat="1" applyFont="1" applyFill="1" applyBorder="1">
      <alignment/>
      <protection/>
    </xf>
    <xf numFmtId="0" fontId="6" fillId="43" borderId="36" xfId="82" applyFont="1" applyFill="1" applyBorder="1" applyAlignment="1">
      <alignment horizontal="left" vertical="center" wrapText="1"/>
      <protection/>
    </xf>
    <xf numFmtId="9" fontId="6" fillId="43" borderId="17" xfId="82" applyNumberFormat="1" applyFont="1" applyFill="1" applyBorder="1">
      <alignment/>
      <protection/>
    </xf>
    <xf numFmtId="0" fontId="10" fillId="0" borderId="0" xfId="82" applyFont="1" applyFill="1" applyBorder="1" applyAlignment="1">
      <alignment horizontal="left" vertical="center" wrapText="1"/>
      <protection/>
    </xf>
    <xf numFmtId="189" fontId="18" fillId="0" borderId="0" xfId="74" applyNumberFormat="1" applyFont="1" applyFill="1" applyBorder="1" applyAlignment="1" applyProtection="1">
      <alignment/>
      <protection/>
    </xf>
    <xf numFmtId="0" fontId="67" fillId="0" borderId="0" xfId="82" applyFont="1" applyAlignment="1">
      <alignment vertical="center" wrapText="1"/>
      <protection/>
    </xf>
    <xf numFmtId="0" fontId="6" fillId="0" borderId="0" xfId="82" applyFont="1" applyBorder="1" applyAlignment="1">
      <alignment vertical="center" wrapText="1"/>
      <protection/>
    </xf>
    <xf numFmtId="0" fontId="3" fillId="0" borderId="0" xfId="82" applyBorder="1">
      <alignment/>
      <protection/>
    </xf>
    <xf numFmtId="0" fontId="4" fillId="0" borderId="0" xfId="82" applyFont="1" applyBorder="1">
      <alignment/>
      <protection/>
    </xf>
    <xf numFmtId="0" fontId="5" fillId="0" borderId="0" xfId="82" applyFont="1" applyBorder="1">
      <alignment/>
      <protection/>
    </xf>
    <xf numFmtId="43" fontId="20" fillId="43" borderId="50" xfId="82" applyNumberFormat="1" applyFont="1" applyFill="1" applyBorder="1">
      <alignment/>
      <protection/>
    </xf>
    <xf numFmtId="0" fontId="14" fillId="0" borderId="0" xfId="82" applyFont="1" applyBorder="1">
      <alignment/>
      <protection/>
    </xf>
    <xf numFmtId="190" fontId="12" fillId="0" borderId="0" xfId="82" applyNumberFormat="1" applyFont="1" applyBorder="1">
      <alignment/>
      <protection/>
    </xf>
    <xf numFmtId="0" fontId="12" fillId="0" borderId="0" xfId="82" applyFont="1" applyBorder="1">
      <alignment/>
      <protection/>
    </xf>
    <xf numFmtId="0" fontId="20" fillId="43" borderId="16" xfId="82" applyFont="1" applyFill="1" applyBorder="1" applyAlignment="1">
      <alignment horizontal="left" vertical="center" wrapText="1"/>
      <protection/>
    </xf>
    <xf numFmtId="190" fontId="10" fillId="43" borderId="10" xfId="82" applyNumberFormat="1" applyFont="1" applyFill="1" applyBorder="1">
      <alignment/>
      <protection/>
    </xf>
    <xf numFmtId="185" fontId="4" fillId="43" borderId="47" xfId="65" applyNumberFormat="1" applyFont="1" applyFill="1" applyBorder="1" applyAlignment="1">
      <alignment/>
    </xf>
    <xf numFmtId="185" fontId="6" fillId="43" borderId="47" xfId="65" applyNumberFormat="1" applyFont="1" applyFill="1" applyBorder="1" applyAlignment="1">
      <alignment/>
    </xf>
    <xf numFmtId="185" fontId="99" fillId="43" borderId="47" xfId="65" applyNumberFormat="1" applyFont="1" applyFill="1" applyBorder="1" applyAlignment="1">
      <alignment/>
    </xf>
    <xf numFmtId="185" fontId="36" fillId="43" borderId="47" xfId="65" applyNumberFormat="1" applyFont="1" applyFill="1" applyBorder="1" applyAlignment="1">
      <alignment/>
    </xf>
    <xf numFmtId="185" fontId="101" fillId="43" borderId="47" xfId="65" applyNumberFormat="1" applyFont="1" applyFill="1" applyBorder="1" applyAlignment="1">
      <alignment/>
    </xf>
    <xf numFmtId="185" fontId="3" fillId="43" borderId="47" xfId="65" applyNumberFormat="1" applyFont="1" applyFill="1" applyBorder="1" applyAlignment="1">
      <alignment/>
    </xf>
    <xf numFmtId="0" fontId="68" fillId="43" borderId="0" xfId="87" applyFont="1" applyFill="1">
      <alignment/>
      <protection/>
    </xf>
    <xf numFmtId="185" fontId="108" fillId="43" borderId="0" xfId="65" applyNumberFormat="1" applyFont="1" applyFill="1" applyAlignment="1">
      <alignment/>
    </xf>
    <xf numFmtId="0" fontId="5" fillId="43" borderId="10" xfId="87" applyFont="1" applyFill="1" applyBorder="1">
      <alignment/>
      <protection/>
    </xf>
    <xf numFmtId="185" fontId="109" fillId="43" borderId="10" xfId="65" applyNumberFormat="1" applyFont="1" applyFill="1" applyBorder="1" applyAlignment="1">
      <alignment/>
    </xf>
    <xf numFmtId="185" fontId="110" fillId="43" borderId="10" xfId="65" applyNumberFormat="1" applyFont="1" applyFill="1" applyBorder="1" applyAlignment="1">
      <alignment/>
    </xf>
    <xf numFmtId="185" fontId="5" fillId="43" borderId="10" xfId="65" applyNumberFormat="1" applyFont="1" applyFill="1" applyBorder="1" applyAlignment="1">
      <alignment/>
    </xf>
    <xf numFmtId="185" fontId="109" fillId="33" borderId="10" xfId="65" applyNumberFormat="1" applyFont="1" applyFill="1" applyBorder="1" applyAlignment="1">
      <alignment/>
    </xf>
    <xf numFmtId="0" fontId="5" fillId="43" borderId="0" xfId="87" applyFont="1" applyFill="1">
      <alignment/>
      <protection/>
    </xf>
    <xf numFmtId="185" fontId="109" fillId="43" borderId="0" xfId="65" applyNumberFormat="1" applyFont="1" applyFill="1" applyAlignment="1">
      <alignment/>
    </xf>
    <xf numFmtId="49" fontId="13" fillId="43" borderId="10" xfId="87" applyNumberFormat="1" applyFont="1" applyFill="1" applyBorder="1">
      <alignment/>
      <protection/>
    </xf>
    <xf numFmtId="1" fontId="13" fillId="43" borderId="10" xfId="87" applyNumberFormat="1" applyFont="1" applyFill="1" applyBorder="1">
      <alignment/>
      <protection/>
    </xf>
    <xf numFmtId="49" fontId="36" fillId="43" borderId="10" xfId="87" applyNumberFormat="1" applyFont="1" applyFill="1" applyBorder="1" applyAlignment="1">
      <alignment horizontal="left"/>
      <protection/>
    </xf>
    <xf numFmtId="49" fontId="36" fillId="43" borderId="10" xfId="87" applyNumberFormat="1" applyFont="1" applyFill="1" applyBorder="1">
      <alignment/>
      <protection/>
    </xf>
    <xf numFmtId="0" fontId="13" fillId="43" borderId="10" xfId="87" applyFont="1" applyFill="1" applyBorder="1">
      <alignment/>
      <protection/>
    </xf>
    <xf numFmtId="49" fontId="13" fillId="33" borderId="10" xfId="87" applyNumberFormat="1" applyFont="1" applyFill="1" applyBorder="1">
      <alignment/>
      <protection/>
    </xf>
    <xf numFmtId="49" fontId="36" fillId="33" borderId="10" xfId="87" applyNumberFormat="1" applyFont="1" applyFill="1" applyBorder="1">
      <alignment/>
      <protection/>
    </xf>
    <xf numFmtId="1" fontId="13" fillId="33" borderId="10" xfId="87" applyNumberFormat="1" applyFont="1" applyFill="1" applyBorder="1">
      <alignment/>
      <protection/>
    </xf>
    <xf numFmtId="185" fontId="109" fillId="43" borderId="17" xfId="65" applyNumberFormat="1" applyFont="1" applyFill="1" applyBorder="1" applyAlignment="1">
      <alignment/>
    </xf>
    <xf numFmtId="185" fontId="109" fillId="43" borderId="49" xfId="65" applyNumberFormat="1" applyFont="1" applyFill="1" applyBorder="1" applyAlignment="1">
      <alignment/>
    </xf>
    <xf numFmtId="1" fontId="13" fillId="43" borderId="51" xfId="87" applyNumberFormat="1" applyFont="1" applyFill="1" applyBorder="1">
      <alignment/>
      <protection/>
    </xf>
    <xf numFmtId="185" fontId="4" fillId="43" borderId="50" xfId="65" applyNumberFormat="1" applyFont="1" applyFill="1" applyBorder="1" applyAlignment="1">
      <alignment/>
    </xf>
    <xf numFmtId="49" fontId="5" fillId="43" borderId="51" xfId="87" applyNumberFormat="1" applyFont="1" applyFill="1" applyBorder="1">
      <alignment/>
      <protection/>
    </xf>
    <xf numFmtId="0" fontId="4" fillId="43" borderId="50" xfId="87" applyFont="1" applyFill="1" applyBorder="1" applyAlignment="1">
      <alignment horizontal="center"/>
      <protection/>
    </xf>
    <xf numFmtId="0" fontId="4" fillId="43" borderId="50" xfId="87" applyFont="1" applyFill="1" applyBorder="1" applyAlignment="1">
      <alignment horizontal="center" vertical="center"/>
      <protection/>
    </xf>
    <xf numFmtId="185" fontId="4" fillId="43" borderId="49" xfId="65" applyNumberFormat="1" applyFont="1" applyFill="1" applyBorder="1" applyAlignment="1">
      <alignment/>
    </xf>
    <xf numFmtId="185" fontId="4" fillId="43" borderId="60" xfId="65" applyNumberFormat="1" applyFont="1" applyFill="1" applyBorder="1" applyAlignment="1">
      <alignment/>
    </xf>
    <xf numFmtId="185" fontId="4" fillId="43" borderId="69" xfId="65" applyNumberFormat="1" applyFont="1" applyFill="1" applyBorder="1" applyAlignment="1">
      <alignment/>
    </xf>
    <xf numFmtId="185" fontId="109" fillId="43" borderId="53" xfId="65" applyNumberFormat="1" applyFont="1" applyFill="1" applyBorder="1" applyAlignment="1">
      <alignment/>
    </xf>
    <xf numFmtId="49" fontId="13" fillId="33" borderId="51" xfId="87" applyNumberFormat="1" applyFont="1" applyFill="1" applyBorder="1">
      <alignment/>
      <protection/>
    </xf>
    <xf numFmtId="49" fontId="36" fillId="33" borderId="51" xfId="87" applyNumberFormat="1" applyFont="1" applyFill="1" applyBorder="1">
      <alignment/>
      <protection/>
    </xf>
    <xf numFmtId="185" fontId="110" fillId="43" borderId="49" xfId="65" applyNumberFormat="1" applyFont="1" applyFill="1" applyBorder="1" applyAlignment="1">
      <alignment/>
    </xf>
    <xf numFmtId="1" fontId="36" fillId="43" borderId="51" xfId="87" applyNumberFormat="1" applyFont="1" applyFill="1" applyBorder="1">
      <alignment/>
      <protection/>
    </xf>
    <xf numFmtId="49" fontId="13" fillId="43" borderId="51" xfId="87" applyNumberFormat="1" applyFont="1" applyFill="1" applyBorder="1">
      <alignment/>
      <protection/>
    </xf>
    <xf numFmtId="49" fontId="36" fillId="43" borderId="51" xfId="87" applyNumberFormat="1" applyFont="1" applyFill="1" applyBorder="1">
      <alignment/>
      <protection/>
    </xf>
    <xf numFmtId="185" fontId="5" fillId="43" borderId="60" xfId="65" applyNumberFormat="1" applyFont="1" applyFill="1" applyBorder="1" applyAlignment="1">
      <alignment/>
    </xf>
    <xf numFmtId="185" fontId="109" fillId="43" borderId="69" xfId="65" applyNumberFormat="1" applyFont="1" applyFill="1" applyBorder="1" applyAlignment="1">
      <alignment/>
    </xf>
    <xf numFmtId="185" fontId="4" fillId="43" borderId="70" xfId="65" applyNumberFormat="1" applyFont="1" applyFill="1" applyBorder="1" applyAlignment="1">
      <alignment/>
    </xf>
    <xf numFmtId="185" fontId="109" fillId="43" borderId="58" xfId="65" applyNumberFormat="1" applyFont="1" applyFill="1" applyBorder="1" applyAlignment="1">
      <alignment/>
    </xf>
    <xf numFmtId="185" fontId="109" fillId="43" borderId="71" xfId="65" applyNumberFormat="1" applyFont="1" applyFill="1" applyBorder="1" applyAlignment="1">
      <alignment/>
    </xf>
    <xf numFmtId="185" fontId="109" fillId="43" borderId="60" xfId="65" applyNumberFormat="1" applyFont="1" applyFill="1" applyBorder="1" applyAlignment="1">
      <alignment/>
    </xf>
    <xf numFmtId="185" fontId="5" fillId="43" borderId="53" xfId="65" applyNumberFormat="1" applyFont="1" applyFill="1" applyBorder="1" applyAlignment="1">
      <alignment/>
    </xf>
    <xf numFmtId="185" fontId="4" fillId="43" borderId="72" xfId="65" applyNumberFormat="1" applyFont="1" applyFill="1" applyBorder="1" applyAlignment="1">
      <alignment/>
    </xf>
    <xf numFmtId="185" fontId="4" fillId="43" borderId="73" xfId="65" applyNumberFormat="1" applyFont="1" applyFill="1" applyBorder="1" applyAlignment="1">
      <alignment/>
    </xf>
    <xf numFmtId="185" fontId="4" fillId="43" borderId="43" xfId="65" applyNumberFormat="1" applyFont="1" applyFill="1" applyBorder="1" applyAlignment="1">
      <alignment/>
    </xf>
    <xf numFmtId="3" fontId="159" fillId="0" borderId="10" xfId="0" applyNumberFormat="1" applyFont="1" applyBorder="1" applyAlignment="1">
      <alignment vertical="center" wrapText="1"/>
    </xf>
    <xf numFmtId="0" fontId="0" fillId="33" borderId="74" xfId="0" applyFill="1" applyBorder="1" applyAlignment="1">
      <alignment horizontal="center"/>
    </xf>
    <xf numFmtId="3" fontId="0" fillId="0" borderId="0" xfId="0" applyNumberFormat="1" applyAlignment="1">
      <alignment horizontal="center" vertical="center" wrapText="1"/>
    </xf>
    <xf numFmtId="43" fontId="159" fillId="0" borderId="10" xfId="51" applyFont="1" applyBorder="1" applyAlignment="1">
      <alignment vertical="center" wrapText="1"/>
    </xf>
    <xf numFmtId="187" fontId="58" fillId="0" borderId="54" xfId="51" applyNumberFormat="1" applyFont="1" applyBorder="1" applyAlignment="1">
      <alignment vertical="center" wrapText="1"/>
    </xf>
    <xf numFmtId="3" fontId="58" fillId="0" borderId="10" xfId="92" applyNumberFormat="1" applyFont="1" applyBorder="1" applyAlignment="1">
      <alignment vertical="center" wrapText="1"/>
      <protection/>
    </xf>
    <xf numFmtId="3" fontId="57" fillId="33" borderId="50" xfId="85" applyNumberFormat="1" applyFont="1" applyFill="1" applyBorder="1" applyAlignment="1">
      <alignment horizontal="center" vertical="center" wrapText="1"/>
      <protection/>
    </xf>
    <xf numFmtId="0" fontId="0" fillId="0" borderId="0" xfId="0" applyBorder="1" applyAlignment="1">
      <alignment horizontal="center"/>
    </xf>
    <xf numFmtId="3" fontId="0" fillId="0" borderId="50" xfId="0" applyNumberFormat="1" applyBorder="1" applyAlignment="1">
      <alignment horizontal="center" vertical="center"/>
    </xf>
    <xf numFmtId="3" fontId="150" fillId="0" borderId="10" xfId="0" applyNumberFormat="1" applyFont="1" applyBorder="1" applyAlignment="1">
      <alignment horizontal="center" vertical="center"/>
    </xf>
    <xf numFmtId="0" fontId="159" fillId="0" borderId="10" xfId="0" applyFont="1" applyBorder="1" applyAlignment="1">
      <alignment horizontal="center" vertical="center" wrapText="1"/>
    </xf>
    <xf numFmtId="3" fontId="150" fillId="0" borderId="10" xfId="0" applyNumberFormat="1" applyFont="1" applyBorder="1" applyAlignment="1">
      <alignment horizontal="center" vertical="center" wrapText="1"/>
    </xf>
    <xf numFmtId="0" fontId="150" fillId="0" borderId="10" xfId="0" applyFont="1" applyFill="1" applyBorder="1" applyAlignment="1">
      <alignment horizontal="center" vertical="center" wrapText="1"/>
    </xf>
    <xf numFmtId="0" fontId="154" fillId="0" borderId="50" xfId="0" applyFont="1" applyBorder="1" applyAlignment="1">
      <alignment horizontal="center" vertical="center" wrapText="1"/>
    </xf>
    <xf numFmtId="0" fontId="154" fillId="0" borderId="54" xfId="0" applyFont="1" applyBorder="1" applyAlignment="1">
      <alignment horizontal="center" vertical="center" wrapText="1"/>
    </xf>
    <xf numFmtId="0" fontId="154" fillId="0" borderId="49" xfId="0" applyFont="1" applyBorder="1" applyAlignment="1">
      <alignment horizontal="center" vertical="center" wrapText="1"/>
    </xf>
    <xf numFmtId="0" fontId="151" fillId="0" borderId="54" xfId="0" applyFont="1" applyBorder="1" applyAlignment="1">
      <alignment horizontal="center" vertical="center" wrapText="1"/>
    </xf>
    <xf numFmtId="0" fontId="151" fillId="0" borderId="10" xfId="0" applyFont="1" applyBorder="1" applyAlignment="1">
      <alignment horizontal="center" vertical="center" wrapText="1"/>
    </xf>
    <xf numFmtId="0" fontId="161" fillId="0" borderId="49" xfId="0" applyFont="1" applyBorder="1" applyAlignment="1">
      <alignment horizontal="center" vertical="center" wrapText="1"/>
    </xf>
    <xf numFmtId="0" fontId="150" fillId="0" borderId="10" xfId="0" applyFont="1" applyBorder="1" applyAlignment="1">
      <alignment horizontal="center" vertical="center" wrapText="1"/>
    </xf>
    <xf numFmtId="0" fontId="152" fillId="0" borderId="10" xfId="0" applyFont="1" applyBorder="1" applyAlignment="1">
      <alignment horizontal="center" vertical="center" wrapText="1"/>
    </xf>
    <xf numFmtId="0" fontId="150" fillId="0" borderId="54" xfId="0" applyFont="1" applyBorder="1" applyAlignment="1">
      <alignment horizontal="center" vertical="center" wrapText="1"/>
    </xf>
    <xf numFmtId="0" fontId="151" fillId="0" borderId="49" xfId="0" applyFont="1" applyBorder="1" applyAlignment="1">
      <alignment horizontal="center" vertical="center" wrapText="1"/>
    </xf>
    <xf numFmtId="0" fontId="150" fillId="0" borderId="50" xfId="0" applyFont="1" applyBorder="1" applyAlignment="1">
      <alignment horizontal="center" vertical="center" wrapText="1"/>
    </xf>
    <xf numFmtId="9" fontId="150" fillId="0" borderId="10" xfId="0" applyNumberFormat="1" applyFont="1" applyBorder="1" applyAlignment="1">
      <alignment horizontal="center" vertical="center" wrapText="1"/>
    </xf>
    <xf numFmtId="0" fontId="150" fillId="0" borderId="50" xfId="0" applyFont="1" applyBorder="1" applyAlignment="1">
      <alignment horizontal="center" vertical="center"/>
    </xf>
    <xf numFmtId="0" fontId="152" fillId="0" borderId="50" xfId="0" applyFont="1" applyBorder="1" applyAlignment="1">
      <alignment horizontal="center" vertical="center" wrapText="1"/>
    </xf>
    <xf numFmtId="0" fontId="150" fillId="0" borderId="10" xfId="0" applyFont="1" applyBorder="1" applyAlignment="1">
      <alignment horizontal="justify" vertical="center" wrapText="1"/>
    </xf>
    <xf numFmtId="0" fontId="150" fillId="0" borderId="10" xfId="0" applyFont="1" applyBorder="1" applyAlignment="1">
      <alignment horizontal="center"/>
    </xf>
    <xf numFmtId="0" fontId="150" fillId="43" borderId="10" xfId="0" applyFont="1" applyFill="1" applyBorder="1" applyAlignment="1">
      <alignment horizontal="center" vertical="center" wrapText="1"/>
    </xf>
    <xf numFmtId="0" fontId="150" fillId="33" borderId="10" xfId="0" applyFont="1" applyFill="1" applyBorder="1" applyAlignment="1">
      <alignment horizontal="center" vertical="center" wrapText="1"/>
    </xf>
    <xf numFmtId="10" fontId="150" fillId="0" borderId="10" xfId="0" applyNumberFormat="1" applyFont="1" applyBorder="1" applyAlignment="1">
      <alignment horizontal="center" vertical="center" wrapText="1"/>
    </xf>
    <xf numFmtId="0" fontId="20" fillId="42" borderId="10" xfId="0" applyFont="1" applyFill="1" applyBorder="1" applyAlignment="1">
      <alignment horizontal="center" vertical="center" wrapText="1"/>
    </xf>
    <xf numFmtId="0" fontId="20" fillId="42" borderId="10" xfId="0" applyFont="1" applyFill="1" applyBorder="1" applyAlignment="1">
      <alignment horizontal="center" vertical="center" textRotation="90" wrapText="1"/>
    </xf>
    <xf numFmtId="9" fontId="150" fillId="0" borderId="10" xfId="0" applyNumberFormat="1" applyFont="1" applyFill="1" applyBorder="1" applyAlignment="1">
      <alignment horizontal="center" vertical="center" wrapText="1"/>
    </xf>
    <xf numFmtId="0" fontId="20" fillId="42" borderId="75" xfId="0" applyFont="1" applyFill="1" applyBorder="1" applyAlignment="1">
      <alignment horizontal="center" vertical="center" wrapText="1"/>
    </xf>
    <xf numFmtId="0" fontId="152" fillId="0" borderId="50" xfId="0" applyFont="1" applyFill="1" applyBorder="1" applyAlignment="1">
      <alignment horizontal="center" vertical="center" wrapText="1"/>
    </xf>
    <xf numFmtId="43" fontId="159" fillId="0" borderId="10" xfId="51" applyFont="1" applyBorder="1" applyAlignment="1">
      <alignment horizontal="center" vertical="center" wrapText="1"/>
    </xf>
    <xf numFmtId="43" fontId="159" fillId="0" borderId="50" xfId="51" applyFont="1" applyBorder="1" applyAlignment="1">
      <alignment horizontal="center" vertical="center" wrapText="1"/>
    </xf>
    <xf numFmtId="43" fontId="159" fillId="0" borderId="49" xfId="51" applyFont="1" applyBorder="1" applyAlignment="1">
      <alignment horizontal="center" vertical="center" wrapText="1"/>
    </xf>
    <xf numFmtId="43" fontId="0" fillId="0" borderId="50" xfId="51" applyFont="1" applyBorder="1" applyAlignment="1">
      <alignment horizontal="center" vertical="center"/>
    </xf>
    <xf numFmtId="3" fontId="10" fillId="33" borderId="51" xfId="85" applyNumberFormat="1" applyFont="1" applyFill="1" applyBorder="1" applyAlignment="1">
      <alignment horizontal="center" vertical="center" wrapText="1"/>
      <protection/>
    </xf>
    <xf numFmtId="3" fontId="10" fillId="33" borderId="47" xfId="85" applyNumberFormat="1" applyFont="1" applyFill="1" applyBorder="1" applyAlignment="1">
      <alignment horizontal="center" vertical="center" wrapText="1"/>
      <protection/>
    </xf>
    <xf numFmtId="3" fontId="10" fillId="33" borderId="76" xfId="85" applyNumberFormat="1" applyFont="1" applyFill="1" applyBorder="1" applyAlignment="1">
      <alignment horizontal="center" vertical="center" wrapText="1"/>
      <protection/>
    </xf>
    <xf numFmtId="43" fontId="0" fillId="0" borderId="0" xfId="51" applyFont="1" applyAlignment="1">
      <alignment/>
    </xf>
    <xf numFmtId="0" fontId="0" fillId="0" borderId="0" xfId="0" applyAlignment="1">
      <alignment horizontal="center"/>
    </xf>
    <xf numFmtId="0" fontId="0" fillId="0" borderId="0" xfId="0" applyBorder="1" applyAlignment="1">
      <alignment horizontal="center"/>
    </xf>
    <xf numFmtId="3" fontId="150" fillId="0" borderId="10" xfId="0" applyNumberFormat="1" applyFont="1" applyBorder="1" applyAlignment="1">
      <alignment horizontal="center" vertical="center"/>
    </xf>
    <xf numFmtId="3" fontId="150" fillId="0" borderId="10" xfId="0" applyNumberFormat="1" applyFont="1" applyBorder="1" applyAlignment="1">
      <alignment horizontal="center" vertical="center" wrapText="1"/>
    </xf>
    <xf numFmtId="0" fontId="151" fillId="0" borderId="10" xfId="0" applyFont="1" applyBorder="1" applyAlignment="1">
      <alignment horizontal="center" vertical="center" wrapText="1"/>
    </xf>
    <xf numFmtId="0" fontId="150" fillId="0" borderId="10" xfId="0" applyFont="1" applyBorder="1" applyAlignment="1">
      <alignment horizontal="center" vertical="center" wrapText="1"/>
    </xf>
    <xf numFmtId="0" fontId="150" fillId="0" borderId="50" xfId="0" applyFont="1" applyBorder="1" applyAlignment="1">
      <alignment horizontal="center" vertical="center" wrapText="1"/>
    </xf>
    <xf numFmtId="9" fontId="150" fillId="0" borderId="10" xfId="0" applyNumberFormat="1" applyFont="1" applyBorder="1" applyAlignment="1">
      <alignment horizontal="center" vertical="center" wrapText="1"/>
    </xf>
    <xf numFmtId="0" fontId="150" fillId="0" borderId="50" xfId="0" applyFont="1" applyBorder="1" applyAlignment="1">
      <alignment horizontal="center" vertical="center"/>
    </xf>
    <xf numFmtId="0" fontId="150" fillId="0" borderId="10" xfId="0" applyFont="1" applyBorder="1" applyAlignment="1">
      <alignment horizontal="justify" vertical="center" wrapText="1"/>
    </xf>
    <xf numFmtId="0" fontId="150" fillId="0" borderId="10" xfId="0" applyFont="1" applyBorder="1" applyAlignment="1">
      <alignment horizontal="center"/>
    </xf>
    <xf numFmtId="0" fontId="20" fillId="42" borderId="10" xfId="0" applyFont="1" applyFill="1" applyBorder="1" applyAlignment="1">
      <alignment horizontal="center" vertical="center" wrapText="1"/>
    </xf>
    <xf numFmtId="0" fontId="20" fillId="42" borderId="10" xfId="0" applyFont="1" applyFill="1" applyBorder="1" applyAlignment="1">
      <alignment horizontal="center" vertical="center" textRotation="90" wrapText="1"/>
    </xf>
    <xf numFmtId="0" fontId="20" fillId="42" borderId="75" xfId="0" applyFont="1" applyFill="1" applyBorder="1" applyAlignment="1">
      <alignment horizontal="center" vertical="center" wrapText="1"/>
    </xf>
    <xf numFmtId="1" fontId="13" fillId="43" borderId="10" xfId="87" applyNumberFormat="1" applyFont="1" applyFill="1" applyBorder="1" applyAlignment="1">
      <alignment wrapText="1"/>
      <protection/>
    </xf>
    <xf numFmtId="0" fontId="5" fillId="43" borderId="10" xfId="87" applyFont="1" applyFill="1" applyBorder="1" applyAlignment="1">
      <alignment wrapText="1"/>
      <protection/>
    </xf>
    <xf numFmtId="0" fontId="20" fillId="43" borderId="56" xfId="87" applyFont="1" applyFill="1" applyBorder="1" applyAlignment="1">
      <alignment horizontal="left" wrapText="1"/>
      <protection/>
    </xf>
    <xf numFmtId="1" fontId="36" fillId="43" borderId="10" xfId="87" applyNumberFormat="1" applyFont="1" applyFill="1" applyBorder="1" applyAlignment="1">
      <alignment wrapText="1"/>
      <protection/>
    </xf>
    <xf numFmtId="1" fontId="13" fillId="43" borderId="17" xfId="87" applyNumberFormat="1" applyFont="1" applyFill="1" applyBorder="1" applyAlignment="1">
      <alignment wrapText="1"/>
      <protection/>
    </xf>
    <xf numFmtId="1" fontId="36" fillId="43" borderId="49" xfId="87" applyNumberFormat="1" applyFont="1" applyFill="1" applyBorder="1" applyAlignment="1">
      <alignment wrapText="1"/>
      <protection/>
    </xf>
    <xf numFmtId="1" fontId="36" fillId="43" borderId="43" xfId="87" applyNumberFormat="1" applyFont="1" applyFill="1" applyBorder="1" applyAlignment="1">
      <alignment wrapText="1"/>
      <protection/>
    </xf>
    <xf numFmtId="1" fontId="13" fillId="43" borderId="56" xfId="87" applyNumberFormat="1" applyFont="1" applyFill="1" applyBorder="1" applyAlignment="1">
      <alignment wrapText="1"/>
      <protection/>
    </xf>
    <xf numFmtId="1" fontId="13" fillId="43" borderId="77" xfId="87" applyNumberFormat="1" applyFont="1" applyFill="1" applyBorder="1" applyAlignment="1">
      <alignment wrapText="1"/>
      <protection/>
    </xf>
    <xf numFmtId="1" fontId="13" fillId="43" borderId="49" xfId="87" applyNumberFormat="1" applyFont="1" applyFill="1" applyBorder="1" applyAlignment="1">
      <alignment wrapText="1"/>
      <protection/>
    </xf>
    <xf numFmtId="1" fontId="13" fillId="33" borderId="10" xfId="87" applyNumberFormat="1" applyFont="1" applyFill="1" applyBorder="1" applyAlignment="1">
      <alignment wrapText="1"/>
      <protection/>
    </xf>
    <xf numFmtId="1" fontId="36" fillId="43" borderId="50" xfId="87" applyNumberFormat="1" applyFont="1" applyFill="1" applyBorder="1" applyAlignment="1">
      <alignment wrapText="1"/>
      <protection/>
    </xf>
    <xf numFmtId="1" fontId="69" fillId="43" borderId="56" xfId="87" applyNumberFormat="1" applyFont="1" applyFill="1" applyBorder="1" applyAlignment="1">
      <alignment wrapText="1"/>
      <protection/>
    </xf>
    <xf numFmtId="1" fontId="13" fillId="43" borderId="53" xfId="87" applyNumberFormat="1" applyFont="1" applyFill="1" applyBorder="1" applyAlignment="1">
      <alignment wrapText="1"/>
      <protection/>
    </xf>
    <xf numFmtId="0" fontId="5" fillId="43" borderId="0" xfId="87" applyFont="1" applyFill="1" applyAlignment="1">
      <alignment wrapText="1"/>
      <protection/>
    </xf>
    <xf numFmtId="0" fontId="68" fillId="43" borderId="0" xfId="87" applyFont="1" applyFill="1" applyAlignment="1">
      <alignment wrapText="1"/>
      <protection/>
    </xf>
    <xf numFmtId="0" fontId="3" fillId="43" borderId="0" xfId="87" applyFont="1" applyFill="1" applyAlignment="1">
      <alignment wrapText="1"/>
      <protection/>
    </xf>
    <xf numFmtId="0" fontId="6" fillId="43" borderId="10" xfId="87" applyFont="1" applyFill="1" applyBorder="1" applyAlignment="1">
      <alignment horizontal="left" wrapText="1"/>
      <protection/>
    </xf>
    <xf numFmtId="0" fontId="6" fillId="43" borderId="49" xfId="87" applyFont="1" applyFill="1" applyBorder="1" applyAlignment="1">
      <alignment horizontal="left" wrapText="1"/>
      <protection/>
    </xf>
    <xf numFmtId="1" fontId="6" fillId="43" borderId="10" xfId="87" applyNumberFormat="1" applyFont="1" applyFill="1" applyBorder="1" applyAlignment="1">
      <alignment wrapText="1"/>
      <protection/>
    </xf>
    <xf numFmtId="0" fontId="49" fillId="0" borderId="10" xfId="0" applyFont="1" applyBorder="1" applyAlignment="1">
      <alignment horizontal="center" vertical="center" wrapText="1"/>
    </xf>
    <xf numFmtId="0" fontId="150" fillId="0" borderId="10" xfId="0" applyFont="1" applyBorder="1" applyAlignment="1">
      <alignment horizontal="center" vertical="center" wrapText="1"/>
    </xf>
    <xf numFmtId="0" fontId="151" fillId="0" borderId="10" xfId="0" applyFont="1" applyBorder="1" applyAlignment="1">
      <alignment horizontal="center" vertical="center" wrapText="1"/>
    </xf>
    <xf numFmtId="0" fontId="154" fillId="0" borderId="50" xfId="0" applyFont="1" applyBorder="1" applyAlignment="1">
      <alignment horizontal="center" vertical="center" wrapText="1"/>
    </xf>
    <xf numFmtId="0" fontId="154" fillId="0" borderId="54" xfId="0" applyFont="1" applyBorder="1" applyAlignment="1">
      <alignment horizontal="center" vertical="center" wrapText="1"/>
    </xf>
    <xf numFmtId="0" fontId="154" fillId="0" borderId="49" xfId="0" applyFont="1" applyBorder="1" applyAlignment="1">
      <alignment horizontal="center" vertical="center" wrapText="1"/>
    </xf>
    <xf numFmtId="0" fontId="150" fillId="0" borderId="10" xfId="0" applyFont="1" applyFill="1" applyBorder="1" applyAlignment="1">
      <alignment horizontal="center" vertical="center" wrapText="1"/>
    </xf>
    <xf numFmtId="0" fontId="150" fillId="0" borderId="50" xfId="0" applyFont="1" applyFill="1" applyBorder="1" applyAlignment="1">
      <alignment horizontal="center" vertical="center" wrapText="1"/>
    </xf>
    <xf numFmtId="0" fontId="150" fillId="0" borderId="49" xfId="0" applyFont="1" applyFill="1" applyBorder="1" applyAlignment="1">
      <alignment horizontal="center" vertical="center" wrapText="1"/>
    </xf>
    <xf numFmtId="0" fontId="49" fillId="0" borderId="50" xfId="0" applyFont="1" applyFill="1" applyBorder="1" applyAlignment="1" quotePrefix="1">
      <alignment horizontal="center" vertical="center" wrapText="1"/>
    </xf>
    <xf numFmtId="0" fontId="151" fillId="0" borderId="50" xfId="0" applyFont="1" applyBorder="1" applyAlignment="1">
      <alignment horizontal="center" vertical="center" wrapText="1"/>
    </xf>
    <xf numFmtId="0" fontId="150" fillId="0" borderId="50" xfId="0" applyFont="1" applyBorder="1" applyAlignment="1">
      <alignment horizontal="center" vertical="center"/>
    </xf>
    <xf numFmtId="0" fontId="150" fillId="0" borderId="49" xfId="0" applyFont="1" applyBorder="1" applyAlignment="1">
      <alignment horizontal="center" vertical="center"/>
    </xf>
    <xf numFmtId="0" fontId="162" fillId="0" borderId="10" xfId="0" applyFont="1" applyBorder="1" applyAlignment="1">
      <alignment horizontal="center" vertical="center" wrapText="1"/>
    </xf>
    <xf numFmtId="0" fontId="161" fillId="0" borderId="49" xfId="0" applyFont="1" applyBorder="1" applyAlignment="1">
      <alignment horizontal="center" vertical="center" wrapText="1"/>
    </xf>
    <xf numFmtId="0" fontId="150" fillId="0" borderId="50" xfId="0" applyFont="1" applyBorder="1" applyAlignment="1">
      <alignment horizontal="center" vertical="center" wrapText="1"/>
    </xf>
    <xf numFmtId="0" fontId="150" fillId="0" borderId="54" xfId="0" applyFont="1" applyBorder="1" applyAlignment="1">
      <alignment horizontal="center" vertical="center" wrapText="1"/>
    </xf>
    <xf numFmtId="0" fontId="151" fillId="0" borderId="54" xfId="0" applyFont="1" applyBorder="1" applyAlignment="1">
      <alignment horizontal="center" vertical="center" wrapText="1"/>
    </xf>
    <xf numFmtId="0" fontId="151" fillId="0" borderId="49" xfId="0" applyFont="1" applyBorder="1" applyAlignment="1">
      <alignment horizontal="center" vertical="center" wrapText="1"/>
    </xf>
    <xf numFmtId="0" fontId="49" fillId="0" borderId="50" xfId="0" applyFont="1" applyBorder="1" applyAlignment="1" quotePrefix="1">
      <alignment horizontal="center" vertical="center" wrapText="1"/>
    </xf>
    <xf numFmtId="0" fontId="49" fillId="0" borderId="10" xfId="0" applyFont="1" applyFill="1" applyBorder="1" applyAlignment="1">
      <alignment horizontal="center" vertical="center" wrapText="1"/>
    </xf>
    <xf numFmtId="0" fontId="150" fillId="0" borderId="10" xfId="0" applyFont="1" applyBorder="1" applyAlignment="1">
      <alignment horizontal="justify" vertical="center" wrapText="1"/>
    </xf>
    <xf numFmtId="0" fontId="150" fillId="0" borderId="49" xfId="0" applyFont="1" applyBorder="1" applyAlignment="1">
      <alignment horizontal="center" vertical="center" wrapText="1"/>
    </xf>
    <xf numFmtId="0" fontId="50" fillId="0" borderId="10" xfId="0" applyFont="1" applyFill="1" applyBorder="1" applyAlignment="1">
      <alignment horizontal="center" vertical="center" wrapText="1"/>
    </xf>
    <xf numFmtId="0" fontId="150" fillId="43" borderId="10" xfId="0" applyFont="1" applyFill="1" applyBorder="1" applyAlignment="1">
      <alignment horizontal="center" vertical="center" wrapText="1"/>
    </xf>
    <xf numFmtId="0" fontId="0" fillId="0" borderId="0" xfId="0" applyAlignment="1">
      <alignment horizontal="center"/>
    </xf>
    <xf numFmtId="3" fontId="150" fillId="0" borderId="50" xfId="0" applyNumberFormat="1" applyFont="1" applyBorder="1" applyAlignment="1">
      <alignment horizontal="center" vertical="center"/>
    </xf>
    <xf numFmtId="9" fontId="150" fillId="0" borderId="10" xfId="0" applyNumberFormat="1" applyFont="1" applyBorder="1" applyAlignment="1">
      <alignment horizontal="center" vertical="center" wrapText="1"/>
    </xf>
    <xf numFmtId="0" fontId="150" fillId="0" borderId="10" xfId="0" applyFont="1" applyBorder="1" applyAlignment="1">
      <alignment horizontal="center"/>
    </xf>
    <xf numFmtId="9" fontId="150" fillId="0" borderId="10" xfId="0" applyNumberFormat="1" applyFont="1" applyFill="1" applyBorder="1" applyAlignment="1">
      <alignment horizontal="center" vertical="center" wrapText="1"/>
    </xf>
    <xf numFmtId="9" fontId="150" fillId="0" borderId="50" xfId="0" applyNumberFormat="1" applyFont="1" applyFill="1" applyBorder="1" applyAlignment="1">
      <alignment horizontal="center" vertical="center" wrapText="1"/>
    </xf>
    <xf numFmtId="0" fontId="150" fillId="0" borderId="10" xfId="0" applyFont="1" applyBorder="1" applyAlignment="1">
      <alignment horizontal="center" vertical="center" wrapText="1"/>
    </xf>
    <xf numFmtId="0" fontId="0" fillId="0" borderId="0" xfId="0" applyAlignment="1">
      <alignment horizontal="center"/>
    </xf>
    <xf numFmtId="0" fontId="163" fillId="0" borderId="10" xfId="0" applyFont="1" applyBorder="1" applyAlignment="1">
      <alignment horizontal="left" vertical="center" wrapText="1"/>
    </xf>
    <xf numFmtId="0" fontId="71" fillId="0" borderId="10" xfId="0" applyFont="1" applyFill="1" applyBorder="1" applyAlignment="1">
      <alignment horizontal="left" vertical="center" wrapText="1"/>
    </xf>
    <xf numFmtId="0" fontId="71" fillId="33" borderId="10" xfId="0" applyFont="1" applyFill="1" applyBorder="1" applyAlignment="1">
      <alignment horizontal="left" vertical="center" wrapText="1"/>
    </xf>
    <xf numFmtId="0" fontId="10" fillId="42" borderId="10" xfId="0" applyFont="1" applyFill="1" applyBorder="1" applyAlignment="1">
      <alignment horizontal="left" vertical="center" wrapText="1"/>
    </xf>
    <xf numFmtId="0" fontId="163" fillId="0" borderId="10" xfId="0" applyFont="1" applyBorder="1" applyAlignment="1">
      <alignment horizontal="left" vertical="top" wrapText="1"/>
    </xf>
    <xf numFmtId="0" fontId="163" fillId="0" borderId="10" xfId="0" applyFont="1" applyFill="1" applyBorder="1" applyAlignment="1">
      <alignment horizontal="left" vertical="center" wrapText="1"/>
    </xf>
    <xf numFmtId="0" fontId="163" fillId="33" borderId="10" xfId="0" applyFont="1" applyFill="1" applyBorder="1" applyAlignment="1">
      <alignment horizontal="left" vertical="center" wrapText="1"/>
    </xf>
    <xf numFmtId="0" fontId="164" fillId="0" borderId="10" xfId="0" applyFont="1" applyBorder="1" applyAlignment="1">
      <alignment horizontal="left" vertical="center" wrapText="1"/>
    </xf>
    <xf numFmtId="0" fontId="164" fillId="44" borderId="10" xfId="0" applyFont="1" applyFill="1" applyBorder="1" applyAlignment="1">
      <alignment horizontal="left" vertical="center" wrapText="1"/>
    </xf>
    <xf numFmtId="0" fontId="164" fillId="0" borderId="10" xfId="0" applyFont="1" applyFill="1" applyBorder="1" applyAlignment="1">
      <alignment horizontal="left" vertical="center" wrapText="1"/>
    </xf>
    <xf numFmtId="0" fontId="71" fillId="0" borderId="10" xfId="83" applyFont="1" applyFill="1" applyBorder="1" applyAlignment="1">
      <alignment horizontal="left" vertical="center" wrapText="1"/>
      <protection/>
    </xf>
    <xf numFmtId="0" fontId="163" fillId="0" borderId="50" xfId="0" applyFont="1" applyFill="1" applyBorder="1" applyAlignment="1">
      <alignment horizontal="left" vertical="center" wrapText="1"/>
    </xf>
    <xf numFmtId="0" fontId="71" fillId="0" borderId="50" xfId="0" applyFont="1" applyFill="1" applyBorder="1" applyAlignment="1">
      <alignment horizontal="left" vertical="center" wrapText="1"/>
    </xf>
    <xf numFmtId="0" fontId="148" fillId="0" borderId="0" xfId="0" applyFont="1" applyAlignment="1">
      <alignment horizontal="left"/>
    </xf>
    <xf numFmtId="0" fontId="163" fillId="0" borderId="50" xfId="0" applyFont="1" applyBorder="1" applyAlignment="1">
      <alignment horizontal="left" vertical="center" wrapText="1"/>
    </xf>
    <xf numFmtId="0" fontId="163" fillId="0" borderId="49" xfId="0" applyFont="1" applyBorder="1" applyAlignment="1">
      <alignment horizontal="left" vertical="center" wrapText="1"/>
    </xf>
    <xf numFmtId="3" fontId="0" fillId="0" borderId="0" xfId="0" applyNumberFormat="1" applyAlignment="1">
      <alignment horizontal="center"/>
    </xf>
    <xf numFmtId="3" fontId="0" fillId="45" borderId="0" xfId="0" applyNumberFormat="1" applyFill="1" applyAlignment="1">
      <alignment horizontal="center"/>
    </xf>
    <xf numFmtId="9" fontId="150" fillId="0" borderId="49" xfId="0" applyNumberFormat="1" applyFont="1" applyBorder="1" applyAlignment="1">
      <alignment horizontal="center" vertical="center" wrapText="1"/>
    </xf>
    <xf numFmtId="3" fontId="150" fillId="0" borderId="51" xfId="0" applyNumberFormat="1" applyFont="1" applyBorder="1" applyAlignment="1">
      <alignment horizontal="center" vertical="center" wrapText="1"/>
    </xf>
    <xf numFmtId="9" fontId="150" fillId="0" borderId="51" xfId="0" applyNumberFormat="1" applyFont="1" applyBorder="1" applyAlignment="1">
      <alignment horizontal="center" vertical="center" wrapText="1"/>
    </xf>
    <xf numFmtId="0" fontId="150" fillId="0" borderId="51" xfId="0" applyFont="1" applyBorder="1" applyAlignment="1">
      <alignment horizontal="center" vertical="center"/>
    </xf>
    <xf numFmtId="9" fontId="150" fillId="0" borderId="51" xfId="0" applyNumberFormat="1" applyFont="1" applyBorder="1" applyAlignment="1">
      <alignment horizontal="center" vertical="center"/>
    </xf>
    <xf numFmtId="0" fontId="150" fillId="0" borderId="52" xfId="0" applyFont="1" applyBorder="1" applyAlignment="1">
      <alignment horizontal="center" vertical="center"/>
    </xf>
    <xf numFmtId="3" fontId="0" fillId="0" borderId="34" xfId="0" applyNumberFormat="1" applyBorder="1" applyAlignment="1">
      <alignment horizontal="center" vertical="center"/>
    </xf>
    <xf numFmtId="3" fontId="0" fillId="0" borderId="66" xfId="0" applyNumberFormat="1" applyBorder="1" applyAlignment="1">
      <alignment horizontal="center" vertical="center"/>
    </xf>
    <xf numFmtId="0" fontId="150" fillId="0" borderId="51" xfId="0" applyFont="1" applyBorder="1" applyAlignment="1">
      <alignment horizontal="center"/>
    </xf>
    <xf numFmtId="3" fontId="0" fillId="33" borderId="69" xfId="0" applyNumberFormat="1" applyFill="1" applyBorder="1" applyAlignment="1">
      <alignment horizontal="center" vertical="center"/>
    </xf>
    <xf numFmtId="3" fontId="0" fillId="33" borderId="59" xfId="0" applyNumberFormat="1" applyFill="1" applyBorder="1" applyAlignment="1">
      <alignment horizontal="center" vertical="center"/>
    </xf>
    <xf numFmtId="0" fontId="163" fillId="0" borderId="33" xfId="0" applyFont="1" applyBorder="1" applyAlignment="1">
      <alignment horizontal="left" vertical="center" wrapText="1"/>
    </xf>
    <xf numFmtId="0" fontId="150" fillId="0" borderId="53" xfId="0" applyFont="1" applyBorder="1" applyAlignment="1">
      <alignment horizontal="center" vertical="center" wrapText="1"/>
    </xf>
    <xf numFmtId="9" fontId="150" fillId="0" borderId="53" xfId="0" applyNumberFormat="1" applyFont="1" applyBorder="1" applyAlignment="1">
      <alignment horizontal="center" vertical="center" wrapText="1"/>
    </xf>
    <xf numFmtId="0" fontId="163" fillId="0" borderId="16" xfId="0" applyFont="1" applyBorder="1" applyAlignment="1">
      <alignment horizontal="left" vertical="center" wrapText="1"/>
    </xf>
    <xf numFmtId="0" fontId="163" fillId="0" borderId="16" xfId="0" applyFont="1" applyFill="1" applyBorder="1" applyAlignment="1">
      <alignment horizontal="left" vertical="center" wrapText="1"/>
    </xf>
    <xf numFmtId="0" fontId="163" fillId="33" borderId="16" xfId="0" applyFont="1" applyFill="1" applyBorder="1" applyAlignment="1">
      <alignment horizontal="left" vertical="center" wrapText="1"/>
    </xf>
    <xf numFmtId="0" fontId="163" fillId="0" borderId="67" xfId="0" applyFont="1" applyBorder="1" applyAlignment="1">
      <alignment horizontal="left" vertical="center" wrapText="1"/>
    </xf>
    <xf numFmtId="0" fontId="150" fillId="0" borderId="75" xfId="0" applyFont="1" applyBorder="1" applyAlignment="1">
      <alignment horizontal="center" vertical="center" wrapText="1"/>
    </xf>
    <xf numFmtId="0" fontId="164" fillId="0" borderId="50" xfId="0" applyFont="1" applyFill="1" applyBorder="1" applyAlignment="1">
      <alignment horizontal="left" vertical="center" wrapText="1"/>
    </xf>
    <xf numFmtId="0" fontId="151" fillId="0" borderId="50" xfId="0" applyFont="1" applyFill="1" applyBorder="1" applyAlignment="1">
      <alignment horizontal="center" vertical="center" wrapText="1"/>
    </xf>
    <xf numFmtId="9" fontId="150" fillId="0" borderId="52" xfId="0" applyNumberFormat="1" applyFont="1" applyFill="1" applyBorder="1" applyAlignment="1">
      <alignment horizontal="center" vertical="center" wrapText="1"/>
    </xf>
    <xf numFmtId="0" fontId="151" fillId="0" borderId="51" xfId="0" applyFont="1" applyFill="1" applyBorder="1" applyAlignment="1">
      <alignment horizontal="center" vertical="center" wrapText="1"/>
    </xf>
    <xf numFmtId="0" fontId="150" fillId="43" borderId="50" xfId="0" applyFont="1" applyFill="1" applyBorder="1" applyAlignment="1">
      <alignment horizontal="justify" vertical="center" wrapText="1"/>
    </xf>
    <xf numFmtId="0" fontId="150" fillId="0" borderId="50" xfId="0" applyFont="1" applyFill="1" applyBorder="1" applyAlignment="1">
      <alignment horizontal="center" vertical="center"/>
    </xf>
    <xf numFmtId="9" fontId="151" fillId="0" borderId="50" xfId="0" applyNumberFormat="1" applyFont="1" applyFill="1" applyBorder="1" applyAlignment="1">
      <alignment horizontal="center" vertical="center" wrapText="1"/>
    </xf>
    <xf numFmtId="9" fontId="151" fillId="0" borderId="52" xfId="0" applyNumberFormat="1" applyFont="1" applyFill="1" applyBorder="1" applyAlignment="1">
      <alignment horizontal="center" vertical="center" wrapText="1"/>
    </xf>
    <xf numFmtId="0" fontId="71" fillId="0" borderId="49" xfId="83" applyFont="1" applyFill="1" applyBorder="1" applyAlignment="1">
      <alignment horizontal="left" vertical="center" wrapText="1"/>
      <protection/>
    </xf>
    <xf numFmtId="0" fontId="150" fillId="43" borderId="49" xfId="0" applyFont="1" applyFill="1" applyBorder="1" applyAlignment="1">
      <alignment horizontal="justify" vertical="center" wrapText="1"/>
    </xf>
    <xf numFmtId="3" fontId="150" fillId="0" borderId="49" xfId="0" applyNumberFormat="1" applyFont="1" applyBorder="1" applyAlignment="1">
      <alignment horizontal="center" vertical="center"/>
    </xf>
    <xf numFmtId="3" fontId="150" fillId="0" borderId="75" xfId="0" applyNumberFormat="1" applyFont="1" applyBorder="1" applyAlignment="1">
      <alignment horizontal="center" vertical="center"/>
    </xf>
    <xf numFmtId="0" fontId="164" fillId="0" borderId="49" xfId="0" applyFont="1" applyBorder="1" applyAlignment="1">
      <alignment horizontal="left" vertical="center" wrapText="1"/>
    </xf>
    <xf numFmtId="0" fontId="164" fillId="0" borderId="50" xfId="0" applyFont="1" applyBorder="1" applyAlignment="1">
      <alignment horizontal="left" vertical="center" wrapText="1"/>
    </xf>
    <xf numFmtId="0" fontId="150" fillId="0" borderId="75" xfId="0" applyFont="1" applyBorder="1" applyAlignment="1">
      <alignment horizontal="center" vertical="center"/>
    </xf>
    <xf numFmtId="3" fontId="150" fillId="0" borderId="51" xfId="0" applyNumberFormat="1" applyFont="1" applyBorder="1" applyAlignment="1">
      <alignment horizontal="center" vertical="center"/>
    </xf>
    <xf numFmtId="0" fontId="150" fillId="0" borderId="50" xfId="0" applyFont="1" applyBorder="1" applyAlignment="1">
      <alignment horizontal="justify" vertical="center" wrapText="1"/>
    </xf>
    <xf numFmtId="3" fontId="150" fillId="0" borderId="52" xfId="0" applyNumberFormat="1" applyFont="1" applyBorder="1" applyAlignment="1">
      <alignment horizontal="center" vertical="center"/>
    </xf>
    <xf numFmtId="0" fontId="164" fillId="0" borderId="49" xfId="0" applyFont="1" applyFill="1" applyBorder="1" applyAlignment="1">
      <alignment horizontal="left" vertical="center" wrapText="1"/>
    </xf>
    <xf numFmtId="9" fontId="150" fillId="0" borderId="52" xfId="0" applyNumberFormat="1" applyFont="1" applyBorder="1" applyAlignment="1">
      <alignment horizontal="center" vertical="center" wrapText="1"/>
    </xf>
    <xf numFmtId="0" fontId="0" fillId="0" borderId="51" xfId="0" applyBorder="1" applyAlignment="1">
      <alignment horizontal="center"/>
    </xf>
    <xf numFmtId="0" fontId="150" fillId="0" borderId="50" xfId="0" applyFont="1" applyBorder="1" applyAlignment="1">
      <alignment vertical="center"/>
    </xf>
    <xf numFmtId="0" fontId="150" fillId="0" borderId="54" xfId="0" applyFont="1" applyBorder="1" applyAlignment="1">
      <alignment vertical="center"/>
    </xf>
    <xf numFmtId="0" fontId="0" fillId="0" borderId="50" xfId="0" applyBorder="1" applyAlignment="1">
      <alignment horizontal="center" vertical="center"/>
    </xf>
    <xf numFmtId="0" fontId="163" fillId="0" borderId="54" xfId="0" applyFont="1" applyBorder="1" applyAlignment="1">
      <alignment horizontal="left" vertical="center" wrapText="1"/>
    </xf>
    <xf numFmtId="0" fontId="150" fillId="0" borderId="48" xfId="0" applyFont="1" applyBorder="1" applyAlignment="1">
      <alignment horizontal="center" vertical="center" wrapText="1"/>
    </xf>
    <xf numFmtId="0" fontId="150" fillId="0" borderId="62" xfId="0" applyFont="1" applyBorder="1" applyAlignment="1">
      <alignment horizontal="center" vertical="center" wrapText="1"/>
    </xf>
    <xf numFmtId="0" fontId="71" fillId="0" borderId="49" xfId="0" applyFont="1" applyFill="1" applyBorder="1" applyAlignment="1">
      <alignment horizontal="left" vertical="center" wrapText="1"/>
    </xf>
    <xf numFmtId="9" fontId="150" fillId="0" borderId="75" xfId="0" applyNumberFormat="1" applyFont="1" applyBorder="1" applyAlignment="1">
      <alignment horizontal="center" vertical="center" wrapText="1"/>
    </xf>
    <xf numFmtId="0" fontId="150" fillId="0" borderId="49" xfId="0" applyFont="1" applyFill="1" applyBorder="1" applyAlignment="1">
      <alignment horizontal="justify" vertical="center" wrapText="1"/>
    </xf>
    <xf numFmtId="0" fontId="150" fillId="0" borderId="52" xfId="0" applyFont="1" applyBorder="1" applyAlignment="1">
      <alignment horizontal="center"/>
    </xf>
    <xf numFmtId="0" fontId="150" fillId="0" borderId="49" xfId="0" applyFont="1" applyBorder="1" applyAlignment="1">
      <alignment horizontal="justify" vertical="center" wrapText="1"/>
    </xf>
    <xf numFmtId="3" fontId="165" fillId="45" borderId="60" xfId="0" applyNumberFormat="1" applyFont="1" applyFill="1" applyBorder="1" applyAlignment="1">
      <alignment horizontal="center" vertical="center" wrapText="1"/>
    </xf>
    <xf numFmtId="0" fontId="163" fillId="0" borderId="49" xfId="0" applyFont="1" applyFill="1" applyBorder="1" applyAlignment="1">
      <alignment horizontal="left" vertical="center" wrapText="1"/>
    </xf>
    <xf numFmtId="3" fontId="0" fillId="33" borderId="55" xfId="0" applyNumberFormat="1" applyFill="1" applyBorder="1" applyAlignment="1">
      <alignment horizontal="center" vertical="center"/>
    </xf>
    <xf numFmtId="3" fontId="0" fillId="42" borderId="55" xfId="0" applyNumberFormat="1" applyFill="1" applyBorder="1" applyAlignment="1">
      <alignment horizontal="center" vertical="center"/>
    </xf>
    <xf numFmtId="3" fontId="0" fillId="42" borderId="59" xfId="0" applyNumberFormat="1" applyFill="1" applyBorder="1" applyAlignment="1">
      <alignment horizontal="center" vertical="center"/>
    </xf>
    <xf numFmtId="3" fontId="159" fillId="44" borderId="60" xfId="0" applyNumberFormat="1" applyFont="1" applyFill="1" applyBorder="1" applyAlignment="1">
      <alignment horizontal="center" vertical="center"/>
    </xf>
    <xf numFmtId="3" fontId="159" fillId="44" borderId="69" xfId="0" applyNumberFormat="1" applyFont="1" applyFill="1" applyBorder="1" applyAlignment="1">
      <alignment horizontal="center" vertical="center"/>
    </xf>
    <xf numFmtId="3" fontId="0" fillId="0" borderId="53" xfId="0" applyNumberFormat="1" applyBorder="1" applyAlignment="1">
      <alignment horizontal="center" vertical="center"/>
    </xf>
    <xf numFmtId="3" fontId="166" fillId="0" borderId="16" xfId="0" applyNumberFormat="1" applyFont="1" applyBorder="1" applyAlignment="1">
      <alignment horizontal="center" vertical="center" wrapText="1"/>
    </xf>
    <xf numFmtId="3" fontId="166" fillId="0" borderId="16" xfId="0" applyNumberFormat="1" applyFont="1" applyBorder="1" applyAlignment="1">
      <alignment horizontal="center" vertical="center" wrapText="1"/>
    </xf>
    <xf numFmtId="3" fontId="166" fillId="0" borderId="10" xfId="0" applyNumberFormat="1" applyFont="1" applyBorder="1" applyAlignment="1">
      <alignment horizontal="center" vertical="center" wrapText="1"/>
    </xf>
    <xf numFmtId="3" fontId="167" fillId="0" borderId="10" xfId="0" applyNumberFormat="1" applyFont="1" applyBorder="1" applyAlignment="1">
      <alignment horizontal="center" vertical="center" wrapText="1"/>
    </xf>
    <xf numFmtId="3" fontId="166" fillId="33" borderId="55" xfId="0" applyNumberFormat="1" applyFont="1" applyFill="1" applyBorder="1" applyAlignment="1">
      <alignment horizontal="center" vertical="center" wrapText="1"/>
    </xf>
    <xf numFmtId="3" fontId="166" fillId="33" borderId="59" xfId="0" applyNumberFormat="1" applyFont="1" applyFill="1" applyBorder="1" applyAlignment="1">
      <alignment horizontal="center" vertical="center" wrapText="1"/>
    </xf>
    <xf numFmtId="3" fontId="166" fillId="0" borderId="67" xfId="0" applyNumberFormat="1" applyFont="1" applyBorder="1" applyAlignment="1">
      <alignment horizontal="center" vertical="center" wrapText="1"/>
    </xf>
    <xf numFmtId="3" fontId="0" fillId="0" borderId="78" xfId="0" applyNumberFormat="1" applyBorder="1" applyAlignment="1">
      <alignment horizontal="center" vertical="center"/>
    </xf>
    <xf numFmtId="3" fontId="0" fillId="0" borderId="17" xfId="0" applyNumberFormat="1" applyBorder="1" applyAlignment="1">
      <alignment horizontal="center" vertical="center"/>
    </xf>
    <xf numFmtId="3" fontId="166" fillId="33" borderId="57" xfId="0" applyNumberFormat="1" applyFont="1" applyFill="1" applyBorder="1" applyAlignment="1">
      <alignment horizontal="center" vertical="center" wrapText="1"/>
    </xf>
    <xf numFmtId="3" fontId="166" fillId="33" borderId="54" xfId="0" applyNumberFormat="1" applyFont="1" applyFill="1" applyBorder="1" applyAlignment="1">
      <alignment horizontal="center" vertical="center" wrapText="1"/>
    </xf>
    <xf numFmtId="3" fontId="165" fillId="0" borderId="16" xfId="0" applyNumberFormat="1" applyFont="1" applyBorder="1" applyAlignment="1">
      <alignment horizontal="center" vertical="center" wrapText="1"/>
    </xf>
    <xf numFmtId="3" fontId="165" fillId="0" borderId="16" xfId="0" applyNumberFormat="1" applyFont="1" applyBorder="1" applyAlignment="1">
      <alignment horizontal="center" vertical="center"/>
    </xf>
    <xf numFmtId="3" fontId="165" fillId="33" borderId="57" xfId="0" applyNumberFormat="1" applyFont="1" applyFill="1" applyBorder="1" applyAlignment="1">
      <alignment horizontal="center" vertical="center" wrapText="1"/>
    </xf>
    <xf numFmtId="3" fontId="165" fillId="0" borderId="36" xfId="0" applyNumberFormat="1" applyFont="1" applyBorder="1" applyAlignment="1">
      <alignment horizontal="center" vertical="center" wrapText="1"/>
    </xf>
    <xf numFmtId="3" fontId="0" fillId="0" borderId="37" xfId="0" applyNumberFormat="1" applyBorder="1" applyAlignment="1">
      <alignment horizontal="center" vertical="center"/>
    </xf>
    <xf numFmtId="3" fontId="0" fillId="33" borderId="79" xfId="0" applyNumberFormat="1" applyFill="1" applyBorder="1" applyAlignment="1">
      <alignment horizontal="center" vertical="center"/>
    </xf>
    <xf numFmtId="3" fontId="0" fillId="33" borderId="80" xfId="0" applyNumberFormat="1" applyFill="1" applyBorder="1" applyAlignment="1">
      <alignment horizontal="center" vertical="center"/>
    </xf>
    <xf numFmtId="3" fontId="0" fillId="33" borderId="20" xfId="0" applyNumberFormat="1" applyFill="1" applyBorder="1" applyAlignment="1">
      <alignment horizontal="center" vertical="center"/>
    </xf>
    <xf numFmtId="3" fontId="0" fillId="33" borderId="57" xfId="0" applyNumberFormat="1" applyFill="1" applyBorder="1" applyAlignment="1">
      <alignment horizontal="center" vertical="center"/>
    </xf>
    <xf numFmtId="3" fontId="165" fillId="0" borderId="16" xfId="0" applyNumberFormat="1" applyFont="1" applyFill="1" applyBorder="1" applyAlignment="1">
      <alignment horizontal="center" vertical="center" wrapText="1"/>
    </xf>
    <xf numFmtId="3" fontId="165" fillId="0" borderId="0" xfId="0" applyNumberFormat="1" applyFont="1" applyFill="1" applyBorder="1" applyAlignment="1">
      <alignment horizontal="center" vertical="center" wrapText="1"/>
    </xf>
    <xf numFmtId="3" fontId="0" fillId="33" borderId="81" xfId="0" applyNumberFormat="1" applyFill="1" applyBorder="1" applyAlignment="1">
      <alignment horizontal="center" vertical="center"/>
    </xf>
    <xf numFmtId="3" fontId="0" fillId="33" borderId="54" xfId="0" applyNumberFormat="1" applyFill="1" applyBorder="1" applyAlignment="1">
      <alignment horizontal="center" vertical="center"/>
    </xf>
    <xf numFmtId="3" fontId="0" fillId="33" borderId="82" xfId="0" applyNumberFormat="1" applyFill="1" applyBorder="1" applyAlignment="1">
      <alignment horizontal="center" vertical="center"/>
    </xf>
    <xf numFmtId="3" fontId="168" fillId="0" borderId="16" xfId="0" applyNumberFormat="1" applyFont="1" applyFill="1" applyBorder="1" applyAlignment="1">
      <alignment horizontal="center" vertical="center" wrapText="1"/>
    </xf>
    <xf numFmtId="3" fontId="165" fillId="0" borderId="36" xfId="0" applyNumberFormat="1" applyFont="1" applyFill="1" applyBorder="1" applyAlignment="1">
      <alignment horizontal="center" vertical="center" wrapText="1"/>
    </xf>
    <xf numFmtId="3" fontId="165" fillId="0" borderId="49" xfId="0" applyNumberFormat="1" applyFont="1" applyFill="1" applyBorder="1" applyAlignment="1">
      <alignment horizontal="center" vertical="center" wrapText="1"/>
    </xf>
    <xf numFmtId="3" fontId="165" fillId="0" borderId="10" xfId="0" applyNumberFormat="1" applyFont="1" applyFill="1" applyBorder="1" applyAlignment="1">
      <alignment horizontal="center" vertical="center" wrapText="1"/>
    </xf>
    <xf numFmtId="3" fontId="0" fillId="33" borderId="74" xfId="0" applyNumberFormat="1" applyFill="1" applyBorder="1" applyAlignment="1">
      <alignment horizontal="center" vertical="center"/>
    </xf>
    <xf numFmtId="3" fontId="0" fillId="33" borderId="56" xfId="0" applyNumberFormat="1" applyFill="1" applyBorder="1" applyAlignment="1">
      <alignment horizontal="center" vertical="center"/>
    </xf>
    <xf numFmtId="3" fontId="0" fillId="33" borderId="60" xfId="0" applyNumberFormat="1" applyFill="1" applyBorder="1" applyAlignment="1">
      <alignment horizontal="center" vertical="center"/>
    </xf>
    <xf numFmtId="3" fontId="165" fillId="33" borderId="55" xfId="0" applyNumberFormat="1" applyFont="1" applyFill="1" applyBorder="1" applyAlignment="1">
      <alignment horizontal="center" vertical="center" wrapText="1"/>
    </xf>
    <xf numFmtId="3" fontId="165" fillId="33" borderId="59" xfId="0" applyNumberFormat="1" applyFont="1" applyFill="1" applyBorder="1" applyAlignment="1">
      <alignment horizontal="center" vertical="center" wrapText="1"/>
    </xf>
    <xf numFmtId="3" fontId="165" fillId="0" borderId="33" xfId="0" applyNumberFormat="1" applyFont="1" applyFill="1" applyBorder="1" applyAlignment="1">
      <alignment horizontal="center" vertical="center" wrapText="1"/>
    </xf>
    <xf numFmtId="3" fontId="166" fillId="0" borderId="67" xfId="0" applyNumberFormat="1" applyFont="1" applyBorder="1" applyAlignment="1">
      <alignment horizontal="center" vertical="center"/>
    </xf>
    <xf numFmtId="3" fontId="157" fillId="0" borderId="67" xfId="0" applyNumberFormat="1" applyFont="1" applyFill="1" applyBorder="1" applyAlignment="1">
      <alignment horizontal="center" vertical="center" wrapText="1"/>
    </xf>
    <xf numFmtId="3" fontId="0" fillId="45" borderId="60" xfId="0" applyNumberFormat="1" applyFill="1" applyBorder="1" applyAlignment="1">
      <alignment horizontal="center" vertical="center"/>
    </xf>
    <xf numFmtId="3" fontId="0" fillId="0" borderId="0" xfId="0" applyNumberFormat="1" applyBorder="1" applyAlignment="1">
      <alignment horizontal="center" vertical="center"/>
    </xf>
    <xf numFmtId="3" fontId="0" fillId="0" borderId="61" xfId="0" applyNumberFormat="1" applyBorder="1" applyAlignment="1">
      <alignment horizontal="center" vertical="center"/>
    </xf>
    <xf numFmtId="3" fontId="166" fillId="0" borderId="83" xfId="0" applyNumberFormat="1" applyFont="1" applyFill="1" applyBorder="1" applyAlignment="1">
      <alignment horizontal="center" vertical="center" wrapText="1"/>
    </xf>
    <xf numFmtId="3" fontId="166" fillId="0" borderId="0" xfId="0" applyNumberFormat="1" applyFont="1" applyAlignment="1">
      <alignment horizontal="center" vertical="center"/>
    </xf>
    <xf numFmtId="3" fontId="166" fillId="0" borderId="16" xfId="0" applyNumberFormat="1" applyFont="1" applyBorder="1" applyAlignment="1">
      <alignment vertical="center" wrapText="1"/>
    </xf>
    <xf numFmtId="3" fontId="166" fillId="0" borderId="36" xfId="0" applyNumberFormat="1" applyFont="1" applyBorder="1" applyAlignment="1">
      <alignment horizontal="center" vertical="center" wrapText="1"/>
    </xf>
    <xf numFmtId="3" fontId="166" fillId="33" borderId="82" xfId="0" applyNumberFormat="1" applyFont="1" applyFill="1" applyBorder="1" applyAlignment="1">
      <alignment horizontal="center" vertical="center" wrapText="1"/>
    </xf>
    <xf numFmtId="3" fontId="0" fillId="33" borderId="58" xfId="0" applyNumberFormat="1" applyFill="1" applyBorder="1" applyAlignment="1">
      <alignment horizontal="center" vertical="center"/>
    </xf>
    <xf numFmtId="3" fontId="0" fillId="33" borderId="71" xfId="0" applyNumberFormat="1" applyFill="1" applyBorder="1" applyAlignment="1">
      <alignment horizontal="center" vertical="center"/>
    </xf>
    <xf numFmtId="3" fontId="166" fillId="0" borderId="16" xfId="0" applyNumberFormat="1" applyFont="1" applyBorder="1" applyAlignment="1">
      <alignment horizontal="center" vertical="center"/>
    </xf>
    <xf numFmtId="3" fontId="166" fillId="0" borderId="16" xfId="0" applyNumberFormat="1" applyFont="1" applyFill="1" applyBorder="1" applyAlignment="1">
      <alignment horizontal="center" vertical="center" wrapText="1"/>
    </xf>
    <xf numFmtId="3" fontId="166" fillId="0" borderId="36" xfId="0" applyNumberFormat="1" applyFont="1" applyFill="1" applyBorder="1" applyAlignment="1">
      <alignment vertical="center" wrapText="1"/>
    </xf>
    <xf numFmtId="3" fontId="0" fillId="33" borderId="77" xfId="0" applyNumberFormat="1" applyFill="1" applyBorder="1" applyAlignment="1">
      <alignment horizontal="center" vertical="center"/>
    </xf>
    <xf numFmtId="3" fontId="166" fillId="33" borderId="60" xfId="0" applyNumberFormat="1" applyFont="1" applyFill="1" applyBorder="1" applyAlignment="1">
      <alignment horizontal="center" vertical="center" wrapText="1"/>
    </xf>
    <xf numFmtId="3" fontId="166" fillId="33" borderId="69" xfId="0" applyNumberFormat="1" applyFont="1" applyFill="1" applyBorder="1" applyAlignment="1">
      <alignment horizontal="center" vertical="center" wrapText="1"/>
    </xf>
    <xf numFmtId="3" fontId="0" fillId="0" borderId="84" xfId="0" applyNumberFormat="1" applyBorder="1" applyAlignment="1">
      <alignment horizontal="center" vertical="center"/>
    </xf>
    <xf numFmtId="3" fontId="0" fillId="45" borderId="55" xfId="0" applyNumberFormat="1" applyFill="1" applyBorder="1" applyAlignment="1">
      <alignment horizontal="center" vertical="center"/>
    </xf>
    <xf numFmtId="3" fontId="0" fillId="45" borderId="59" xfId="0" applyNumberFormat="1" applyFill="1" applyBorder="1" applyAlignment="1">
      <alignment horizontal="center" vertical="center"/>
    </xf>
    <xf numFmtId="3" fontId="166" fillId="0" borderId="10" xfId="0" applyNumberFormat="1" applyFont="1" applyBorder="1" applyAlignment="1">
      <alignment horizontal="center" vertical="center" wrapText="1"/>
    </xf>
    <xf numFmtId="3" fontId="166" fillId="0" borderId="66" xfId="0" applyNumberFormat="1" applyFont="1" applyBorder="1" applyAlignment="1">
      <alignment horizontal="center" vertical="center" wrapText="1"/>
    </xf>
    <xf numFmtId="3" fontId="166" fillId="0" borderId="16" xfId="0" applyNumberFormat="1" applyFont="1" applyBorder="1" applyAlignment="1">
      <alignment horizontal="center" vertical="center" wrapText="1"/>
    </xf>
    <xf numFmtId="3" fontId="166" fillId="0" borderId="17" xfId="0" applyNumberFormat="1" applyFont="1" applyBorder="1" applyAlignment="1">
      <alignment horizontal="center" vertical="center" wrapText="1"/>
    </xf>
    <xf numFmtId="3" fontId="166" fillId="0" borderId="37" xfId="0" applyNumberFormat="1" applyFont="1" applyBorder="1" applyAlignment="1">
      <alignment horizontal="center" vertical="center" wrapText="1"/>
    </xf>
    <xf numFmtId="3" fontId="165" fillId="0" borderId="53" xfId="0" applyNumberFormat="1" applyFont="1" applyFill="1" applyBorder="1" applyAlignment="1">
      <alignment horizontal="center" vertical="center" wrapText="1"/>
    </xf>
    <xf numFmtId="3" fontId="165" fillId="0" borderId="34" xfId="0" applyNumberFormat="1" applyFont="1" applyFill="1" applyBorder="1" applyAlignment="1">
      <alignment horizontal="center" vertical="center" wrapText="1"/>
    </xf>
    <xf numFmtId="0" fontId="150" fillId="0" borderId="50" xfId="0" applyFont="1" applyBorder="1" applyAlignment="1">
      <alignment horizontal="center" vertical="center"/>
    </xf>
    <xf numFmtId="3" fontId="165" fillId="0" borderId="16" xfId="0" applyNumberFormat="1" applyFont="1" applyFill="1" applyBorder="1" applyAlignment="1">
      <alignment horizontal="center" vertical="center" wrapText="1"/>
    </xf>
    <xf numFmtId="0" fontId="163" fillId="0" borderId="49" xfId="0" applyFont="1" applyBorder="1" applyAlignment="1">
      <alignment horizontal="left" vertical="center" wrapText="1"/>
    </xf>
    <xf numFmtId="0" fontId="150" fillId="0" borderId="49" xfId="0" applyFont="1" applyBorder="1" applyAlignment="1">
      <alignment horizontal="center" vertical="center" wrapText="1"/>
    </xf>
    <xf numFmtId="0" fontId="150" fillId="0" borderId="10" xfId="0" applyFont="1" applyBorder="1" applyAlignment="1">
      <alignment horizontal="center" vertical="center" wrapText="1"/>
    </xf>
    <xf numFmtId="0" fontId="151" fillId="0" borderId="10" xfId="0" applyFont="1" applyBorder="1" applyAlignment="1">
      <alignment horizontal="center" vertical="center" wrapText="1"/>
    </xf>
    <xf numFmtId="0" fontId="151" fillId="0" borderId="49" xfId="0" applyFont="1" applyBorder="1" applyAlignment="1">
      <alignment horizontal="center" vertical="center" wrapText="1"/>
    </xf>
    <xf numFmtId="0" fontId="150" fillId="0" borderId="10" xfId="0" applyFont="1" applyBorder="1" applyAlignment="1">
      <alignment horizontal="justify" vertical="center" wrapText="1"/>
    </xf>
    <xf numFmtId="0" fontId="0" fillId="0" borderId="0" xfId="0" applyAlignment="1">
      <alignment horizontal="center"/>
    </xf>
    <xf numFmtId="3" fontId="0" fillId="0" borderId="50" xfId="0" applyNumberFormat="1" applyBorder="1" applyAlignment="1">
      <alignment horizontal="center" vertical="center"/>
    </xf>
    <xf numFmtId="3" fontId="0" fillId="0" borderId="49" xfId="0" applyNumberFormat="1" applyBorder="1" applyAlignment="1">
      <alignment horizontal="center" vertical="center"/>
    </xf>
    <xf numFmtId="3" fontId="150" fillId="0" borderId="10" xfId="0" applyNumberFormat="1" applyFont="1" applyBorder="1" applyAlignment="1">
      <alignment horizontal="center" vertical="center" wrapText="1"/>
    </xf>
    <xf numFmtId="0" fontId="150" fillId="0" borderId="10" xfId="0" applyFont="1" applyBorder="1" applyAlignment="1">
      <alignment horizontal="center"/>
    </xf>
    <xf numFmtId="3" fontId="165" fillId="0" borderId="16" xfId="0" applyNumberFormat="1" applyFont="1" applyBorder="1" applyAlignment="1">
      <alignment horizontal="center" vertical="center" wrapText="1"/>
    </xf>
    <xf numFmtId="0" fontId="0" fillId="0" borderId="0" xfId="0" applyAlignment="1">
      <alignment horizontal="center"/>
    </xf>
    <xf numFmtId="0" fontId="150" fillId="0" borderId="10" xfId="0" applyFont="1" applyBorder="1" applyAlignment="1">
      <alignment horizontal="center"/>
    </xf>
    <xf numFmtId="3" fontId="10" fillId="43" borderId="34" xfId="82" applyNumberFormat="1" applyFont="1" applyFill="1" applyBorder="1">
      <alignment/>
      <protection/>
    </xf>
    <xf numFmtId="3" fontId="159" fillId="33" borderId="55" xfId="0" applyNumberFormat="1" applyFont="1" applyFill="1" applyBorder="1" applyAlignment="1">
      <alignment horizontal="center" vertical="center"/>
    </xf>
    <xf numFmtId="3" fontId="159" fillId="45" borderId="60" xfId="0" applyNumberFormat="1" applyFont="1" applyFill="1" applyBorder="1" applyAlignment="1">
      <alignment horizontal="center" vertical="center"/>
    </xf>
    <xf numFmtId="3" fontId="159" fillId="33" borderId="54" xfId="0" applyNumberFormat="1" applyFont="1" applyFill="1" applyBorder="1" applyAlignment="1">
      <alignment horizontal="center" vertical="center"/>
    </xf>
    <xf numFmtId="3" fontId="166" fillId="0" borderId="67" xfId="0" applyNumberFormat="1" applyFont="1" applyFill="1" applyBorder="1" applyAlignment="1">
      <alignment horizontal="center" vertical="center" wrapText="1"/>
    </xf>
    <xf numFmtId="3" fontId="159" fillId="33" borderId="58" xfId="0" applyNumberFormat="1" applyFont="1" applyFill="1" applyBorder="1" applyAlignment="1">
      <alignment horizontal="center" vertical="center"/>
    </xf>
    <xf numFmtId="3" fontId="159" fillId="45" borderId="55" xfId="0" applyNumberFormat="1" applyFont="1" applyFill="1" applyBorder="1" applyAlignment="1">
      <alignment horizontal="center" vertical="center"/>
    </xf>
    <xf numFmtId="3" fontId="159" fillId="42" borderId="55" xfId="0" applyNumberFormat="1" applyFont="1" applyFill="1" applyBorder="1" applyAlignment="1">
      <alignment horizontal="center" vertical="center"/>
    </xf>
    <xf numFmtId="3" fontId="166" fillId="0" borderId="36" xfId="0" applyNumberFormat="1" applyFont="1" applyBorder="1" applyAlignment="1">
      <alignment vertical="center" wrapText="1"/>
    </xf>
    <xf numFmtId="3" fontId="166" fillId="0" borderId="17" xfId="0" applyNumberFormat="1" applyFont="1" applyFill="1" applyBorder="1" applyAlignment="1">
      <alignment horizontal="center" vertical="center" wrapText="1"/>
    </xf>
    <xf numFmtId="3" fontId="166" fillId="0" borderId="17" xfId="0" applyNumberFormat="1" applyFont="1" applyFill="1" applyBorder="1" applyAlignment="1">
      <alignment vertical="center" wrapText="1"/>
    </xf>
    <xf numFmtId="3" fontId="166" fillId="0" borderId="37" xfId="0" applyNumberFormat="1" applyFont="1" applyFill="1" applyBorder="1" applyAlignment="1">
      <alignment vertical="center" wrapText="1"/>
    </xf>
    <xf numFmtId="185" fontId="36" fillId="43" borderId="0" xfId="65" applyNumberFormat="1" applyFont="1" applyFill="1" applyAlignment="1">
      <alignment/>
    </xf>
    <xf numFmtId="3" fontId="6" fillId="43" borderId="10" xfId="82" applyNumberFormat="1" applyFont="1" applyFill="1" applyBorder="1" applyAlignment="1">
      <alignment horizontal="center"/>
      <protection/>
    </xf>
    <xf numFmtId="3" fontId="169" fillId="43" borderId="0" xfId="82" applyNumberFormat="1" applyFont="1" applyFill="1" applyAlignment="1">
      <alignment horizontal="center"/>
      <protection/>
    </xf>
    <xf numFmtId="3" fontId="6" fillId="43" borderId="0" xfId="82" applyNumberFormat="1" applyFont="1" applyFill="1" applyAlignment="1">
      <alignment horizontal="center"/>
      <protection/>
    </xf>
    <xf numFmtId="10" fontId="3" fillId="43" borderId="0" xfId="82" applyNumberFormat="1" applyFont="1" applyFill="1">
      <alignment/>
      <protection/>
    </xf>
    <xf numFmtId="3" fontId="3" fillId="43" borderId="0" xfId="82" applyNumberFormat="1" applyFont="1" applyFill="1">
      <alignment/>
      <protection/>
    </xf>
    <xf numFmtId="3" fontId="3" fillId="43" borderId="0" xfId="82" applyNumberFormat="1" applyFont="1" applyFill="1" applyAlignment="1">
      <alignment wrapText="1"/>
      <protection/>
    </xf>
    <xf numFmtId="3" fontId="170" fillId="43" borderId="0" xfId="0" applyNumberFormat="1" applyFont="1" applyFill="1" applyAlignment="1">
      <alignment/>
    </xf>
    <xf numFmtId="3" fontId="170" fillId="43" borderId="0" xfId="0" applyNumberFormat="1" applyFont="1" applyFill="1" applyAlignment="1">
      <alignment wrapText="1"/>
    </xf>
    <xf numFmtId="3" fontId="170" fillId="43" borderId="0" xfId="57" applyNumberFormat="1" applyFont="1" applyFill="1" applyAlignment="1">
      <alignment/>
    </xf>
    <xf numFmtId="3" fontId="170" fillId="43" borderId="10" xfId="57" applyNumberFormat="1" applyFont="1" applyFill="1" applyBorder="1" applyAlignment="1">
      <alignment/>
    </xf>
    <xf numFmtId="10" fontId="6" fillId="43" borderId="0" xfId="82" applyNumberFormat="1" applyFont="1" applyFill="1" applyAlignment="1">
      <alignment horizontal="left" vertical="center" wrapText="1"/>
      <protection/>
    </xf>
    <xf numFmtId="10" fontId="170" fillId="43" borderId="0" xfId="0" applyNumberFormat="1" applyFont="1" applyFill="1" applyAlignment="1">
      <alignment/>
    </xf>
    <xf numFmtId="3" fontId="169" fillId="43" borderId="10" xfId="0" applyNumberFormat="1" applyFont="1" applyFill="1" applyBorder="1" applyAlignment="1">
      <alignment wrapText="1"/>
    </xf>
    <xf numFmtId="3" fontId="169" fillId="43" borderId="10" xfId="57" applyNumberFormat="1" applyFont="1" applyFill="1" applyBorder="1" applyAlignment="1">
      <alignment horizontal="center"/>
    </xf>
    <xf numFmtId="3" fontId="169" fillId="43" borderId="0" xfId="57" applyNumberFormat="1" applyFont="1" applyFill="1" applyBorder="1" applyAlignment="1">
      <alignment horizontal="center"/>
    </xf>
    <xf numFmtId="10" fontId="6" fillId="43" borderId="0" xfId="82" applyNumberFormat="1" applyFont="1" applyFill="1" applyBorder="1" applyAlignment="1">
      <alignment horizontal="left" vertical="center" wrapText="1"/>
      <protection/>
    </xf>
    <xf numFmtId="3" fontId="6" fillId="43" borderId="0" xfId="57" applyNumberFormat="1" applyFont="1" applyFill="1" applyBorder="1" applyAlignment="1">
      <alignment/>
    </xf>
    <xf numFmtId="3" fontId="169" fillId="43" borderId="10" xfId="0" applyNumberFormat="1" applyFont="1" applyFill="1" applyBorder="1" applyAlignment="1">
      <alignment/>
    </xf>
    <xf numFmtId="3" fontId="6" fillId="43" borderId="10" xfId="57" applyNumberFormat="1" applyFont="1" applyFill="1" applyBorder="1" applyAlignment="1">
      <alignment/>
    </xf>
    <xf numFmtId="3" fontId="169" fillId="43" borderId="10" xfId="57" applyNumberFormat="1" applyFont="1" applyFill="1" applyBorder="1" applyAlignment="1">
      <alignment/>
    </xf>
    <xf numFmtId="3" fontId="170" fillId="43" borderId="10" xfId="0" applyNumberFormat="1" applyFont="1" applyFill="1" applyBorder="1" applyAlignment="1">
      <alignment/>
    </xf>
    <xf numFmtId="3" fontId="170" fillId="43" borderId="10" xfId="0" applyNumberFormat="1" applyFont="1" applyFill="1" applyBorder="1" applyAlignment="1">
      <alignment wrapText="1"/>
    </xf>
    <xf numFmtId="3" fontId="3" fillId="43" borderId="10" xfId="57" applyNumberFormat="1" applyFont="1" applyFill="1" applyBorder="1" applyAlignment="1">
      <alignment/>
    </xf>
    <xf numFmtId="3" fontId="43" fillId="43" borderId="10" xfId="0" applyNumberFormat="1" applyFont="1" applyFill="1" applyBorder="1" applyAlignment="1">
      <alignment horizontal="right" vertical="center"/>
    </xf>
    <xf numFmtId="3" fontId="170" fillId="43" borderId="10" xfId="0" applyNumberFormat="1" applyFont="1" applyFill="1" applyBorder="1" applyAlignment="1">
      <alignment horizontal="right" vertical="center"/>
    </xf>
    <xf numFmtId="197" fontId="43" fillId="43" borderId="0" xfId="0" applyNumberFormat="1" applyFont="1" applyFill="1" applyAlignment="1">
      <alignment horizontal="right" vertical="center"/>
    </xf>
    <xf numFmtId="3" fontId="6" fillId="43" borderId="0" xfId="82" applyNumberFormat="1" applyFont="1" applyFill="1" applyBorder="1" applyAlignment="1" applyProtection="1">
      <alignment horizontal="center"/>
      <protection/>
    </xf>
    <xf numFmtId="10" fontId="6" fillId="43" borderId="0" xfId="96" applyNumberFormat="1" applyFont="1" applyFill="1" applyBorder="1" applyAlignment="1" applyProtection="1">
      <alignment/>
      <protection/>
    </xf>
    <xf numFmtId="4" fontId="3" fillId="43" borderId="0" xfId="82" applyNumberFormat="1" applyFont="1" applyFill="1">
      <alignment/>
      <protection/>
    </xf>
    <xf numFmtId="2" fontId="3" fillId="43" borderId="0" xfId="94" applyNumberFormat="1" applyFont="1" applyFill="1" applyAlignment="1">
      <alignment/>
    </xf>
    <xf numFmtId="10" fontId="3" fillId="43" borderId="0" xfId="96" applyNumberFormat="1" applyFont="1" applyFill="1" applyAlignment="1">
      <alignment/>
    </xf>
    <xf numFmtId="3" fontId="170" fillId="43" borderId="0" xfId="57" applyNumberFormat="1" applyFont="1" applyFill="1" applyBorder="1" applyAlignment="1">
      <alignment/>
    </xf>
    <xf numFmtId="10" fontId="6" fillId="43" borderId="0" xfId="96" applyNumberFormat="1" applyFont="1" applyFill="1" applyAlignment="1">
      <alignment/>
    </xf>
    <xf numFmtId="10" fontId="6" fillId="43" borderId="0" xfId="82" applyNumberFormat="1" applyFont="1" applyFill="1">
      <alignment/>
      <protection/>
    </xf>
    <xf numFmtId="197" fontId="43" fillId="43" borderId="0" xfId="0" applyNumberFormat="1" applyFont="1" applyFill="1" applyBorder="1" applyAlignment="1">
      <alignment horizontal="right" vertical="center"/>
    </xf>
    <xf numFmtId="4" fontId="169" fillId="43" borderId="0" xfId="57" applyNumberFormat="1" applyFont="1" applyFill="1" applyBorder="1" applyAlignment="1">
      <alignment/>
    </xf>
    <xf numFmtId="3" fontId="169" fillId="43" borderId="0" xfId="57" applyNumberFormat="1" applyFont="1" applyFill="1" applyBorder="1" applyAlignment="1">
      <alignment/>
    </xf>
    <xf numFmtId="3" fontId="3" fillId="43" borderId="0" xfId="57" applyNumberFormat="1" applyFont="1" applyFill="1" applyBorder="1" applyAlignment="1">
      <alignment/>
    </xf>
    <xf numFmtId="10" fontId="170" fillId="43" borderId="0" xfId="57" applyNumberFormat="1" applyFont="1" applyFill="1" applyAlignment="1">
      <alignment/>
    </xf>
    <xf numFmtId="3" fontId="170" fillId="43" borderId="0" xfId="57" applyNumberFormat="1" applyFont="1" applyFill="1" applyAlignment="1">
      <alignment wrapText="1"/>
    </xf>
    <xf numFmtId="3" fontId="171" fillId="43" borderId="10" xfId="0" applyNumberFormat="1" applyFont="1" applyFill="1" applyBorder="1" applyAlignment="1">
      <alignment wrapText="1"/>
    </xf>
    <xf numFmtId="3" fontId="170" fillId="43" borderId="50" xfId="57" applyNumberFormat="1" applyFont="1" applyFill="1" applyBorder="1" applyAlignment="1">
      <alignment/>
    </xf>
    <xf numFmtId="10" fontId="169" fillId="43" borderId="0" xfId="0" applyNumberFormat="1" applyFont="1" applyFill="1" applyAlignment="1">
      <alignment/>
    </xf>
    <xf numFmtId="3" fontId="169" fillId="43" borderId="0" xfId="0" applyNumberFormat="1" applyFont="1" applyFill="1" applyAlignment="1">
      <alignment/>
    </xf>
    <xf numFmtId="3" fontId="169" fillId="43" borderId="0" xfId="0" applyNumberFormat="1" applyFont="1" applyFill="1" applyAlignment="1">
      <alignment wrapText="1"/>
    </xf>
    <xf numFmtId="3" fontId="34" fillId="43" borderId="10" xfId="0" applyNumberFormat="1" applyFont="1" applyFill="1" applyBorder="1" applyAlignment="1">
      <alignment horizontal="right" vertical="center"/>
    </xf>
    <xf numFmtId="3" fontId="169" fillId="28" borderId="10" xfId="0" applyNumberFormat="1" applyFont="1" applyFill="1" applyBorder="1" applyAlignment="1">
      <alignment wrapText="1"/>
    </xf>
    <xf numFmtId="3" fontId="169" fillId="28" borderId="10" xfId="57" applyNumberFormat="1" applyFont="1" applyFill="1" applyBorder="1" applyAlignment="1">
      <alignment horizontal="center" wrapText="1"/>
    </xf>
    <xf numFmtId="3" fontId="36" fillId="43" borderId="10" xfId="57" applyNumberFormat="1" applyFont="1" applyFill="1" applyBorder="1" applyAlignment="1">
      <alignment/>
    </xf>
    <xf numFmtId="3" fontId="172" fillId="43" borderId="10" xfId="57" applyNumberFormat="1" applyFont="1" applyFill="1" applyBorder="1" applyAlignment="1">
      <alignment/>
    </xf>
    <xf numFmtId="3" fontId="172" fillId="43" borderId="10" xfId="0" applyNumberFormat="1" applyFont="1" applyFill="1" applyBorder="1" applyAlignment="1">
      <alignment/>
    </xf>
    <xf numFmtId="3" fontId="172" fillId="43" borderId="10" xfId="0" applyNumberFormat="1" applyFont="1" applyFill="1" applyBorder="1" applyAlignment="1">
      <alignment wrapText="1"/>
    </xf>
    <xf numFmtId="3" fontId="36" fillId="43" borderId="0" xfId="57" applyNumberFormat="1" applyFont="1" applyFill="1" applyBorder="1" applyAlignment="1">
      <alignment/>
    </xf>
    <xf numFmtId="10" fontId="36" fillId="43" borderId="0" xfId="82" applyNumberFormat="1" applyFont="1" applyFill="1" applyBorder="1" applyAlignment="1">
      <alignment vertical="center" wrapText="1"/>
      <protection/>
    </xf>
    <xf numFmtId="10" fontId="36" fillId="43" borderId="0" xfId="82" applyNumberFormat="1" applyFont="1" applyFill="1" applyBorder="1" applyAlignment="1">
      <alignment horizontal="left" vertical="center" wrapText="1"/>
      <protection/>
    </xf>
    <xf numFmtId="10" fontId="36" fillId="43" borderId="0" xfId="82" applyNumberFormat="1" applyFont="1" applyFill="1">
      <alignment/>
      <protection/>
    </xf>
    <xf numFmtId="10" fontId="172" fillId="43" borderId="0" xfId="0" applyNumberFormat="1" applyFont="1" applyFill="1" applyAlignment="1">
      <alignment/>
    </xf>
    <xf numFmtId="3" fontId="172" fillId="43" borderId="0" xfId="0" applyNumberFormat="1" applyFont="1" applyFill="1" applyAlignment="1">
      <alignment/>
    </xf>
    <xf numFmtId="3" fontId="172" fillId="43" borderId="0" xfId="0" applyNumberFormat="1" applyFont="1" applyFill="1" applyAlignment="1">
      <alignment wrapText="1"/>
    </xf>
    <xf numFmtId="3" fontId="172" fillId="28" borderId="10" xfId="57" applyNumberFormat="1" applyFont="1" applyFill="1" applyBorder="1" applyAlignment="1">
      <alignment horizontal="center" wrapText="1"/>
    </xf>
    <xf numFmtId="3" fontId="13" fillId="0" borderId="0" xfId="82" applyNumberFormat="1" applyFont="1">
      <alignment/>
      <protection/>
    </xf>
    <xf numFmtId="10" fontId="13" fillId="0" borderId="0" xfId="82" applyNumberFormat="1" applyFont="1">
      <alignment/>
      <protection/>
    </xf>
    <xf numFmtId="3" fontId="36" fillId="0" borderId="0" xfId="82" applyNumberFormat="1" applyFont="1" applyBorder="1" applyAlignment="1">
      <alignment vertical="center" wrapText="1"/>
      <protection/>
    </xf>
    <xf numFmtId="3" fontId="36" fillId="0" borderId="0" xfId="82" applyNumberFormat="1" applyFont="1" applyBorder="1" applyAlignment="1">
      <alignment horizontal="center" vertical="center" wrapText="1"/>
      <protection/>
    </xf>
    <xf numFmtId="3" fontId="0" fillId="0" borderId="0" xfId="0" applyNumberFormat="1" applyFont="1" applyAlignment="1">
      <alignment/>
    </xf>
    <xf numFmtId="3" fontId="36" fillId="0" borderId="0" xfId="82" applyNumberFormat="1" applyFont="1" applyBorder="1" applyAlignment="1">
      <alignment horizontal="left" vertical="center" wrapText="1"/>
      <protection/>
    </xf>
    <xf numFmtId="3" fontId="101" fillId="0" borderId="10" xfId="57" applyNumberFormat="1" applyFont="1" applyFill="1" applyBorder="1" applyAlignment="1">
      <alignment horizontal="center"/>
    </xf>
    <xf numFmtId="3" fontId="146" fillId="0" borderId="10" xfId="57" applyNumberFormat="1" applyFont="1" applyBorder="1" applyAlignment="1">
      <alignment horizontal="center"/>
    </xf>
    <xf numFmtId="10" fontId="0" fillId="0" borderId="0" xfId="0" applyNumberFormat="1" applyFont="1" applyAlignment="1">
      <alignment/>
    </xf>
    <xf numFmtId="3" fontId="146" fillId="0" borderId="0" xfId="0" applyNumberFormat="1" applyFont="1" applyAlignment="1">
      <alignment wrapText="1"/>
    </xf>
    <xf numFmtId="10" fontId="36" fillId="0" borderId="0" xfId="82" applyNumberFormat="1" applyFont="1" applyBorder="1" applyAlignment="1">
      <alignment horizontal="left" vertical="center" wrapText="1"/>
      <protection/>
    </xf>
    <xf numFmtId="3" fontId="0" fillId="0" borderId="10" xfId="0" applyNumberFormat="1" applyFont="1" applyBorder="1" applyAlignment="1">
      <alignment/>
    </xf>
    <xf numFmtId="3" fontId="0" fillId="43" borderId="10" xfId="0" applyNumberFormat="1" applyFont="1" applyFill="1" applyBorder="1" applyAlignment="1">
      <alignment wrapText="1"/>
    </xf>
    <xf numFmtId="10" fontId="36" fillId="0" borderId="0" xfId="82" applyNumberFormat="1" applyFont="1" applyBorder="1" applyAlignment="1">
      <alignment vertical="center" wrapText="1"/>
      <protection/>
    </xf>
    <xf numFmtId="3" fontId="74" fillId="0" borderId="0" xfId="82" applyNumberFormat="1" applyFont="1" applyFill="1" applyBorder="1" applyAlignment="1" applyProtection="1">
      <alignment/>
      <protection/>
    </xf>
    <xf numFmtId="3" fontId="74" fillId="0" borderId="0" xfId="82" applyNumberFormat="1" applyFont="1" applyFill="1" applyBorder="1" applyAlignment="1" applyProtection="1">
      <alignment horizontal="center"/>
      <protection/>
    </xf>
    <xf numFmtId="10" fontId="74" fillId="0" borderId="0" xfId="96" applyNumberFormat="1" applyFont="1" applyFill="1" applyBorder="1" applyAlignment="1" applyProtection="1">
      <alignment/>
      <protection/>
    </xf>
    <xf numFmtId="10" fontId="75" fillId="0" borderId="0" xfId="82" applyNumberFormat="1" applyFont="1">
      <alignment/>
      <protection/>
    </xf>
    <xf numFmtId="10" fontId="75" fillId="0" borderId="0" xfId="96" applyNumberFormat="1" applyFont="1" applyAlignment="1">
      <alignment/>
    </xf>
    <xf numFmtId="3" fontId="0" fillId="0" borderId="10" xfId="0" applyNumberFormat="1" applyFont="1" applyBorder="1" applyAlignment="1">
      <alignment wrapText="1"/>
    </xf>
    <xf numFmtId="10" fontId="76" fillId="0" borderId="0" xfId="82" applyNumberFormat="1" applyFont="1" applyFill="1">
      <alignment/>
      <protection/>
    </xf>
    <xf numFmtId="3" fontId="0" fillId="0" borderId="0" xfId="0" applyNumberFormat="1" applyFont="1" applyAlignment="1">
      <alignment wrapText="1"/>
    </xf>
    <xf numFmtId="3" fontId="0" fillId="0" borderId="61" xfId="0" applyNumberFormat="1" applyFont="1" applyBorder="1" applyAlignment="1">
      <alignment wrapText="1"/>
    </xf>
    <xf numFmtId="3" fontId="0" fillId="0" borderId="61" xfId="57" applyNumberFormat="1" applyFont="1" applyBorder="1" applyAlignment="1">
      <alignment/>
    </xf>
    <xf numFmtId="3" fontId="36" fillId="0" borderId="0" xfId="82" applyNumberFormat="1" applyFont="1" applyBorder="1">
      <alignment/>
      <protection/>
    </xf>
    <xf numFmtId="3" fontId="13" fillId="0" borderId="0" xfId="82" applyNumberFormat="1" applyFont="1" applyBorder="1">
      <alignment/>
      <protection/>
    </xf>
    <xf numFmtId="9" fontId="13" fillId="0" borderId="0" xfId="94" applyFont="1" applyBorder="1" applyAlignment="1">
      <alignment/>
    </xf>
    <xf numFmtId="3" fontId="0" fillId="0" borderId="0" xfId="0" applyNumberFormat="1" applyFont="1" applyBorder="1" applyAlignment="1">
      <alignment/>
    </xf>
    <xf numFmtId="3" fontId="146" fillId="0" borderId="0" xfId="57" applyNumberFormat="1" applyFont="1" applyBorder="1" applyAlignment="1">
      <alignment horizontal="center"/>
    </xf>
    <xf numFmtId="3" fontId="0" fillId="0" borderId="0" xfId="57" applyNumberFormat="1" applyFont="1" applyBorder="1" applyAlignment="1">
      <alignment/>
    </xf>
    <xf numFmtId="3" fontId="101" fillId="0" borderId="0" xfId="57" applyNumberFormat="1" applyFont="1" applyFill="1" applyBorder="1" applyAlignment="1">
      <alignment/>
    </xf>
    <xf numFmtId="3" fontId="146" fillId="0" borderId="0" xfId="0" applyNumberFormat="1" applyFont="1" applyBorder="1" applyAlignment="1">
      <alignment wrapText="1"/>
    </xf>
    <xf numFmtId="3" fontId="146" fillId="0" borderId="0" xfId="57" applyNumberFormat="1" applyFont="1" applyBorder="1" applyAlignment="1">
      <alignment/>
    </xf>
    <xf numFmtId="3" fontId="146" fillId="33" borderId="0" xfId="57" applyNumberFormat="1" applyFont="1" applyFill="1" applyBorder="1" applyAlignment="1">
      <alignment/>
    </xf>
    <xf numFmtId="3" fontId="0" fillId="33" borderId="0" xfId="57" applyNumberFormat="1" applyFont="1" applyFill="1" applyBorder="1" applyAlignment="1">
      <alignment/>
    </xf>
    <xf numFmtId="3" fontId="0" fillId="42" borderId="0" xfId="0" applyNumberFormat="1" applyFont="1" applyFill="1" applyBorder="1" applyAlignment="1">
      <alignment/>
    </xf>
    <xf numFmtId="10" fontId="13" fillId="0" borderId="0" xfId="82" applyNumberFormat="1" applyFont="1" applyBorder="1">
      <alignment/>
      <protection/>
    </xf>
    <xf numFmtId="3" fontId="142" fillId="0" borderId="0" xfId="0" applyNumberFormat="1" applyFont="1" applyBorder="1" applyAlignment="1">
      <alignment/>
    </xf>
    <xf numFmtId="3" fontId="0" fillId="0" borderId="0" xfId="51" applyNumberFormat="1" applyFont="1" applyBorder="1" applyAlignment="1">
      <alignment/>
    </xf>
    <xf numFmtId="3" fontId="146" fillId="0" borderId="0" xfId="57" applyNumberFormat="1" applyFont="1" applyBorder="1" applyAlignment="1">
      <alignment wrapText="1"/>
    </xf>
    <xf numFmtId="3" fontId="146" fillId="33" borderId="0" xfId="57" applyNumberFormat="1" applyFont="1" applyFill="1" applyBorder="1" applyAlignment="1">
      <alignment horizontal="center" wrapText="1"/>
    </xf>
    <xf numFmtId="187" fontId="0" fillId="33" borderId="0" xfId="51" applyNumberFormat="1" applyFont="1" applyFill="1" applyBorder="1" applyAlignment="1">
      <alignment/>
    </xf>
    <xf numFmtId="3" fontId="146" fillId="0" borderId="0" xfId="0" applyNumberFormat="1" applyFont="1" applyBorder="1" applyAlignment="1">
      <alignment/>
    </xf>
    <xf numFmtId="9" fontId="173" fillId="0" borderId="0" xfId="94" applyFont="1" applyBorder="1" applyAlignment="1">
      <alignment/>
    </xf>
    <xf numFmtId="3" fontId="173" fillId="0" borderId="0" xfId="0" applyNumberFormat="1" applyFont="1" applyBorder="1" applyAlignment="1">
      <alignment/>
    </xf>
    <xf numFmtId="10" fontId="75" fillId="0" borderId="0" xfId="82" applyNumberFormat="1" applyFont="1" applyBorder="1">
      <alignment/>
      <protection/>
    </xf>
    <xf numFmtId="10" fontId="75" fillId="33" borderId="0" xfId="82" applyNumberFormat="1" applyFont="1" applyFill="1" applyBorder="1">
      <alignment/>
      <protection/>
    </xf>
    <xf numFmtId="9" fontId="0" fillId="0" borderId="0" xfId="94" applyFont="1" applyBorder="1" applyAlignment="1">
      <alignment/>
    </xf>
    <xf numFmtId="10" fontId="75" fillId="0" borderId="0" xfId="96" applyNumberFormat="1" applyFont="1" applyBorder="1" applyAlignment="1">
      <alignment/>
    </xf>
    <xf numFmtId="3" fontId="76" fillId="0" borderId="0" xfId="82" applyNumberFormat="1" applyFont="1" applyFill="1" applyBorder="1">
      <alignment/>
      <protection/>
    </xf>
    <xf numFmtId="10" fontId="76" fillId="0" borderId="0" xfId="82" applyNumberFormat="1" applyFont="1" applyFill="1" applyBorder="1">
      <alignment/>
      <protection/>
    </xf>
    <xf numFmtId="3" fontId="36" fillId="0" borderId="0" xfId="82" applyNumberFormat="1" applyFont="1" applyBorder="1" applyAlignment="1">
      <alignment horizontal="center"/>
      <protection/>
    </xf>
    <xf numFmtId="3" fontId="0" fillId="0" borderId="0" xfId="0" applyNumberFormat="1" applyFont="1" applyAlignment="1">
      <alignment wrapText="1"/>
    </xf>
    <xf numFmtId="190" fontId="3" fillId="0" borderId="10" xfId="82" applyNumberFormat="1" applyFont="1" applyFill="1" applyBorder="1">
      <alignment/>
      <protection/>
    </xf>
    <xf numFmtId="190" fontId="6" fillId="43" borderId="85" xfId="82" applyNumberFormat="1" applyFont="1" applyFill="1" applyBorder="1">
      <alignment/>
      <protection/>
    </xf>
    <xf numFmtId="3" fontId="20" fillId="43" borderId="83" xfId="82" applyNumberFormat="1" applyFont="1" applyFill="1" applyBorder="1">
      <alignment/>
      <protection/>
    </xf>
    <xf numFmtId="3" fontId="146" fillId="18" borderId="10" xfId="0" applyNumberFormat="1" applyFont="1" applyFill="1" applyBorder="1" applyAlignment="1">
      <alignment wrapText="1"/>
    </xf>
    <xf numFmtId="3" fontId="101" fillId="18" borderId="10" xfId="57" applyNumberFormat="1" applyFont="1" applyFill="1" applyBorder="1" applyAlignment="1">
      <alignment horizontal="center"/>
    </xf>
    <xf numFmtId="3" fontId="146" fillId="18" borderId="10" xfId="57" applyNumberFormat="1" applyFont="1" applyFill="1" applyBorder="1" applyAlignment="1">
      <alignment horizontal="center"/>
    </xf>
    <xf numFmtId="0" fontId="6" fillId="0" borderId="0" xfId="82" applyFont="1" applyFill="1" applyBorder="1" applyAlignment="1">
      <alignment vertical="center" wrapText="1"/>
      <protection/>
    </xf>
    <xf numFmtId="0" fontId="3" fillId="0" borderId="0" xfId="82" applyFill="1">
      <alignment/>
      <protection/>
    </xf>
    <xf numFmtId="190" fontId="6" fillId="0" borderId="53" xfId="82" applyNumberFormat="1" applyFont="1" applyFill="1" applyBorder="1">
      <alignment/>
      <protection/>
    </xf>
    <xf numFmtId="3" fontId="20" fillId="0" borderId="50" xfId="82" applyNumberFormat="1" applyFont="1" applyFill="1" applyBorder="1" applyAlignment="1">
      <alignment horizontal="center"/>
      <protection/>
    </xf>
    <xf numFmtId="190" fontId="6" fillId="0" borderId="18" xfId="82" applyNumberFormat="1" applyFont="1" applyFill="1" applyBorder="1">
      <alignment/>
      <protection/>
    </xf>
    <xf numFmtId="9" fontId="6" fillId="0" borderId="49" xfId="82" applyNumberFormat="1" applyFont="1" applyFill="1" applyBorder="1">
      <alignment/>
      <protection/>
    </xf>
    <xf numFmtId="9" fontId="6" fillId="0" borderId="17" xfId="82" applyNumberFormat="1" applyFont="1" applyFill="1" applyBorder="1">
      <alignment/>
      <protection/>
    </xf>
    <xf numFmtId="0" fontId="15" fillId="0" borderId="0" xfId="82" applyFont="1" applyFill="1">
      <alignment/>
      <protection/>
    </xf>
    <xf numFmtId="3" fontId="15" fillId="0" borderId="0" xfId="82" applyNumberFormat="1" applyFont="1" applyFill="1">
      <alignment/>
      <protection/>
    </xf>
    <xf numFmtId="3" fontId="3" fillId="0" borderId="61" xfId="82" applyNumberFormat="1" applyFill="1" applyBorder="1">
      <alignment/>
      <protection/>
    </xf>
    <xf numFmtId="0" fontId="14" fillId="0" borderId="0" xfId="82" applyFont="1" applyFill="1" applyBorder="1">
      <alignment/>
      <protection/>
    </xf>
    <xf numFmtId="0" fontId="12" fillId="0" borderId="0" xfId="82" applyFont="1" applyFill="1">
      <alignment/>
      <protection/>
    </xf>
    <xf numFmtId="0" fontId="6" fillId="12" borderId="68" xfId="82" applyFont="1" applyFill="1" applyBorder="1" applyAlignment="1">
      <alignment horizontal="left" vertical="center" wrapText="1"/>
      <protection/>
    </xf>
    <xf numFmtId="190" fontId="6" fillId="12" borderId="49" xfId="82" applyNumberFormat="1" applyFont="1" applyFill="1" applyBorder="1">
      <alignment/>
      <protection/>
    </xf>
    <xf numFmtId="190" fontId="20" fillId="12" borderId="49" xfId="82" applyNumberFormat="1" applyFont="1" applyFill="1" applyBorder="1">
      <alignment/>
      <protection/>
    </xf>
    <xf numFmtId="0" fontId="6" fillId="12" borderId="16" xfId="82" applyFont="1" applyFill="1" applyBorder="1" applyAlignment="1">
      <alignment horizontal="left" vertical="center" wrapText="1"/>
      <protection/>
    </xf>
    <xf numFmtId="190" fontId="20" fillId="12" borderId="10" xfId="82" applyNumberFormat="1" applyFont="1" applyFill="1" applyBorder="1">
      <alignment/>
      <protection/>
    </xf>
    <xf numFmtId="190" fontId="6" fillId="12" borderId="10" xfId="82" applyNumberFormat="1" applyFont="1" applyFill="1" applyBorder="1">
      <alignment/>
      <protection/>
    </xf>
    <xf numFmtId="3" fontId="170" fillId="43" borderId="0" xfId="0" applyNumberFormat="1" applyFont="1" applyFill="1" applyBorder="1" applyAlignment="1">
      <alignment/>
    </xf>
    <xf numFmtId="3" fontId="170" fillId="43" borderId="0" xfId="0" applyNumberFormat="1" applyFont="1" applyFill="1" applyBorder="1" applyAlignment="1">
      <alignment wrapText="1"/>
    </xf>
    <xf numFmtId="10" fontId="3" fillId="43" borderId="0" xfId="82" applyNumberFormat="1" applyFont="1" applyFill="1" applyBorder="1">
      <alignment/>
      <protection/>
    </xf>
    <xf numFmtId="10" fontId="170" fillId="43" borderId="0" xfId="0" applyNumberFormat="1" applyFont="1" applyFill="1" applyBorder="1" applyAlignment="1">
      <alignment/>
    </xf>
    <xf numFmtId="3" fontId="20" fillId="0" borderId="0" xfId="82" applyNumberFormat="1" applyFont="1" applyBorder="1" applyAlignment="1">
      <alignment vertical="center" wrapText="1"/>
      <protection/>
    </xf>
    <xf numFmtId="185" fontId="109" fillId="0" borderId="10" xfId="65" applyNumberFormat="1" applyFont="1" applyFill="1" applyBorder="1" applyAlignment="1">
      <alignment/>
    </xf>
    <xf numFmtId="3" fontId="166" fillId="0" borderId="10" xfId="0" applyNumberFormat="1" applyFont="1" applyBorder="1" applyAlignment="1">
      <alignment horizontal="center" vertical="center" wrapText="1"/>
    </xf>
    <xf numFmtId="3" fontId="166" fillId="0" borderId="66" xfId="0" applyNumberFormat="1" applyFont="1" applyBorder="1" applyAlignment="1">
      <alignment horizontal="center" vertical="center" wrapText="1"/>
    </xf>
    <xf numFmtId="0" fontId="71" fillId="0" borderId="49" xfId="0" applyFont="1" applyFill="1" applyBorder="1" applyAlignment="1">
      <alignment horizontal="center" vertical="center" wrapText="1"/>
    </xf>
    <xf numFmtId="0" fontId="150" fillId="0" borderId="49" xfId="0" applyFont="1" applyBorder="1" applyAlignment="1">
      <alignment horizontal="center" vertical="center"/>
    </xf>
    <xf numFmtId="3" fontId="56" fillId="0" borderId="10" xfId="85" applyNumberFormat="1" applyFont="1" applyFill="1" applyBorder="1" applyAlignment="1">
      <alignment horizontal="center" vertical="center" wrapText="1"/>
      <protection/>
    </xf>
    <xf numFmtId="0" fontId="150" fillId="0" borderId="10" xfId="0" applyFont="1" applyBorder="1" applyAlignment="1">
      <alignment horizontal="justify" vertical="center" wrapText="1"/>
    </xf>
    <xf numFmtId="3" fontId="159" fillId="0" borderId="10" xfId="0" applyNumberFormat="1" applyFont="1" applyBorder="1" applyAlignment="1">
      <alignment horizontal="center" vertical="center" wrapText="1"/>
    </xf>
    <xf numFmtId="3" fontId="0" fillId="0" borderId="49" xfId="0" applyNumberFormat="1" applyBorder="1" applyAlignment="1">
      <alignment horizontal="center" vertical="center"/>
    </xf>
    <xf numFmtId="0" fontId="150" fillId="0" borderId="10" xfId="0" applyFont="1" applyBorder="1" applyAlignment="1">
      <alignment horizontal="center"/>
    </xf>
    <xf numFmtId="3" fontId="170" fillId="33" borderId="10" xfId="0" applyNumberFormat="1" applyFont="1" applyFill="1" applyBorder="1" applyAlignment="1">
      <alignment horizontal="right" vertical="center"/>
    </xf>
    <xf numFmtId="3" fontId="170" fillId="0" borderId="10" xfId="0" applyNumberFormat="1" applyFont="1" applyFill="1" applyBorder="1" applyAlignment="1">
      <alignment horizontal="right" vertical="center"/>
    </xf>
    <xf numFmtId="3" fontId="170" fillId="0" borderId="10" xfId="57" applyNumberFormat="1" applyFont="1" applyFill="1" applyBorder="1" applyAlignment="1">
      <alignment/>
    </xf>
    <xf numFmtId="3" fontId="166" fillId="0" borderId="16" xfId="0" applyNumberFormat="1" applyFont="1" applyBorder="1" applyAlignment="1">
      <alignment horizontal="left" vertical="center" wrapText="1"/>
    </xf>
    <xf numFmtId="3" fontId="166" fillId="0" borderId="68" xfId="0" applyNumberFormat="1" applyFont="1" applyBorder="1" applyAlignment="1">
      <alignment horizontal="center" vertical="center"/>
    </xf>
    <xf numFmtId="3" fontId="150" fillId="0" borderId="49" xfId="0" applyNumberFormat="1" applyFont="1" applyFill="1" applyBorder="1" applyAlignment="1">
      <alignment horizontal="center" vertical="center" wrapText="1"/>
    </xf>
    <xf numFmtId="3" fontId="0" fillId="0" borderId="86" xfId="0" applyNumberFormat="1" applyBorder="1" applyAlignment="1">
      <alignment horizontal="center" vertical="center"/>
    </xf>
    <xf numFmtId="3" fontId="72" fillId="0" borderId="10" xfId="85" applyNumberFormat="1" applyFont="1" applyFill="1" applyBorder="1" applyAlignment="1">
      <alignment horizontal="center" vertical="center" wrapText="1"/>
      <protection/>
    </xf>
    <xf numFmtId="3" fontId="57" fillId="0" borderId="10" xfId="85" applyNumberFormat="1" applyFont="1" applyFill="1" applyBorder="1" applyAlignment="1">
      <alignment horizontal="center" vertical="center" wrapText="1"/>
      <protection/>
    </xf>
    <xf numFmtId="3" fontId="10" fillId="43" borderId="10" xfId="85" applyNumberFormat="1" applyFont="1" applyFill="1" applyBorder="1" applyAlignment="1">
      <alignment horizontal="center" vertical="center" wrapText="1"/>
      <protection/>
    </xf>
    <xf numFmtId="3" fontId="0" fillId="0" borderId="10" xfId="0" applyNumberFormat="1" applyBorder="1" applyAlignment="1">
      <alignment horizontal="center"/>
    </xf>
    <xf numFmtId="3" fontId="174" fillId="0" borderId="10" xfId="85" applyNumberFormat="1" applyFont="1" applyFill="1" applyBorder="1" applyAlignment="1">
      <alignment horizontal="center" vertical="center" wrapText="1"/>
      <protection/>
    </xf>
    <xf numFmtId="3" fontId="10" fillId="46" borderId="10" xfId="85" applyNumberFormat="1" applyFont="1" applyFill="1" applyBorder="1" applyAlignment="1">
      <alignment horizontal="center" vertical="center" wrapText="1"/>
      <protection/>
    </xf>
    <xf numFmtId="3" fontId="57" fillId="46" borderId="10" xfId="85" applyNumberFormat="1" applyFont="1" applyFill="1" applyBorder="1" applyAlignment="1">
      <alignment horizontal="center" vertical="center" wrapText="1"/>
      <protection/>
    </xf>
    <xf numFmtId="3" fontId="6" fillId="43" borderId="0" xfId="82" applyNumberFormat="1" applyFont="1" applyFill="1" applyAlignment="1">
      <alignment horizontal="center"/>
      <protection/>
    </xf>
    <xf numFmtId="9" fontId="170" fillId="43" borderId="0" xfId="0" applyNumberFormat="1" applyFont="1" applyFill="1" applyAlignment="1">
      <alignment/>
    </xf>
    <xf numFmtId="9" fontId="172" fillId="43" borderId="0" xfId="0" applyNumberFormat="1" applyFont="1" applyFill="1" applyAlignment="1">
      <alignment/>
    </xf>
    <xf numFmtId="9" fontId="169" fillId="43" borderId="0" xfId="0" applyNumberFormat="1" applyFont="1" applyFill="1" applyAlignment="1">
      <alignment/>
    </xf>
    <xf numFmtId="9" fontId="170" fillId="43" borderId="0" xfId="57" applyNumberFormat="1" applyFont="1" applyFill="1" applyAlignment="1">
      <alignment/>
    </xf>
    <xf numFmtId="3" fontId="172" fillId="43" borderId="51" xfId="0" applyNumberFormat="1" applyFont="1" applyFill="1" applyBorder="1" applyAlignment="1">
      <alignment/>
    </xf>
    <xf numFmtId="3" fontId="170" fillId="43" borderId="51" xfId="0" applyNumberFormat="1" applyFont="1" applyFill="1" applyBorder="1" applyAlignment="1">
      <alignment/>
    </xf>
    <xf numFmtId="3" fontId="169" fillId="43" borderId="51" xfId="0" applyNumberFormat="1" applyFont="1" applyFill="1" applyBorder="1" applyAlignment="1">
      <alignment/>
    </xf>
    <xf numFmtId="10" fontId="3" fillId="43" borderId="10" xfId="82" applyNumberFormat="1" applyFont="1" applyFill="1" applyBorder="1">
      <alignment/>
      <protection/>
    </xf>
    <xf numFmtId="10" fontId="170" fillId="43" borderId="10" xfId="0" applyNumberFormat="1" applyFont="1" applyFill="1" applyBorder="1" applyAlignment="1">
      <alignment/>
    </xf>
    <xf numFmtId="10" fontId="36" fillId="43" borderId="10" xfId="82" applyNumberFormat="1" applyFont="1" applyFill="1" applyBorder="1" applyAlignment="1">
      <alignment vertical="center" wrapText="1"/>
      <protection/>
    </xf>
    <xf numFmtId="10" fontId="36" fillId="43" borderId="10" xfId="82" applyNumberFormat="1" applyFont="1" applyFill="1" applyBorder="1" applyAlignment="1">
      <alignment horizontal="left" vertical="center" wrapText="1"/>
      <protection/>
    </xf>
    <xf numFmtId="10" fontId="36" fillId="43" borderId="10" xfId="82" applyNumberFormat="1" applyFont="1" applyFill="1" applyBorder="1">
      <alignment/>
      <protection/>
    </xf>
    <xf numFmtId="10" fontId="172" fillId="43" borderId="10" xfId="0" applyNumberFormat="1" applyFont="1" applyFill="1" applyBorder="1" applyAlignment="1">
      <alignment/>
    </xf>
    <xf numFmtId="197" fontId="43" fillId="43" borderId="10" xfId="0" applyNumberFormat="1" applyFont="1" applyFill="1" applyBorder="1" applyAlignment="1">
      <alignment horizontal="right" vertical="center"/>
    </xf>
    <xf numFmtId="3" fontId="6" fillId="43" borderId="10" xfId="82" applyNumberFormat="1" applyFont="1" applyFill="1" applyBorder="1" applyAlignment="1" applyProtection="1">
      <alignment horizontal="center"/>
      <protection/>
    </xf>
    <xf numFmtId="10" fontId="6" fillId="43" borderId="10" xfId="96" applyNumberFormat="1" applyFont="1" applyFill="1" applyBorder="1" applyAlignment="1" applyProtection="1">
      <alignment/>
      <protection/>
    </xf>
    <xf numFmtId="4" fontId="3" fillId="43" borderId="10" xfId="82" applyNumberFormat="1" applyFont="1" applyFill="1" applyBorder="1">
      <alignment/>
      <protection/>
    </xf>
    <xf numFmtId="10" fontId="6" fillId="43" borderId="10" xfId="82" applyNumberFormat="1" applyFont="1" applyFill="1" applyBorder="1">
      <alignment/>
      <protection/>
    </xf>
    <xf numFmtId="10" fontId="169" fillId="43" borderId="10" xfId="0" applyNumberFormat="1" applyFont="1" applyFill="1" applyBorder="1" applyAlignment="1">
      <alignment/>
    </xf>
    <xf numFmtId="10" fontId="6" fillId="43" borderId="10" xfId="96" applyNumberFormat="1" applyFont="1" applyFill="1" applyBorder="1" applyAlignment="1">
      <alignment/>
    </xf>
    <xf numFmtId="10" fontId="3" fillId="43" borderId="10" xfId="96" applyNumberFormat="1" applyFont="1" applyFill="1" applyBorder="1" applyAlignment="1">
      <alignment/>
    </xf>
    <xf numFmtId="4" fontId="169" fillId="43" borderId="10" xfId="57" applyNumberFormat="1" applyFont="1" applyFill="1" applyBorder="1" applyAlignment="1">
      <alignment/>
    </xf>
    <xf numFmtId="10" fontId="170" fillId="43" borderId="10" xfId="57" applyNumberFormat="1" applyFont="1" applyFill="1" applyBorder="1" applyAlignment="1">
      <alignment/>
    </xf>
    <xf numFmtId="3" fontId="170" fillId="43" borderId="10" xfId="57" applyNumberFormat="1" applyFont="1" applyFill="1" applyBorder="1" applyAlignment="1">
      <alignment wrapText="1"/>
    </xf>
    <xf numFmtId="3" fontId="169" fillId="28" borderId="33" xfId="0" applyNumberFormat="1" applyFont="1" applyFill="1" applyBorder="1" applyAlignment="1">
      <alignment wrapText="1"/>
    </xf>
    <xf numFmtId="3" fontId="169" fillId="43" borderId="53" xfId="57" applyNumberFormat="1" applyFont="1" applyFill="1" applyBorder="1" applyAlignment="1">
      <alignment horizontal="center"/>
    </xf>
    <xf numFmtId="3" fontId="169" fillId="28" borderId="53" xfId="57" applyNumberFormat="1" applyFont="1" applyFill="1" applyBorder="1" applyAlignment="1">
      <alignment horizontal="center" wrapText="1"/>
    </xf>
    <xf numFmtId="3" fontId="172" fillId="28" borderId="53" xfId="57" applyNumberFormat="1" applyFont="1" applyFill="1" applyBorder="1" applyAlignment="1">
      <alignment horizontal="center" wrapText="1"/>
    </xf>
    <xf numFmtId="10" fontId="6" fillId="43" borderId="53" xfId="82" applyNumberFormat="1" applyFont="1" applyFill="1" applyBorder="1" applyAlignment="1">
      <alignment horizontal="left" vertical="center" wrapText="1"/>
      <protection/>
    </xf>
    <xf numFmtId="10" fontId="3" fillId="43" borderId="53" xfId="82" applyNumberFormat="1" applyFont="1" applyFill="1" applyBorder="1">
      <alignment/>
      <protection/>
    </xf>
    <xf numFmtId="10" fontId="170" fillId="43" borderId="53" xfId="0" applyNumberFormat="1" applyFont="1" applyFill="1" applyBorder="1" applyAlignment="1">
      <alignment/>
    </xf>
    <xf numFmtId="3" fontId="170" fillId="43" borderId="53" xfId="0" applyNumberFormat="1" applyFont="1" applyFill="1" applyBorder="1" applyAlignment="1">
      <alignment/>
    </xf>
    <xf numFmtId="3" fontId="170" fillId="43" borderId="53" xfId="0" applyNumberFormat="1" applyFont="1" applyFill="1" applyBorder="1" applyAlignment="1">
      <alignment wrapText="1"/>
    </xf>
    <xf numFmtId="3" fontId="169" fillId="28" borderId="16" xfId="0" applyNumberFormat="1" applyFont="1" applyFill="1" applyBorder="1" applyAlignment="1">
      <alignment wrapText="1"/>
    </xf>
    <xf numFmtId="3" fontId="170" fillId="43" borderId="66" xfId="0" applyNumberFormat="1" applyFont="1" applyFill="1" applyBorder="1" applyAlignment="1">
      <alignment/>
    </xf>
    <xf numFmtId="3" fontId="172" fillId="43" borderId="16" xfId="0" applyNumberFormat="1" applyFont="1" applyFill="1" applyBorder="1" applyAlignment="1">
      <alignment wrapText="1"/>
    </xf>
    <xf numFmtId="9" fontId="172" fillId="43" borderId="66" xfId="0" applyNumberFormat="1" applyFont="1" applyFill="1" applyBorder="1" applyAlignment="1">
      <alignment/>
    </xf>
    <xf numFmtId="3" fontId="170" fillId="43" borderId="16" xfId="0" applyNumberFormat="1" applyFont="1" applyFill="1" applyBorder="1" applyAlignment="1">
      <alignment wrapText="1"/>
    </xf>
    <xf numFmtId="9" fontId="170" fillId="43" borderId="66" xfId="0" applyNumberFormat="1" applyFont="1" applyFill="1" applyBorder="1" applyAlignment="1">
      <alignment/>
    </xf>
    <xf numFmtId="3" fontId="169" fillId="43" borderId="16" xfId="0" applyNumberFormat="1" applyFont="1" applyFill="1" applyBorder="1" applyAlignment="1">
      <alignment wrapText="1"/>
    </xf>
    <xf numFmtId="9" fontId="169" fillId="43" borderId="66" xfId="0" applyNumberFormat="1" applyFont="1" applyFill="1" applyBorder="1" applyAlignment="1">
      <alignment/>
    </xf>
    <xf numFmtId="3" fontId="171" fillId="43" borderId="16" xfId="0" applyNumberFormat="1" applyFont="1" applyFill="1" applyBorder="1" applyAlignment="1">
      <alignment wrapText="1"/>
    </xf>
    <xf numFmtId="3" fontId="170" fillId="43" borderId="66" xfId="57" applyNumberFormat="1" applyFont="1" applyFill="1" applyBorder="1" applyAlignment="1">
      <alignment/>
    </xf>
    <xf numFmtId="3" fontId="170" fillId="43" borderId="36" xfId="0" applyNumberFormat="1" applyFont="1" applyFill="1" applyBorder="1" applyAlignment="1">
      <alignment wrapText="1"/>
    </xf>
    <xf numFmtId="3" fontId="170" fillId="43" borderId="17" xfId="57" applyNumberFormat="1" applyFont="1" applyFill="1" applyBorder="1" applyAlignment="1">
      <alignment/>
    </xf>
    <xf numFmtId="10" fontId="3" fillId="43" borderId="17" xfId="82" applyNumberFormat="1" applyFont="1" applyFill="1" applyBorder="1">
      <alignment/>
      <protection/>
    </xf>
    <xf numFmtId="10" fontId="170" fillId="43" borderId="17" xfId="0" applyNumberFormat="1" applyFont="1" applyFill="1" applyBorder="1" applyAlignment="1">
      <alignment/>
    </xf>
    <xf numFmtId="3" fontId="170" fillId="43" borderId="17" xfId="0" applyNumberFormat="1" applyFont="1" applyFill="1" applyBorder="1" applyAlignment="1">
      <alignment/>
    </xf>
    <xf numFmtId="3" fontId="169" fillId="43" borderId="17" xfId="57" applyNumberFormat="1" applyFont="1" applyFill="1" applyBorder="1" applyAlignment="1">
      <alignment/>
    </xf>
    <xf numFmtId="10" fontId="169" fillId="43" borderId="37" xfId="0" applyNumberFormat="1" applyFont="1" applyFill="1" applyBorder="1" applyAlignment="1">
      <alignment/>
    </xf>
    <xf numFmtId="3" fontId="175" fillId="43" borderId="34" xfId="0" applyNumberFormat="1" applyFont="1" applyFill="1" applyBorder="1" applyAlignment="1">
      <alignment/>
    </xf>
    <xf numFmtId="10" fontId="170" fillId="43" borderId="66" xfId="0" applyNumberFormat="1" applyFont="1" applyFill="1" applyBorder="1" applyAlignment="1">
      <alignment/>
    </xf>
    <xf numFmtId="10" fontId="169" fillId="43" borderId="66" xfId="0" applyNumberFormat="1" applyFont="1" applyFill="1" applyBorder="1" applyAlignment="1">
      <alignment/>
    </xf>
    <xf numFmtId="10" fontId="172" fillId="43" borderId="66" xfId="0" applyNumberFormat="1" applyFont="1" applyFill="1" applyBorder="1" applyAlignment="1">
      <alignment/>
    </xf>
    <xf numFmtId="9" fontId="176" fillId="43" borderId="66" xfId="0" applyNumberFormat="1" applyFont="1" applyFill="1" applyBorder="1" applyAlignment="1">
      <alignment/>
    </xf>
    <xf numFmtId="10" fontId="176" fillId="43" borderId="66" xfId="0" applyNumberFormat="1" applyFont="1" applyFill="1" applyBorder="1" applyAlignment="1">
      <alignment/>
    </xf>
    <xf numFmtId="3" fontId="177" fillId="0" borderId="0" xfId="0" applyNumberFormat="1" applyFont="1" applyAlignment="1">
      <alignment/>
    </xf>
    <xf numFmtId="3" fontId="10" fillId="33" borderId="10" xfId="85" applyNumberFormat="1" applyFont="1" applyFill="1" applyBorder="1" applyAlignment="1">
      <alignment horizontal="center" vertical="center" wrapText="1"/>
      <protection/>
    </xf>
    <xf numFmtId="3" fontId="10" fillId="0" borderId="0" xfId="85" applyNumberFormat="1" applyFont="1" applyFill="1" applyBorder="1" applyAlignment="1">
      <alignment horizontal="center" vertical="center" wrapText="1"/>
      <protection/>
    </xf>
    <xf numFmtId="0" fontId="0" fillId="0" borderId="10" xfId="0" applyBorder="1" applyAlignment="1">
      <alignment/>
    </xf>
    <xf numFmtId="3" fontId="0" fillId="43" borderId="10" xfId="0" applyNumberFormat="1" applyFill="1" applyBorder="1" applyAlignment="1">
      <alignment/>
    </xf>
    <xf numFmtId="0" fontId="20" fillId="42" borderId="51" xfId="0" applyFont="1" applyFill="1" applyBorder="1" applyAlignment="1">
      <alignment vertical="center" wrapText="1"/>
    </xf>
    <xf numFmtId="0" fontId="20" fillId="42" borderId="76" xfId="0" applyFont="1" applyFill="1" applyBorder="1" applyAlignment="1">
      <alignment vertical="center" wrapText="1"/>
    </xf>
    <xf numFmtId="0" fontId="20" fillId="42" borderId="47" xfId="0" applyFont="1" applyFill="1" applyBorder="1" applyAlignment="1">
      <alignment vertical="center" wrapText="1"/>
    </xf>
    <xf numFmtId="3" fontId="72" fillId="0" borderId="10" xfId="85" applyNumberFormat="1" applyFont="1" applyFill="1" applyBorder="1" applyAlignment="1">
      <alignment vertical="center" wrapText="1"/>
      <protection/>
    </xf>
    <xf numFmtId="0" fontId="20" fillId="0" borderId="50" xfId="0" applyFont="1" applyBorder="1" applyAlignment="1">
      <alignment horizontal="center" vertical="center" wrapText="1"/>
    </xf>
    <xf numFmtId="49" fontId="72" fillId="34" borderId="50" xfId="83" applyNumberFormat="1" applyFont="1" applyFill="1" applyBorder="1" applyAlignment="1">
      <alignment horizontal="center" vertical="center" wrapText="1"/>
      <protection/>
    </xf>
    <xf numFmtId="3" fontId="72" fillId="34" borderId="50" xfId="83" applyNumberFormat="1" applyFont="1" applyFill="1" applyBorder="1" applyAlignment="1">
      <alignment horizontal="center" vertical="center" wrapText="1"/>
      <protection/>
    </xf>
    <xf numFmtId="0" fontId="72" fillId="34" borderId="10" xfId="83" applyFont="1" applyFill="1" applyBorder="1" applyAlignment="1">
      <alignment horizontal="center" vertical="center" wrapText="1"/>
      <protection/>
    </xf>
    <xf numFmtId="0" fontId="166" fillId="0" borderId="10" xfId="0" applyFont="1" applyBorder="1" applyAlignment="1">
      <alignment horizontal="center" vertical="center" wrapText="1"/>
    </xf>
    <xf numFmtId="0" fontId="154" fillId="0" borderId="50" xfId="0" applyFont="1" applyBorder="1" applyAlignment="1">
      <alignment horizontal="center" vertical="center" wrapText="1"/>
    </xf>
    <xf numFmtId="0" fontId="151" fillId="0" borderId="10" xfId="0" applyFont="1" applyBorder="1" applyAlignment="1">
      <alignment horizontal="center" vertical="center" wrapText="1"/>
    </xf>
    <xf numFmtId="0" fontId="150" fillId="0" borderId="10" xfId="0" applyFont="1" applyBorder="1" applyAlignment="1">
      <alignment horizontal="center" vertical="center" wrapText="1"/>
    </xf>
    <xf numFmtId="0" fontId="150" fillId="0" borderId="10" xfId="0" applyFont="1" applyBorder="1" applyAlignment="1">
      <alignment horizontal="justify" vertical="center" wrapText="1"/>
    </xf>
    <xf numFmtId="0" fontId="162" fillId="0" borderId="10" xfId="0" applyFont="1" applyBorder="1" applyAlignment="1">
      <alignment horizontal="center" vertical="center" wrapText="1"/>
    </xf>
    <xf numFmtId="0" fontId="161" fillId="0" borderId="49" xfId="0" applyFont="1" applyBorder="1" applyAlignment="1">
      <alignment horizontal="center" vertical="center" wrapText="1"/>
    </xf>
    <xf numFmtId="0" fontId="150" fillId="0" borderId="50" xfId="0" applyFont="1" applyBorder="1" applyAlignment="1">
      <alignment horizontal="center" vertical="center"/>
    </xf>
    <xf numFmtId="3" fontId="165" fillId="0" borderId="16" xfId="0" applyNumberFormat="1" applyFont="1" applyFill="1" applyBorder="1" applyAlignment="1">
      <alignment horizontal="center" vertical="center" wrapText="1"/>
    </xf>
    <xf numFmtId="3" fontId="166" fillId="0" borderId="16" xfId="0" applyNumberFormat="1" applyFont="1" applyBorder="1" applyAlignment="1">
      <alignment horizontal="center" vertical="center" wrapText="1"/>
    </xf>
    <xf numFmtId="3" fontId="166" fillId="0" borderId="67" xfId="0" applyNumberFormat="1" applyFont="1" applyBorder="1" applyAlignment="1">
      <alignment horizontal="center" vertical="center" wrapText="1"/>
    </xf>
    <xf numFmtId="3" fontId="150" fillId="0" borderId="10" xfId="0" applyNumberFormat="1" applyFont="1" applyBorder="1" applyAlignment="1">
      <alignment horizontal="center" vertical="center" wrapText="1"/>
    </xf>
    <xf numFmtId="3" fontId="0" fillId="0" borderId="50" xfId="0" applyNumberFormat="1" applyBorder="1" applyAlignment="1">
      <alignment horizontal="center" vertical="center"/>
    </xf>
    <xf numFmtId="3" fontId="0" fillId="0" borderId="54" xfId="0" applyNumberFormat="1" applyBorder="1" applyAlignment="1">
      <alignment horizontal="center" vertical="center"/>
    </xf>
    <xf numFmtId="0" fontId="150" fillId="0" borderId="10" xfId="0" applyFont="1" applyBorder="1" applyAlignment="1">
      <alignment horizontal="center"/>
    </xf>
    <xf numFmtId="0" fontId="166" fillId="0" borderId="50" xfId="0" applyFont="1" applyBorder="1" applyAlignment="1">
      <alignment horizontal="center" vertical="center" wrapText="1"/>
    </xf>
    <xf numFmtId="0" fontId="150" fillId="0" borderId="10" xfId="0" applyFont="1" applyBorder="1" applyAlignment="1">
      <alignment vertical="center"/>
    </xf>
    <xf numFmtId="0" fontId="178" fillId="33" borderId="57" xfId="0" applyFont="1" applyFill="1" applyBorder="1" applyAlignment="1">
      <alignment horizontal="center" vertical="center" wrapText="1"/>
    </xf>
    <xf numFmtId="0" fontId="178" fillId="33" borderId="54" xfId="0" applyFont="1" applyFill="1" applyBorder="1" applyAlignment="1">
      <alignment horizontal="center" vertical="center" wrapText="1"/>
    </xf>
    <xf numFmtId="0" fontId="178" fillId="33" borderId="83" xfId="0" applyFont="1" applyFill="1" applyBorder="1" applyAlignment="1">
      <alignment horizontal="center" vertical="center" wrapText="1"/>
    </xf>
    <xf numFmtId="0" fontId="178" fillId="33" borderId="80" xfId="0" applyFont="1" applyFill="1" applyBorder="1" applyAlignment="1">
      <alignment horizontal="center" vertical="center" wrapText="1"/>
    </xf>
    <xf numFmtId="0" fontId="150" fillId="0" borderId="0" xfId="0" applyFont="1" applyBorder="1" applyAlignment="1">
      <alignment horizontal="center" vertical="center" wrapText="1"/>
    </xf>
    <xf numFmtId="3" fontId="0" fillId="0" borderId="57" xfId="0" applyNumberFormat="1" applyBorder="1" applyAlignment="1">
      <alignment horizontal="center" vertical="center"/>
    </xf>
    <xf numFmtId="0" fontId="73" fillId="0" borderId="0" xfId="0" applyFont="1" applyFill="1" applyBorder="1" applyAlignment="1">
      <alignment horizontal="left" vertical="center" wrapText="1"/>
    </xf>
    <xf numFmtId="0" fontId="73" fillId="0" borderId="80" xfId="0" applyFont="1" applyFill="1" applyBorder="1" applyAlignment="1">
      <alignment horizontal="left" vertical="center" wrapText="1"/>
    </xf>
    <xf numFmtId="3" fontId="0" fillId="0" borderId="55" xfId="0" applyNumberFormat="1" applyFill="1" applyBorder="1" applyAlignment="1">
      <alignment horizontal="center" vertical="center"/>
    </xf>
    <xf numFmtId="3" fontId="0" fillId="0" borderId="87" xfId="0" applyNumberFormat="1" applyFill="1" applyBorder="1" applyAlignment="1">
      <alignment horizontal="center" vertical="center"/>
    </xf>
    <xf numFmtId="0" fontId="73" fillId="0" borderId="10" xfId="0" applyFont="1" applyFill="1" applyBorder="1" applyAlignment="1">
      <alignment horizontal="left" vertical="center" wrapText="1"/>
    </xf>
    <xf numFmtId="0" fontId="78" fillId="0" borderId="10" xfId="0" applyFont="1" applyFill="1" applyBorder="1" applyAlignment="1">
      <alignment horizontal="center" vertical="center" wrapText="1"/>
    </xf>
    <xf numFmtId="3" fontId="6" fillId="43" borderId="0" xfId="82" applyNumberFormat="1" applyFont="1" applyFill="1" applyAlignment="1">
      <alignment horizontal="center"/>
      <protection/>
    </xf>
    <xf numFmtId="3" fontId="169" fillId="28" borderId="10" xfId="0" applyNumberFormat="1" applyFont="1" applyFill="1" applyBorder="1" applyAlignment="1">
      <alignment horizontal="center" vertical="center"/>
    </xf>
    <xf numFmtId="3" fontId="169" fillId="28" borderId="50" xfId="0" applyNumberFormat="1" applyFont="1" applyFill="1" applyBorder="1" applyAlignment="1">
      <alignment horizontal="center" vertical="center"/>
    </xf>
    <xf numFmtId="3" fontId="169" fillId="28" borderId="49" xfId="0" applyNumberFormat="1" applyFont="1" applyFill="1" applyBorder="1" applyAlignment="1">
      <alignment horizontal="center" vertical="center"/>
    </xf>
    <xf numFmtId="3" fontId="169" fillId="28" borderId="52" xfId="0" applyNumberFormat="1" applyFont="1" applyFill="1" applyBorder="1" applyAlignment="1">
      <alignment horizontal="center" vertical="center"/>
    </xf>
    <xf numFmtId="3" fontId="169" fillId="28" borderId="75" xfId="0" applyNumberFormat="1" applyFont="1" applyFill="1" applyBorder="1" applyAlignment="1">
      <alignment horizontal="center" vertical="center"/>
    </xf>
    <xf numFmtId="3" fontId="36" fillId="0" borderId="0" xfId="82" applyNumberFormat="1" applyFont="1" applyAlignment="1">
      <alignment horizontal="center"/>
      <protection/>
    </xf>
    <xf numFmtId="3" fontId="36" fillId="0" borderId="0" xfId="82" applyNumberFormat="1" applyFont="1" applyBorder="1" applyAlignment="1">
      <alignment horizontal="center"/>
      <protection/>
    </xf>
    <xf numFmtId="3" fontId="146" fillId="0" borderId="10" xfId="0" applyNumberFormat="1" applyFont="1" applyBorder="1" applyAlignment="1">
      <alignment horizontal="center" vertical="center"/>
    </xf>
    <xf numFmtId="1" fontId="6" fillId="34" borderId="55" xfId="74" applyNumberFormat="1" applyFont="1" applyFill="1" applyBorder="1" applyAlignment="1">
      <alignment horizontal="center" vertical="center"/>
    </xf>
    <xf numFmtId="1" fontId="6" fillId="34" borderId="58" xfId="74" applyNumberFormat="1" applyFont="1" applyFill="1" applyBorder="1" applyAlignment="1">
      <alignment horizontal="center" vertical="center"/>
    </xf>
    <xf numFmtId="0" fontId="67" fillId="0" borderId="0" xfId="82" applyFont="1" applyAlignment="1">
      <alignment horizontal="center"/>
      <protection/>
    </xf>
    <xf numFmtId="49" fontId="6" fillId="34" borderId="59" xfId="74" applyNumberFormat="1" applyFont="1" applyFill="1" applyBorder="1" applyAlignment="1">
      <alignment horizontal="center" vertical="center"/>
    </xf>
    <xf numFmtId="49" fontId="6" fillId="34" borderId="71" xfId="74" applyNumberFormat="1" applyFont="1" applyFill="1" applyBorder="1" applyAlignment="1">
      <alignment horizontal="center" vertical="center"/>
    </xf>
    <xf numFmtId="1" fontId="6" fillId="0" borderId="55" xfId="74" applyNumberFormat="1" applyFont="1" applyFill="1" applyBorder="1" applyAlignment="1">
      <alignment horizontal="center" vertical="center"/>
    </xf>
    <xf numFmtId="1" fontId="6" fillId="0" borderId="58" xfId="74" applyNumberFormat="1" applyFont="1" applyFill="1" applyBorder="1" applyAlignment="1">
      <alignment horizontal="center" vertical="center"/>
    </xf>
    <xf numFmtId="49" fontId="6" fillId="34" borderId="74" xfId="74" applyNumberFormat="1" applyFont="1" applyFill="1" applyBorder="1" applyAlignment="1">
      <alignment horizontal="center" vertical="center"/>
    </xf>
    <xf numFmtId="49" fontId="6" fillId="34" borderId="77" xfId="74" applyNumberFormat="1" applyFont="1" applyFill="1" applyBorder="1" applyAlignment="1">
      <alignment horizontal="center" vertical="center"/>
    </xf>
    <xf numFmtId="0" fontId="67" fillId="0" borderId="0" xfId="82" applyFont="1" applyAlignment="1">
      <alignment horizontal="center" vertical="center" wrapText="1"/>
      <protection/>
    </xf>
    <xf numFmtId="49" fontId="6" fillId="34" borderId="55" xfId="74" applyNumberFormat="1" applyFont="1" applyFill="1" applyBorder="1" applyAlignment="1">
      <alignment horizontal="center" vertical="center"/>
    </xf>
    <xf numFmtId="49" fontId="6" fillId="34" borderId="58" xfId="74" applyNumberFormat="1" applyFont="1" applyFill="1" applyBorder="1" applyAlignment="1">
      <alignment horizontal="center" vertical="center"/>
    </xf>
    <xf numFmtId="0" fontId="4" fillId="43" borderId="10" xfId="87" applyFont="1" applyFill="1" applyBorder="1" applyAlignment="1">
      <alignment horizontal="left"/>
      <protection/>
    </xf>
    <xf numFmtId="0" fontId="4" fillId="43" borderId="50" xfId="87" applyFont="1" applyFill="1" applyBorder="1" applyAlignment="1">
      <alignment horizontal="left"/>
      <protection/>
    </xf>
    <xf numFmtId="0" fontId="4" fillId="43" borderId="10" xfId="87" applyFont="1" applyFill="1" applyBorder="1" applyAlignment="1">
      <alignment horizontal="center"/>
      <protection/>
    </xf>
    <xf numFmtId="0" fontId="166" fillId="0" borderId="50" xfId="0" applyFont="1" applyBorder="1" applyAlignment="1">
      <alignment horizontal="center" vertical="center" wrapText="1"/>
    </xf>
    <xf numFmtId="0" fontId="166" fillId="0" borderId="54" xfId="0" applyFont="1" applyBorder="1" applyAlignment="1">
      <alignment horizontal="center" vertical="center" wrapText="1"/>
    </xf>
    <xf numFmtId="0" fontId="166" fillId="0" borderId="49" xfId="0" applyFont="1" applyBorder="1" applyAlignment="1">
      <alignment horizontal="center" vertical="center" wrapText="1"/>
    </xf>
    <xf numFmtId="3" fontId="166" fillId="0" borderId="53" xfId="0" applyNumberFormat="1" applyFont="1" applyBorder="1" applyAlignment="1">
      <alignment horizontal="center" vertical="center" wrapText="1"/>
    </xf>
    <xf numFmtId="3" fontId="166" fillId="0" borderId="10" xfId="0" applyNumberFormat="1" applyFont="1" applyBorder="1" applyAlignment="1">
      <alignment horizontal="center" vertical="center" wrapText="1"/>
    </xf>
    <xf numFmtId="3" fontId="166" fillId="0" borderId="33" xfId="0" applyNumberFormat="1" applyFont="1" applyBorder="1" applyAlignment="1">
      <alignment horizontal="center" vertical="center" wrapText="1"/>
    </xf>
    <xf numFmtId="3" fontId="166" fillId="0" borderId="16" xfId="0" applyNumberFormat="1" applyFont="1" applyBorder="1" applyAlignment="1">
      <alignment horizontal="center" vertical="center" wrapText="1"/>
    </xf>
    <xf numFmtId="3" fontId="166" fillId="0" borderId="66" xfId="0" applyNumberFormat="1" applyFont="1" applyBorder="1" applyAlignment="1">
      <alignment horizontal="center" vertical="center" wrapText="1"/>
    </xf>
    <xf numFmtId="3" fontId="166" fillId="0" borderId="34" xfId="0" applyNumberFormat="1" applyFont="1" applyBorder="1" applyAlignment="1">
      <alignment horizontal="center" vertical="center" wrapText="1"/>
    </xf>
    <xf numFmtId="0" fontId="179" fillId="45" borderId="0" xfId="0" applyFont="1" applyFill="1" applyBorder="1" applyAlignment="1">
      <alignment horizontal="center" wrapText="1"/>
    </xf>
    <xf numFmtId="0" fontId="179" fillId="45" borderId="57" xfId="0" applyFont="1" applyFill="1" applyBorder="1" applyAlignment="1">
      <alignment horizontal="center" wrapText="1"/>
    </xf>
    <xf numFmtId="0" fontId="180" fillId="42" borderId="56" xfId="0" applyFont="1" applyFill="1" applyBorder="1" applyAlignment="1">
      <alignment horizontal="center" vertical="center" wrapText="1"/>
    </xf>
    <xf numFmtId="0" fontId="180" fillId="42" borderId="55" xfId="0" applyFont="1" applyFill="1" applyBorder="1" applyAlignment="1">
      <alignment horizontal="center" vertical="center" wrapText="1"/>
    </xf>
    <xf numFmtId="0" fontId="181" fillId="44" borderId="56" xfId="0" applyFont="1" applyFill="1" applyBorder="1" applyAlignment="1">
      <alignment horizontal="center"/>
    </xf>
    <xf numFmtId="0" fontId="181" fillId="44" borderId="60" xfId="0" applyFont="1" applyFill="1" applyBorder="1" applyAlignment="1">
      <alignment horizontal="center"/>
    </xf>
    <xf numFmtId="0" fontId="73" fillId="45" borderId="56" xfId="0" applyFont="1" applyFill="1" applyBorder="1" applyAlignment="1">
      <alignment horizontal="center" vertical="center" wrapText="1"/>
    </xf>
    <xf numFmtId="0" fontId="73" fillId="45" borderId="60" xfId="0" applyFont="1" applyFill="1" applyBorder="1" applyAlignment="1">
      <alignment horizontal="center" vertical="center" wrapText="1"/>
    </xf>
    <xf numFmtId="0" fontId="73" fillId="33" borderId="56" xfId="0" applyFont="1" applyFill="1" applyBorder="1" applyAlignment="1">
      <alignment horizontal="center" vertical="center" wrapText="1"/>
    </xf>
    <xf numFmtId="0" fontId="73" fillId="33" borderId="60" xfId="0" applyFont="1" applyFill="1" applyBorder="1" applyAlignment="1">
      <alignment horizontal="center" vertical="center" wrapText="1"/>
    </xf>
    <xf numFmtId="0" fontId="73" fillId="33" borderId="54" xfId="0" applyFont="1" applyFill="1" applyBorder="1" applyAlignment="1">
      <alignment horizontal="center" vertical="center" wrapText="1"/>
    </xf>
    <xf numFmtId="3" fontId="166" fillId="0" borderId="50" xfId="0" applyNumberFormat="1" applyFont="1" applyBorder="1" applyAlignment="1">
      <alignment horizontal="center" vertical="center" wrapText="1"/>
    </xf>
    <xf numFmtId="3" fontId="166" fillId="0" borderId="55" xfId="0" applyNumberFormat="1" applyFont="1" applyFill="1" applyBorder="1" applyAlignment="1">
      <alignment horizontal="center" vertical="center" wrapText="1"/>
    </xf>
    <xf numFmtId="3" fontId="166" fillId="0" borderId="54" xfId="0" applyNumberFormat="1" applyFont="1" applyFill="1" applyBorder="1" applyAlignment="1">
      <alignment horizontal="center" vertical="center" wrapText="1"/>
    </xf>
    <xf numFmtId="3" fontId="166" fillId="0" borderId="58" xfId="0" applyNumberFormat="1" applyFont="1" applyFill="1" applyBorder="1" applyAlignment="1">
      <alignment horizontal="center" vertical="center" wrapText="1"/>
    </xf>
    <xf numFmtId="3" fontId="166" fillId="0" borderId="59" xfId="0" applyNumberFormat="1" applyFont="1" applyFill="1" applyBorder="1" applyAlignment="1">
      <alignment horizontal="center" vertical="center" wrapText="1"/>
    </xf>
    <xf numFmtId="3" fontId="166" fillId="0" borderId="82" xfId="0" applyNumberFormat="1" applyFont="1" applyFill="1" applyBorder="1" applyAlignment="1">
      <alignment horizontal="center" vertical="center" wrapText="1"/>
    </xf>
    <xf numFmtId="3" fontId="166" fillId="0" borderId="71" xfId="0" applyNumberFormat="1" applyFont="1" applyFill="1" applyBorder="1" applyAlignment="1">
      <alignment horizontal="center" vertical="center" wrapText="1"/>
    </xf>
    <xf numFmtId="0" fontId="179" fillId="33" borderId="74" xfId="0" applyFont="1" applyFill="1" applyBorder="1" applyAlignment="1">
      <alignment horizontal="center"/>
    </xf>
    <xf numFmtId="0" fontId="179" fillId="33" borderId="55" xfId="0" applyFont="1" applyFill="1" applyBorder="1" applyAlignment="1">
      <alignment horizontal="center"/>
    </xf>
    <xf numFmtId="0" fontId="178" fillId="33" borderId="56" xfId="0" applyFont="1" applyFill="1" applyBorder="1" applyAlignment="1">
      <alignment horizontal="center" vertical="center" wrapText="1"/>
    </xf>
    <xf numFmtId="0" fontId="178" fillId="33" borderId="60" xfId="0" applyFont="1" applyFill="1" applyBorder="1" applyAlignment="1">
      <alignment horizontal="center" vertical="center" wrapText="1"/>
    </xf>
    <xf numFmtId="3" fontId="166" fillId="0" borderId="53" xfId="0" applyNumberFormat="1" applyFont="1" applyFill="1" applyBorder="1" applyAlignment="1">
      <alignment horizontal="center" vertical="center" wrapText="1"/>
    </xf>
    <xf numFmtId="3" fontId="166" fillId="0" borderId="10" xfId="0" applyNumberFormat="1" applyFont="1" applyFill="1" applyBorder="1" applyAlignment="1">
      <alignment horizontal="center" vertical="center" wrapText="1"/>
    </xf>
    <xf numFmtId="3" fontId="166" fillId="0" borderId="34" xfId="0" applyNumberFormat="1" applyFont="1" applyFill="1" applyBorder="1" applyAlignment="1">
      <alignment horizontal="center" vertical="center" wrapText="1"/>
    </xf>
    <xf numFmtId="3" fontId="166" fillId="0" borderId="66" xfId="0" applyNumberFormat="1" applyFont="1" applyFill="1" applyBorder="1" applyAlignment="1">
      <alignment horizontal="center" vertical="center" wrapText="1"/>
    </xf>
    <xf numFmtId="0" fontId="178" fillId="33" borderId="45" xfId="0" applyFont="1" applyFill="1" applyBorder="1" applyAlignment="1">
      <alignment horizontal="center" vertical="center" wrapText="1"/>
    </xf>
    <xf numFmtId="0" fontId="178" fillId="33" borderId="18" xfId="0" applyFont="1" applyFill="1" applyBorder="1" applyAlignment="1">
      <alignment horizontal="center" vertical="center" wrapText="1"/>
    </xf>
    <xf numFmtId="0" fontId="178" fillId="33" borderId="44" xfId="0" applyFont="1" applyFill="1" applyBorder="1" applyAlignment="1">
      <alignment horizontal="center" vertical="center" wrapText="1"/>
    </xf>
    <xf numFmtId="3" fontId="166" fillId="0" borderId="86" xfId="0" applyNumberFormat="1" applyFont="1" applyBorder="1" applyAlignment="1">
      <alignment horizontal="center" vertical="center" wrapText="1"/>
    </xf>
    <xf numFmtId="3" fontId="166" fillId="0" borderId="37" xfId="0" applyNumberFormat="1" applyFont="1" applyBorder="1" applyAlignment="1">
      <alignment horizontal="center" vertical="center" wrapText="1"/>
    </xf>
    <xf numFmtId="0" fontId="163" fillId="33" borderId="56" xfId="0" applyFont="1" applyFill="1" applyBorder="1" applyAlignment="1">
      <alignment horizontal="center" vertical="center" wrapText="1"/>
    </xf>
    <xf numFmtId="0" fontId="163" fillId="33" borderId="60" xfId="0" applyFont="1" applyFill="1" applyBorder="1" applyAlignment="1">
      <alignment horizontal="center" vertical="center" wrapText="1"/>
    </xf>
    <xf numFmtId="0" fontId="163" fillId="33" borderId="58" xfId="0" applyFont="1" applyFill="1" applyBorder="1" applyAlignment="1">
      <alignment horizontal="center" vertical="center" wrapText="1"/>
    </xf>
    <xf numFmtId="3" fontId="166" fillId="0" borderId="49" xfId="0" applyNumberFormat="1" applyFont="1" applyBorder="1" applyAlignment="1">
      <alignment horizontal="center" vertical="center" wrapText="1"/>
    </xf>
    <xf numFmtId="3" fontId="166" fillId="0" borderId="17" xfId="0" applyNumberFormat="1" applyFont="1" applyBorder="1" applyAlignment="1">
      <alignment horizontal="center" vertical="center" wrapText="1"/>
    </xf>
    <xf numFmtId="3" fontId="166" fillId="0" borderId="78" xfId="0" applyNumberFormat="1" applyFont="1" applyBorder="1" applyAlignment="1">
      <alignment horizontal="center" vertical="center" wrapText="1"/>
    </xf>
    <xf numFmtId="0" fontId="73" fillId="33" borderId="74" xfId="0" applyFont="1" applyFill="1" applyBorder="1" applyAlignment="1">
      <alignment horizontal="center" vertical="center" wrapText="1"/>
    </xf>
    <xf numFmtId="0" fontId="73" fillId="33" borderId="55" xfId="0" applyFont="1" applyFill="1" applyBorder="1" applyAlignment="1">
      <alignment horizontal="center" vertical="center" wrapText="1"/>
    </xf>
    <xf numFmtId="3" fontId="166" fillId="0" borderId="33" xfId="0" applyNumberFormat="1" applyFont="1" applyFill="1" applyBorder="1" applyAlignment="1">
      <alignment horizontal="center" vertical="center" wrapText="1"/>
    </xf>
    <xf numFmtId="3" fontId="166" fillId="0" borderId="16" xfId="0" applyNumberFormat="1" applyFont="1" applyFill="1" applyBorder="1" applyAlignment="1">
      <alignment horizontal="center" vertical="center" wrapText="1"/>
    </xf>
    <xf numFmtId="0" fontId="73" fillId="33" borderId="40" xfId="0" applyFont="1" applyFill="1" applyBorder="1" applyAlignment="1">
      <alignment horizontal="left" vertical="center" wrapText="1"/>
    </xf>
    <xf numFmtId="0" fontId="73" fillId="33" borderId="84" xfId="0" applyFont="1" applyFill="1" applyBorder="1" applyAlignment="1">
      <alignment horizontal="left" vertical="center" wrapText="1"/>
    </xf>
    <xf numFmtId="0" fontId="73" fillId="33" borderId="18" xfId="0" applyFont="1" applyFill="1" applyBorder="1" applyAlignment="1">
      <alignment horizontal="left" vertical="center" wrapText="1"/>
    </xf>
    <xf numFmtId="0" fontId="73" fillId="33" borderId="63" xfId="0" applyFont="1" applyFill="1" applyBorder="1" applyAlignment="1">
      <alignment horizontal="left" vertical="center" wrapText="1"/>
    </xf>
    <xf numFmtId="3" fontId="157" fillId="0" borderId="34" xfId="0" applyNumberFormat="1" applyFont="1" applyFill="1" applyBorder="1" applyAlignment="1">
      <alignment horizontal="center" vertical="center" wrapText="1"/>
    </xf>
    <xf numFmtId="3" fontId="157" fillId="0" borderId="66" xfId="0" applyNumberFormat="1" applyFont="1" applyFill="1" applyBorder="1" applyAlignment="1">
      <alignment horizontal="center" vertical="center" wrapText="1"/>
    </xf>
    <xf numFmtId="3" fontId="157" fillId="0" borderId="78" xfId="0" applyNumberFormat="1" applyFont="1" applyFill="1" applyBorder="1" applyAlignment="1">
      <alignment horizontal="center" vertical="center" wrapText="1"/>
    </xf>
    <xf numFmtId="0" fontId="77" fillId="45" borderId="45" xfId="0" applyFont="1" applyFill="1" applyBorder="1" applyAlignment="1">
      <alignment horizontal="left" vertical="center" wrapText="1"/>
    </xf>
    <xf numFmtId="0" fontId="77" fillId="45" borderId="18" xfId="0" applyFont="1" applyFill="1" applyBorder="1" applyAlignment="1">
      <alignment horizontal="left" vertical="center" wrapText="1"/>
    </xf>
    <xf numFmtId="0" fontId="77" fillId="45" borderId="63" xfId="0" applyFont="1" applyFill="1" applyBorder="1" applyAlignment="1">
      <alignment horizontal="left" vertical="center" wrapText="1"/>
    </xf>
    <xf numFmtId="3" fontId="157" fillId="0" borderId="53" xfId="0" applyNumberFormat="1" applyFont="1" applyFill="1" applyBorder="1" applyAlignment="1">
      <alignment horizontal="center" vertical="center" wrapText="1"/>
    </xf>
    <xf numFmtId="3" fontId="157" fillId="0" borderId="10" xfId="0" applyNumberFormat="1" applyFont="1" applyFill="1" applyBorder="1" applyAlignment="1">
      <alignment horizontal="center" vertical="center" wrapText="1"/>
    </xf>
    <xf numFmtId="3" fontId="157" fillId="0" borderId="50" xfId="0" applyNumberFormat="1" applyFont="1" applyFill="1" applyBorder="1" applyAlignment="1">
      <alignment horizontal="center" vertical="center" wrapText="1"/>
    </xf>
    <xf numFmtId="3" fontId="166" fillId="0" borderId="53" xfId="0" applyNumberFormat="1" applyFont="1" applyBorder="1" applyAlignment="1">
      <alignment horizontal="center" vertical="center"/>
    </xf>
    <xf numFmtId="3" fontId="166" fillId="0" borderId="10" xfId="0" applyNumberFormat="1" applyFont="1" applyBorder="1" applyAlignment="1">
      <alignment horizontal="center" vertical="center"/>
    </xf>
    <xf numFmtId="3" fontId="166" fillId="0" borderId="34" xfId="0" applyNumberFormat="1" applyFont="1" applyBorder="1" applyAlignment="1">
      <alignment horizontal="center" vertical="center"/>
    </xf>
    <xf numFmtId="3" fontId="166" fillId="0" borderId="66" xfId="0" applyNumberFormat="1" applyFont="1" applyBorder="1" applyAlignment="1">
      <alignment horizontal="center" vertical="center"/>
    </xf>
    <xf numFmtId="0" fontId="71" fillId="33" borderId="45" xfId="0" applyFont="1" applyFill="1" applyBorder="1" applyAlignment="1">
      <alignment horizontal="left" vertical="center" wrapText="1"/>
    </xf>
    <xf numFmtId="0" fontId="71" fillId="33" borderId="18" xfId="0" applyFont="1" applyFill="1" applyBorder="1" applyAlignment="1">
      <alignment horizontal="left" vertical="center" wrapText="1"/>
    </xf>
    <xf numFmtId="0" fontId="71" fillId="33" borderId="63" xfId="0" applyFont="1" applyFill="1" applyBorder="1" applyAlignment="1">
      <alignment horizontal="left" vertical="center" wrapText="1"/>
    </xf>
    <xf numFmtId="3" fontId="157" fillId="0" borderId="33" xfId="0" applyNumberFormat="1" applyFont="1" applyFill="1" applyBorder="1" applyAlignment="1">
      <alignment horizontal="center" vertical="center" wrapText="1"/>
    </xf>
    <xf numFmtId="3" fontId="157" fillId="0" borderId="16" xfId="0" applyNumberFormat="1" applyFont="1" applyFill="1" applyBorder="1" applyAlignment="1">
      <alignment horizontal="center" vertical="center" wrapText="1"/>
    </xf>
    <xf numFmtId="3" fontId="157" fillId="0" borderId="67" xfId="0" applyNumberFormat="1" applyFont="1" applyFill="1" applyBorder="1" applyAlignment="1">
      <alignment horizontal="center" vertical="center" wrapText="1"/>
    </xf>
    <xf numFmtId="0" fontId="182" fillId="33" borderId="51" xfId="0" applyFont="1" applyFill="1" applyBorder="1" applyAlignment="1">
      <alignment horizontal="center" vertical="center" wrapText="1"/>
    </xf>
    <xf numFmtId="0" fontId="182" fillId="33" borderId="76" xfId="0" applyFont="1" applyFill="1" applyBorder="1" applyAlignment="1">
      <alignment horizontal="center" vertical="center" wrapText="1"/>
    </xf>
    <xf numFmtId="0" fontId="182" fillId="33" borderId="64" xfId="0" applyFont="1" applyFill="1" applyBorder="1" applyAlignment="1">
      <alignment horizontal="center" vertical="center" wrapText="1"/>
    </xf>
    <xf numFmtId="0" fontId="178" fillId="33" borderId="55" xfId="0" applyFont="1" applyFill="1" applyBorder="1" applyAlignment="1">
      <alignment horizontal="center" vertical="center" wrapText="1"/>
    </xf>
    <xf numFmtId="0" fontId="178" fillId="33" borderId="41" xfId="0" applyFont="1" applyFill="1" applyBorder="1" applyAlignment="1">
      <alignment horizontal="center" vertical="center" wrapText="1"/>
    </xf>
    <xf numFmtId="0" fontId="178" fillId="33" borderId="61" xfId="0" applyFont="1" applyFill="1" applyBorder="1" applyAlignment="1">
      <alignment horizontal="center" vertical="center" wrapText="1"/>
    </xf>
    <xf numFmtId="0" fontId="178" fillId="33" borderId="20" xfId="0" applyFont="1" applyFill="1" applyBorder="1" applyAlignment="1">
      <alignment horizontal="center" vertical="center" wrapText="1"/>
    </xf>
    <xf numFmtId="0" fontId="152" fillId="33" borderId="56" xfId="0" applyFont="1" applyFill="1" applyBorder="1" applyAlignment="1">
      <alignment horizontal="center" vertical="center" wrapText="1"/>
    </xf>
    <xf numFmtId="0" fontId="152" fillId="33" borderId="60" xfId="0" applyFont="1" applyFill="1" applyBorder="1" applyAlignment="1">
      <alignment horizontal="center" vertical="center" wrapText="1"/>
    </xf>
    <xf numFmtId="0" fontId="152" fillId="33" borderId="55" xfId="0" applyFont="1" applyFill="1" applyBorder="1" applyAlignment="1">
      <alignment horizontal="center" vertical="center" wrapText="1"/>
    </xf>
    <xf numFmtId="0" fontId="163" fillId="0" borderId="50" xfId="0" applyFont="1" applyBorder="1" applyAlignment="1">
      <alignment horizontal="left" vertical="center" wrapText="1"/>
    </xf>
    <xf numFmtId="0" fontId="163" fillId="0" borderId="49" xfId="0" applyFont="1" applyBorder="1" applyAlignment="1">
      <alignment horizontal="left" vertical="center" wrapText="1"/>
    </xf>
    <xf numFmtId="3" fontId="165" fillId="0" borderId="54" xfId="0" applyNumberFormat="1" applyFont="1" applyFill="1" applyBorder="1" applyAlignment="1">
      <alignment horizontal="center" vertical="center" wrapText="1"/>
    </xf>
    <xf numFmtId="3" fontId="165" fillId="0" borderId="10" xfId="0" applyNumberFormat="1" applyFont="1" applyFill="1" applyBorder="1" applyAlignment="1">
      <alignment horizontal="center" vertical="center" wrapText="1"/>
    </xf>
    <xf numFmtId="3" fontId="165" fillId="0" borderId="66" xfId="0" applyNumberFormat="1" applyFont="1" applyFill="1" applyBorder="1" applyAlignment="1">
      <alignment horizontal="center" vertical="center" wrapText="1"/>
    </xf>
    <xf numFmtId="3" fontId="165" fillId="0" borderId="34" xfId="0" applyNumberFormat="1" applyFont="1" applyFill="1" applyBorder="1" applyAlignment="1">
      <alignment horizontal="center" vertical="center" wrapText="1"/>
    </xf>
    <xf numFmtId="3" fontId="165" fillId="0" borderId="53" xfId="0" applyNumberFormat="1" applyFont="1" applyFill="1" applyBorder="1" applyAlignment="1">
      <alignment horizontal="center" vertical="center" wrapText="1"/>
    </xf>
    <xf numFmtId="3" fontId="165" fillId="0" borderId="17" xfId="0" applyNumberFormat="1" applyFont="1" applyFill="1" applyBorder="1" applyAlignment="1">
      <alignment horizontal="center" vertical="center" wrapText="1"/>
    </xf>
    <xf numFmtId="3" fontId="165" fillId="0" borderId="37" xfId="0" applyNumberFormat="1" applyFont="1" applyFill="1" applyBorder="1" applyAlignment="1">
      <alignment horizontal="center" vertical="center" wrapText="1"/>
    </xf>
    <xf numFmtId="3" fontId="168" fillId="0" borderId="66" xfId="0" applyNumberFormat="1" applyFont="1" applyFill="1" applyBorder="1" applyAlignment="1">
      <alignment horizontal="center" vertical="center" wrapText="1"/>
    </xf>
    <xf numFmtId="3" fontId="168" fillId="0" borderId="10" xfId="0" applyNumberFormat="1" applyFont="1" applyFill="1" applyBorder="1" applyAlignment="1">
      <alignment horizontal="center" vertical="center" wrapText="1"/>
    </xf>
    <xf numFmtId="3" fontId="165" fillId="0" borderId="86" xfId="0" applyNumberFormat="1" applyFont="1" applyFill="1" applyBorder="1" applyAlignment="1">
      <alignment horizontal="center" vertical="center" wrapText="1"/>
    </xf>
    <xf numFmtId="3" fontId="165" fillId="0" borderId="49" xfId="0" applyNumberFormat="1" applyFont="1" applyFill="1" applyBorder="1" applyAlignment="1">
      <alignment horizontal="center" vertical="center" wrapText="1"/>
    </xf>
    <xf numFmtId="3" fontId="165" fillId="0" borderId="33" xfId="0" applyNumberFormat="1" applyFont="1" applyFill="1" applyBorder="1" applyAlignment="1">
      <alignment horizontal="center" vertical="center" wrapText="1"/>
    </xf>
    <xf numFmtId="3" fontId="165" fillId="0" borderId="36" xfId="0" applyNumberFormat="1" applyFont="1" applyFill="1" applyBorder="1" applyAlignment="1">
      <alignment horizontal="center" vertical="center" wrapText="1"/>
    </xf>
    <xf numFmtId="3" fontId="165" fillId="0" borderId="53" xfId="0" applyNumberFormat="1" applyFont="1" applyBorder="1" applyAlignment="1">
      <alignment horizontal="center" vertical="center" wrapText="1"/>
    </xf>
    <xf numFmtId="3" fontId="165" fillId="0" borderId="10" xfId="0" applyNumberFormat="1" applyFont="1" applyBorder="1" applyAlignment="1">
      <alignment horizontal="center" vertical="center" wrapText="1"/>
    </xf>
    <xf numFmtId="3" fontId="165" fillId="0" borderId="34" xfId="0" applyNumberFormat="1" applyFont="1" applyBorder="1" applyAlignment="1">
      <alignment horizontal="center" vertical="center" wrapText="1"/>
    </xf>
    <xf numFmtId="3" fontId="165" fillId="0" borderId="66" xfId="0" applyNumberFormat="1" applyFont="1" applyBorder="1" applyAlignment="1">
      <alignment horizontal="center" vertical="center" wrapText="1"/>
    </xf>
    <xf numFmtId="3" fontId="165" fillId="0" borderId="17" xfId="0" applyNumberFormat="1" applyFont="1" applyBorder="1" applyAlignment="1">
      <alignment horizontal="center" vertical="center" wrapText="1"/>
    </xf>
    <xf numFmtId="3" fontId="165" fillId="0" borderId="37" xfId="0" applyNumberFormat="1" applyFont="1" applyBorder="1" applyAlignment="1">
      <alignment horizontal="center" vertical="center" wrapText="1"/>
    </xf>
    <xf numFmtId="0" fontId="73" fillId="33" borderId="45"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3" xfId="0" applyFont="1" applyFill="1" applyBorder="1" applyAlignment="1">
      <alignment horizontal="center" vertical="center" wrapText="1"/>
    </xf>
    <xf numFmtId="3" fontId="165" fillId="0" borderId="10" xfId="0" applyNumberFormat="1" applyFont="1" applyBorder="1" applyAlignment="1">
      <alignment horizontal="center" vertical="center"/>
    </xf>
    <xf numFmtId="3" fontId="165" fillId="0" borderId="66" xfId="0" applyNumberFormat="1" applyFont="1" applyBorder="1" applyAlignment="1">
      <alignment horizontal="center" vertical="center"/>
    </xf>
    <xf numFmtId="0" fontId="182" fillId="33" borderId="45" xfId="0" applyFont="1" applyFill="1" applyBorder="1" applyAlignment="1">
      <alignment horizontal="center" vertical="center" wrapText="1"/>
    </xf>
    <xf numFmtId="0" fontId="182" fillId="33" borderId="18" xfId="0" applyFont="1" applyFill="1" applyBorder="1" applyAlignment="1">
      <alignment horizontal="center" vertical="center" wrapText="1"/>
    </xf>
    <xf numFmtId="0" fontId="182" fillId="33" borderId="23" xfId="0" applyFont="1" applyFill="1" applyBorder="1" applyAlignment="1">
      <alignment horizontal="center" vertical="center" wrapText="1"/>
    </xf>
    <xf numFmtId="3" fontId="166" fillId="0" borderId="74" xfId="0" applyNumberFormat="1" applyFont="1" applyBorder="1" applyAlignment="1">
      <alignment horizontal="left" vertical="center" wrapText="1"/>
    </xf>
    <xf numFmtId="3" fontId="166" fillId="0" borderId="81" xfId="0" applyNumberFormat="1" applyFont="1" applyBorder="1" applyAlignment="1">
      <alignment horizontal="left" vertical="center" wrapText="1"/>
    </xf>
    <xf numFmtId="3" fontId="166" fillId="0" borderId="77" xfId="0" applyNumberFormat="1" applyFont="1" applyBorder="1" applyAlignment="1">
      <alignment horizontal="left" vertical="center" wrapText="1"/>
    </xf>
    <xf numFmtId="3" fontId="166" fillId="0" borderId="68" xfId="0" applyNumberFormat="1" applyFont="1" applyBorder="1" applyAlignment="1">
      <alignment horizontal="center" vertical="center" wrapText="1"/>
    </xf>
    <xf numFmtId="3" fontId="166" fillId="0" borderId="36" xfId="0" applyNumberFormat="1" applyFont="1" applyBorder="1" applyAlignment="1">
      <alignment horizontal="center" vertical="center" wrapText="1"/>
    </xf>
    <xf numFmtId="3" fontId="166" fillId="0" borderId="74" xfId="0" applyNumberFormat="1" applyFont="1" applyFill="1" applyBorder="1" applyAlignment="1">
      <alignment horizontal="center" vertical="center" wrapText="1"/>
    </xf>
    <xf numFmtId="3" fontId="166" fillId="0" borderId="81" xfId="0" applyNumberFormat="1" applyFont="1" applyFill="1" applyBorder="1" applyAlignment="1">
      <alignment horizontal="center" vertical="center" wrapText="1"/>
    </xf>
    <xf numFmtId="3" fontId="166" fillId="0" borderId="68" xfId="0" applyNumberFormat="1" applyFont="1" applyFill="1" applyBorder="1" applyAlignment="1">
      <alignment horizontal="center" vertical="center" wrapText="1"/>
    </xf>
    <xf numFmtId="3" fontId="166" fillId="0" borderId="77" xfId="0" applyNumberFormat="1" applyFont="1" applyFill="1" applyBorder="1" applyAlignment="1">
      <alignment horizontal="center" vertical="center" wrapText="1"/>
    </xf>
    <xf numFmtId="0" fontId="71" fillId="0" borderId="50"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150" fillId="0" borderId="50" xfId="0" applyFont="1" applyBorder="1" applyAlignment="1">
      <alignment horizontal="center" vertical="center"/>
    </xf>
    <xf numFmtId="0" fontId="150" fillId="0" borderId="49" xfId="0" applyFont="1" applyBorder="1" applyAlignment="1">
      <alignment horizontal="center" vertical="center"/>
    </xf>
    <xf numFmtId="3" fontId="165" fillId="0" borderId="16" xfId="0" applyNumberFormat="1" applyFont="1" applyFill="1" applyBorder="1" applyAlignment="1">
      <alignment horizontal="center" vertical="center" wrapText="1"/>
    </xf>
    <xf numFmtId="3" fontId="165" fillId="0" borderId="50" xfId="0" applyNumberFormat="1" applyFont="1" applyFill="1" applyBorder="1" applyAlignment="1">
      <alignment horizontal="center" vertical="center" wrapText="1"/>
    </xf>
    <xf numFmtId="3" fontId="165" fillId="0" borderId="67" xfId="0" applyNumberFormat="1" applyFont="1" applyFill="1" applyBorder="1" applyAlignment="1">
      <alignment horizontal="center" vertical="center" wrapText="1"/>
    </xf>
    <xf numFmtId="3" fontId="166" fillId="0" borderId="33" xfId="0" applyNumberFormat="1" applyFont="1" applyBorder="1" applyAlignment="1">
      <alignment horizontal="center" vertical="center"/>
    </xf>
    <xf numFmtId="3" fontId="166" fillId="0" borderId="16" xfId="0" applyNumberFormat="1" applyFont="1" applyBorder="1" applyAlignment="1">
      <alignment horizontal="center" vertical="center"/>
    </xf>
    <xf numFmtId="3" fontId="166" fillId="0" borderId="67" xfId="0" applyNumberFormat="1" applyFont="1" applyFill="1" applyBorder="1" applyAlignment="1">
      <alignment horizontal="left" vertical="center" wrapText="1"/>
    </xf>
    <xf numFmtId="3" fontId="166" fillId="0" borderId="68" xfId="0" applyNumberFormat="1" applyFont="1" applyFill="1" applyBorder="1" applyAlignment="1">
      <alignment horizontal="left" vertical="center" wrapText="1"/>
    </xf>
    <xf numFmtId="3" fontId="168" fillId="0" borderId="16" xfId="0" applyNumberFormat="1" applyFont="1" applyFill="1" applyBorder="1" applyAlignment="1">
      <alignment horizontal="center" vertical="center" wrapText="1"/>
    </xf>
    <xf numFmtId="0" fontId="182" fillId="33" borderId="20" xfId="0" applyFont="1" applyFill="1" applyBorder="1" applyAlignment="1">
      <alignment horizontal="center" vertical="center" wrapText="1"/>
    </xf>
    <xf numFmtId="0" fontId="164" fillId="0" borderId="50" xfId="0" applyFont="1" applyBorder="1" applyAlignment="1">
      <alignment horizontal="left" vertical="center" wrapText="1"/>
    </xf>
    <xf numFmtId="0" fontId="166" fillId="0" borderId="49" xfId="0" applyFont="1" applyBorder="1" applyAlignment="1">
      <alignment horizontal="left" vertical="center" wrapText="1"/>
    </xf>
    <xf numFmtId="3" fontId="165" fillId="0" borderId="83" xfId="0" applyNumberFormat="1" applyFont="1" applyFill="1" applyBorder="1" applyAlignment="1">
      <alignment horizontal="center" vertical="center" wrapText="1"/>
    </xf>
    <xf numFmtId="3" fontId="165" fillId="0" borderId="68" xfId="0" applyNumberFormat="1" applyFont="1" applyFill="1" applyBorder="1" applyAlignment="1">
      <alignment horizontal="center" vertical="center" wrapText="1"/>
    </xf>
    <xf numFmtId="0" fontId="178" fillId="33" borderId="46" xfId="0" applyFont="1" applyFill="1" applyBorder="1" applyAlignment="1">
      <alignment horizontal="center" vertical="center" wrapText="1"/>
    </xf>
    <xf numFmtId="0" fontId="73" fillId="33" borderId="40" xfId="0" applyFont="1" applyFill="1" applyBorder="1" applyAlignment="1">
      <alignment horizontal="center" vertical="center" wrapText="1"/>
    </xf>
    <xf numFmtId="0" fontId="73" fillId="33" borderId="84" xfId="0" applyFont="1" applyFill="1" applyBorder="1" applyAlignment="1">
      <alignment horizontal="center" vertical="center" wrapText="1"/>
    </xf>
    <xf numFmtId="0" fontId="73" fillId="33" borderId="20" xfId="0" applyFont="1" applyFill="1" applyBorder="1" applyAlignment="1">
      <alignment horizontal="center" vertical="center" wrapText="1"/>
    </xf>
    <xf numFmtId="3" fontId="165" fillId="0" borderId="16" xfId="0" applyNumberFormat="1" applyFont="1" applyBorder="1" applyAlignment="1">
      <alignment horizontal="center" vertical="center"/>
    </xf>
    <xf numFmtId="3" fontId="165" fillId="0" borderId="16" xfId="0" applyNumberFormat="1" applyFont="1" applyBorder="1" applyAlignment="1">
      <alignment horizontal="center" vertical="center" wrapText="1"/>
    </xf>
    <xf numFmtId="3" fontId="165" fillId="0" borderId="36" xfId="0" applyNumberFormat="1" applyFont="1" applyBorder="1" applyAlignment="1">
      <alignment horizontal="center" vertical="center" wrapText="1"/>
    </xf>
    <xf numFmtId="3" fontId="165" fillId="0" borderId="33" xfId="0" applyNumberFormat="1" applyFont="1" applyBorder="1" applyAlignment="1">
      <alignment horizontal="center" vertical="center" wrapText="1"/>
    </xf>
    <xf numFmtId="3" fontId="166" fillId="0" borderId="67" xfId="0" applyNumberFormat="1" applyFont="1" applyBorder="1" applyAlignment="1">
      <alignment horizontal="center" vertical="center" wrapText="1"/>
    </xf>
    <xf numFmtId="0" fontId="152" fillId="33" borderId="45" xfId="0" applyFont="1" applyFill="1" applyBorder="1" applyAlignment="1">
      <alignment horizontal="left" vertical="center" wrapText="1"/>
    </xf>
    <xf numFmtId="0" fontId="152" fillId="33" borderId="18" xfId="0" applyFont="1" applyFill="1" applyBorder="1" applyAlignment="1">
      <alignment horizontal="left" vertical="center" wrapText="1"/>
    </xf>
    <xf numFmtId="0" fontId="152" fillId="33" borderId="63" xfId="0" applyFont="1" applyFill="1" applyBorder="1" applyAlignment="1">
      <alignment horizontal="left" vertical="center" wrapText="1"/>
    </xf>
    <xf numFmtId="0" fontId="182" fillId="33" borderId="80" xfId="0" applyFont="1" applyFill="1" applyBorder="1" applyAlignment="1">
      <alignment horizontal="center" vertical="center" wrapText="1"/>
    </xf>
    <xf numFmtId="0" fontId="178" fillId="33" borderId="74" xfId="0" applyFont="1" applyFill="1" applyBorder="1" applyAlignment="1">
      <alignment horizontal="center" vertical="center" wrapText="1"/>
    </xf>
    <xf numFmtId="0" fontId="164" fillId="0" borderId="50" xfId="0" applyFont="1" applyBorder="1" applyAlignment="1">
      <alignment horizontal="center" vertical="center" wrapText="1"/>
    </xf>
    <xf numFmtId="0" fontId="164" fillId="0" borderId="49" xfId="0" applyFont="1" applyBorder="1" applyAlignment="1">
      <alignment horizontal="center" vertical="center" wrapText="1"/>
    </xf>
    <xf numFmtId="0" fontId="150" fillId="0" borderId="50" xfId="0" applyFont="1" applyBorder="1" applyAlignment="1">
      <alignment horizontal="center" vertical="center" wrapText="1"/>
    </xf>
    <xf numFmtId="0" fontId="0" fillId="0" borderId="49" xfId="0" applyBorder="1" applyAlignment="1">
      <alignment horizontal="center" vertical="center" wrapText="1"/>
    </xf>
    <xf numFmtId="0" fontId="183" fillId="0" borderId="50" xfId="0" applyFont="1" applyBorder="1" applyAlignment="1">
      <alignment horizontal="center" vertical="center" wrapText="1"/>
    </xf>
    <xf numFmtId="0" fontId="183" fillId="0" borderId="49" xfId="0" applyFont="1" applyBorder="1" applyAlignment="1">
      <alignment horizontal="center" vertical="center" wrapText="1"/>
    </xf>
    <xf numFmtId="0" fontId="150" fillId="0" borderId="49" xfId="0" applyFont="1" applyBorder="1" applyAlignment="1">
      <alignment horizontal="center" vertical="center" wrapText="1"/>
    </xf>
    <xf numFmtId="0" fontId="150" fillId="0" borderId="10" xfId="0" applyFont="1" applyBorder="1" applyAlignment="1">
      <alignment horizontal="center" vertical="center" wrapText="1"/>
    </xf>
    <xf numFmtId="0" fontId="150" fillId="0" borderId="50" xfId="0" applyFont="1" applyBorder="1" applyAlignment="1">
      <alignment horizontal="center"/>
    </xf>
    <xf numFmtId="0" fontId="150" fillId="0" borderId="49" xfId="0" applyFont="1" applyBorder="1" applyAlignment="1">
      <alignment horizontal="center"/>
    </xf>
    <xf numFmtId="3" fontId="56" fillId="33" borderId="10" xfId="85" applyNumberFormat="1" applyFont="1" applyFill="1" applyBorder="1" applyAlignment="1">
      <alignment horizontal="center" vertical="center" wrapText="1"/>
      <protection/>
    </xf>
    <xf numFmtId="3" fontId="10" fillId="0" borderId="10" xfId="85" applyNumberFormat="1" applyFont="1" applyFill="1" applyBorder="1" applyAlignment="1">
      <alignment horizontal="center" vertical="center" wrapText="1"/>
      <protection/>
    </xf>
    <xf numFmtId="0" fontId="163" fillId="0" borderId="54"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quotePrefix="1">
      <alignment horizontal="center" vertical="center" wrapText="1"/>
    </xf>
    <xf numFmtId="0" fontId="151" fillId="0" borderId="10" xfId="0" applyFont="1" applyBorder="1" applyAlignment="1">
      <alignment horizontal="center" vertical="center" wrapText="1"/>
    </xf>
    <xf numFmtId="0" fontId="154" fillId="0" borderId="50" xfId="0" applyFont="1" applyBorder="1" applyAlignment="1">
      <alignment horizontal="center" vertical="center" wrapText="1"/>
    </xf>
    <xf numFmtId="0" fontId="154" fillId="0" borderId="54" xfId="0" applyFont="1" applyBorder="1" applyAlignment="1">
      <alignment horizontal="center" vertical="center" wrapText="1"/>
    </xf>
    <xf numFmtId="0" fontId="154" fillId="0" borderId="49" xfId="0" applyFont="1" applyBorder="1" applyAlignment="1">
      <alignment horizontal="center" vertical="center" wrapText="1"/>
    </xf>
    <xf numFmtId="0" fontId="150" fillId="0" borderId="10" xfId="0" applyFont="1" applyFill="1" applyBorder="1" applyAlignment="1">
      <alignment horizontal="center" vertical="center" wrapText="1"/>
    </xf>
    <xf numFmtId="0" fontId="150" fillId="0" borderId="50" xfId="0" applyFont="1" applyFill="1" applyBorder="1" applyAlignment="1">
      <alignment horizontal="center" vertical="center" wrapText="1"/>
    </xf>
    <xf numFmtId="0" fontId="150" fillId="0" borderId="54" xfId="0" applyFont="1" applyFill="1" applyBorder="1" applyAlignment="1">
      <alignment horizontal="center" vertical="center" wrapText="1"/>
    </xf>
    <xf numFmtId="0" fontId="150" fillId="0" borderId="49" xfId="0" applyFont="1" applyFill="1" applyBorder="1" applyAlignment="1">
      <alignment horizontal="center" vertical="center" wrapText="1"/>
    </xf>
    <xf numFmtId="0" fontId="151" fillId="0" borderId="50" xfId="0" applyFont="1" applyBorder="1" applyAlignment="1">
      <alignment horizontal="center" vertical="center" wrapText="1"/>
    </xf>
    <xf numFmtId="0" fontId="151" fillId="0" borderId="54" xfId="0" applyFont="1" applyBorder="1" applyAlignment="1">
      <alignment horizontal="center" vertical="center" wrapText="1"/>
    </xf>
    <xf numFmtId="0" fontId="49" fillId="0" borderId="10" xfId="0" applyFont="1" applyFill="1" applyBorder="1" applyAlignment="1" quotePrefix="1">
      <alignment horizontal="center" vertical="center" wrapText="1"/>
    </xf>
    <xf numFmtId="0" fontId="49" fillId="0" borderId="50" xfId="0" applyFont="1" applyFill="1" applyBorder="1" applyAlignment="1" quotePrefix="1">
      <alignment horizontal="center" vertical="center" wrapText="1"/>
    </xf>
    <xf numFmtId="0" fontId="154" fillId="0" borderId="10" xfId="0" applyFont="1" applyBorder="1" applyAlignment="1">
      <alignment horizontal="center" vertical="center" wrapText="1"/>
    </xf>
    <xf numFmtId="0" fontId="162" fillId="0" borderId="10" xfId="0" applyFont="1" applyBorder="1" applyAlignment="1">
      <alignment horizontal="center" vertical="center" wrapText="1"/>
    </xf>
    <xf numFmtId="0" fontId="161" fillId="0" borderId="50" xfId="0" applyFont="1" applyBorder="1" applyAlignment="1">
      <alignment horizontal="center" vertical="center" wrapText="1"/>
    </xf>
    <xf numFmtId="0" fontId="161" fillId="0" borderId="54" xfId="0" applyFont="1" applyBorder="1" applyAlignment="1">
      <alignment horizontal="center" vertical="center" wrapText="1"/>
    </xf>
    <xf numFmtId="0" fontId="161" fillId="0" borderId="49" xfId="0" applyFont="1" applyBorder="1" applyAlignment="1">
      <alignment horizontal="center" vertical="center" wrapText="1"/>
    </xf>
    <xf numFmtId="0" fontId="49" fillId="0" borderId="50" xfId="0" applyFont="1" applyBorder="1" applyAlignment="1" quotePrefix="1">
      <alignment horizontal="center" vertical="center" wrapText="1"/>
    </xf>
    <xf numFmtId="0" fontId="49" fillId="0" borderId="54" xfId="0" applyFont="1" applyBorder="1" applyAlignment="1" quotePrefix="1">
      <alignment horizontal="center" vertical="center" wrapText="1"/>
    </xf>
    <xf numFmtId="0" fontId="49" fillId="0" borderId="49" xfId="0" applyFont="1" applyBorder="1" applyAlignment="1" quotePrefix="1">
      <alignment horizontal="center" vertical="center" wrapText="1"/>
    </xf>
    <xf numFmtId="0" fontId="150" fillId="0" borderId="54" xfId="0" applyFont="1" applyBorder="1" applyAlignment="1">
      <alignment horizontal="center" vertical="center" wrapText="1"/>
    </xf>
    <xf numFmtId="0" fontId="151" fillId="0" borderId="49" xfId="0" applyFont="1" applyBorder="1" applyAlignment="1">
      <alignment horizontal="center" vertical="center" wrapText="1"/>
    </xf>
    <xf numFmtId="0" fontId="150" fillId="0" borderId="49" xfId="0" applyFont="1" applyBorder="1" applyAlignment="1">
      <alignment horizontal="justify" vertical="center" wrapText="1"/>
    </xf>
    <xf numFmtId="0" fontId="150" fillId="0" borderId="10" xfId="0" applyFont="1" applyBorder="1" applyAlignment="1">
      <alignment horizontal="justify" vertical="center" wrapText="1"/>
    </xf>
    <xf numFmtId="0" fontId="49" fillId="0" borderId="10" xfId="0" applyFont="1" applyFill="1" applyBorder="1" applyAlignment="1">
      <alignment horizontal="center" vertical="center" wrapText="1"/>
    </xf>
    <xf numFmtId="0" fontId="52" fillId="0" borderId="10" xfId="0" applyFont="1" applyBorder="1" applyAlignment="1" quotePrefix="1">
      <alignment horizontal="center" vertical="center" wrapText="1"/>
    </xf>
    <xf numFmtId="0" fontId="50" fillId="0" borderId="10" xfId="0" applyFont="1" applyFill="1" applyBorder="1" applyAlignment="1">
      <alignment horizontal="center" vertical="center" wrapText="1"/>
    </xf>
    <xf numFmtId="0" fontId="150" fillId="43" borderId="10" xfId="0" applyFont="1" applyFill="1" applyBorder="1" applyAlignment="1">
      <alignment horizontal="center" vertical="center" wrapText="1"/>
    </xf>
    <xf numFmtId="0" fontId="184" fillId="0" borderId="49" xfId="0" applyFont="1" applyBorder="1" applyAlignment="1">
      <alignment horizontal="center" vertical="center" wrapText="1"/>
    </xf>
    <xf numFmtId="0" fontId="184" fillId="0" borderId="10" xfId="0" applyFont="1" applyBorder="1" applyAlignment="1">
      <alignment horizontal="center" vertical="center" wrapText="1"/>
    </xf>
    <xf numFmtId="0" fontId="10" fillId="42" borderId="10" xfId="0" applyFont="1" applyFill="1" applyBorder="1" applyAlignment="1">
      <alignment horizontal="left" vertical="center" wrapText="1"/>
    </xf>
    <xf numFmtId="0" fontId="20" fillId="42" borderId="10" xfId="0" applyFont="1" applyFill="1" applyBorder="1" applyAlignment="1">
      <alignment horizontal="center" vertical="center" textRotation="90" wrapText="1"/>
    </xf>
    <xf numFmtId="0" fontId="20" fillId="42" borderId="52" xfId="0" applyFont="1" applyFill="1" applyBorder="1" applyAlignment="1">
      <alignment horizontal="center" vertical="center" wrapText="1"/>
    </xf>
    <xf numFmtId="0" fontId="20" fillId="42" borderId="75" xfId="0" applyFont="1" applyFill="1" applyBorder="1" applyAlignment="1">
      <alignment horizontal="center" vertical="center" wrapText="1"/>
    </xf>
    <xf numFmtId="0" fontId="20" fillId="42" borderId="10" xfId="0" applyFont="1" applyFill="1" applyBorder="1" applyAlignment="1">
      <alignment horizontal="center" vertical="center" wrapText="1"/>
    </xf>
    <xf numFmtId="0" fontId="20" fillId="42" borderId="51" xfId="0" applyFont="1" applyFill="1" applyBorder="1" applyAlignment="1">
      <alignment horizontal="center" vertical="center" wrapText="1"/>
    </xf>
    <xf numFmtId="0" fontId="57" fillId="42" borderId="10" xfId="0" applyFont="1" applyFill="1" applyBorder="1" applyAlignment="1">
      <alignment horizontal="center" vertical="center" textRotation="90" wrapText="1"/>
    </xf>
    <xf numFmtId="187" fontId="72" fillId="37" borderId="54" xfId="83" applyNumberFormat="1" applyFont="1" applyFill="1" applyBorder="1" applyAlignment="1">
      <alignment horizontal="center" vertical="center" wrapText="1"/>
      <protection/>
    </xf>
    <xf numFmtId="187" fontId="72" fillId="37" borderId="49" xfId="83" applyNumberFormat="1" applyFont="1" applyFill="1" applyBorder="1" applyAlignment="1">
      <alignment horizontal="center" vertical="center" wrapText="1"/>
      <protection/>
    </xf>
    <xf numFmtId="187" fontId="72" fillId="37" borderId="75" xfId="83" applyNumberFormat="1" applyFont="1" applyFill="1" applyBorder="1" applyAlignment="1">
      <alignment horizontal="center" vertical="center" wrapText="1"/>
      <protection/>
    </xf>
    <xf numFmtId="187" fontId="72" fillId="37" borderId="88" xfId="83" applyNumberFormat="1" applyFont="1" applyFill="1" applyBorder="1" applyAlignment="1">
      <alignment horizontal="center" vertical="center" wrapText="1"/>
      <protection/>
    </xf>
    <xf numFmtId="187" fontId="72" fillId="37" borderId="48" xfId="83" applyNumberFormat="1" applyFont="1" applyFill="1" applyBorder="1" applyAlignment="1">
      <alignment horizontal="center" vertical="center" wrapText="1"/>
      <protection/>
    </xf>
    <xf numFmtId="10" fontId="72" fillId="37" borderId="54" xfId="83" applyNumberFormat="1" applyFont="1" applyFill="1" applyBorder="1" applyAlignment="1">
      <alignment horizontal="center" vertical="center" wrapText="1"/>
      <protection/>
    </xf>
    <xf numFmtId="10" fontId="72" fillId="37" borderId="49" xfId="83" applyNumberFormat="1" applyFont="1" applyFill="1" applyBorder="1" applyAlignment="1">
      <alignment horizontal="center" vertical="center" wrapText="1"/>
      <protection/>
    </xf>
    <xf numFmtId="3" fontId="0" fillId="0" borderId="59" xfId="0" applyNumberFormat="1" applyBorder="1" applyAlignment="1">
      <alignment horizontal="center" vertical="center"/>
    </xf>
    <xf numFmtId="3" fontId="0" fillId="0" borderId="82" xfId="0" applyNumberFormat="1" applyBorder="1" applyAlignment="1">
      <alignment horizontal="center" vertical="center"/>
    </xf>
    <xf numFmtId="187" fontId="72" fillId="37" borderId="10" xfId="83" applyNumberFormat="1" applyFont="1" applyFill="1" applyBorder="1" applyAlignment="1">
      <alignment horizontal="center" vertical="center" wrapText="1"/>
      <protection/>
    </xf>
    <xf numFmtId="0" fontId="185" fillId="42" borderId="0" xfId="0" applyFont="1" applyFill="1" applyBorder="1" applyAlignment="1">
      <alignment horizontal="center"/>
    </xf>
    <xf numFmtId="0" fontId="72" fillId="33" borderId="51" xfId="83" applyFont="1" applyFill="1" applyBorder="1" applyAlignment="1">
      <alignment horizontal="center" vertical="center" wrapText="1"/>
      <protection/>
    </xf>
    <xf numFmtId="0" fontId="72" fillId="33" borderId="76" xfId="83" applyFont="1" applyFill="1" applyBorder="1" applyAlignment="1">
      <alignment horizontal="center" vertical="center" wrapText="1"/>
      <protection/>
    </xf>
    <xf numFmtId="0" fontId="72" fillId="33" borderId="47" xfId="83" applyFont="1" applyFill="1" applyBorder="1" applyAlignment="1">
      <alignment horizontal="center" vertical="center" wrapText="1"/>
      <protection/>
    </xf>
    <xf numFmtId="0" fontId="14" fillId="0" borderId="0" xfId="82" applyFont="1" applyAlignment="1">
      <alignment horizontal="center"/>
      <protection/>
    </xf>
    <xf numFmtId="0" fontId="23" fillId="34" borderId="0" xfId="82" applyFont="1" applyFill="1" applyBorder="1" applyAlignment="1" applyProtection="1">
      <alignment horizontal="center"/>
      <protection/>
    </xf>
    <xf numFmtId="0" fontId="27" fillId="34" borderId="0" xfId="82" applyFont="1" applyFill="1" applyBorder="1" applyAlignment="1" applyProtection="1">
      <alignment horizontal="center"/>
      <protection/>
    </xf>
    <xf numFmtId="0" fontId="23" fillId="34" borderId="0" xfId="82" applyFont="1" applyFill="1" applyAlignment="1" applyProtection="1">
      <alignment horizontal="left"/>
      <protection/>
    </xf>
    <xf numFmtId="3" fontId="14" fillId="0" borderId="0" xfId="82" applyNumberFormat="1" applyFont="1" applyAlignment="1">
      <alignment horizontal="center"/>
      <protection/>
    </xf>
    <xf numFmtId="189" fontId="20" fillId="0" borderId="16" xfId="72" applyNumberFormat="1" applyFont="1" applyBorder="1" applyAlignment="1">
      <alignment horizontal="center" vertical="justify"/>
    </xf>
    <xf numFmtId="0" fontId="14" fillId="0" borderId="0" xfId="82" applyFont="1" applyBorder="1" applyAlignment="1">
      <alignment horizontal="center"/>
      <protection/>
    </xf>
    <xf numFmtId="189" fontId="4" fillId="0" borderId="0" xfId="72" applyNumberFormat="1" applyFont="1" applyBorder="1" applyAlignment="1">
      <alignment horizontal="center" vertical="justify"/>
    </xf>
    <xf numFmtId="0" fontId="4" fillId="0" borderId="0" xfId="82" applyFont="1" applyAlignment="1">
      <alignment horizontal="center"/>
      <protection/>
    </xf>
    <xf numFmtId="0" fontId="20" fillId="0" borderId="0" xfId="82" applyFont="1" applyAlignment="1">
      <alignment horizontal="left"/>
      <protection/>
    </xf>
    <xf numFmtId="3" fontId="58" fillId="0" borderId="62" xfId="92" applyNumberFormat="1" applyFont="1" applyBorder="1" applyAlignment="1">
      <alignment horizontal="center" vertical="center" wrapText="1"/>
      <protection/>
    </xf>
    <xf numFmtId="3" fontId="58" fillId="0" borderId="57" xfId="92" applyNumberFormat="1" applyFont="1" applyBorder="1" applyAlignment="1">
      <alignment horizontal="center" vertical="center" wrapText="1"/>
      <protection/>
    </xf>
    <xf numFmtId="3" fontId="58" fillId="0" borderId="79" xfId="92" applyNumberFormat="1" applyFont="1" applyBorder="1" applyAlignment="1">
      <alignment horizontal="center" vertical="center" wrapText="1"/>
      <protection/>
    </xf>
    <xf numFmtId="3" fontId="58" fillId="0" borderId="50" xfId="92" applyNumberFormat="1" applyFont="1" applyBorder="1" applyAlignment="1">
      <alignment horizontal="center" vertical="center" wrapText="1"/>
      <protection/>
    </xf>
    <xf numFmtId="3" fontId="58" fillId="0" borderId="54" xfId="92" applyNumberFormat="1" applyFont="1" applyBorder="1" applyAlignment="1">
      <alignment horizontal="center" vertical="center" wrapText="1"/>
      <protection/>
    </xf>
    <xf numFmtId="0" fontId="179" fillId="33" borderId="89" xfId="0" applyFont="1" applyFill="1" applyBorder="1" applyAlignment="1">
      <alignment/>
    </xf>
    <xf numFmtId="0" fontId="179" fillId="33" borderId="18" xfId="0" applyFont="1" applyFill="1" applyBorder="1" applyAlignment="1">
      <alignment/>
    </xf>
    <xf numFmtId="0" fontId="179" fillId="33" borderId="63" xfId="0" applyFont="1" applyFill="1" applyBorder="1" applyAlignment="1">
      <alignment/>
    </xf>
    <xf numFmtId="0" fontId="179" fillId="42" borderId="55" xfId="0" applyFont="1" applyFill="1" applyBorder="1" applyAlignment="1">
      <alignment horizontal="center"/>
    </xf>
    <xf numFmtId="3" fontId="0" fillId="0" borderId="50" xfId="0" applyNumberFormat="1" applyBorder="1" applyAlignment="1">
      <alignment horizontal="center" vertical="center" wrapText="1"/>
    </xf>
    <xf numFmtId="0" fontId="0" fillId="0" borderId="54" xfId="0" applyBorder="1" applyAlignment="1">
      <alignment horizontal="center" vertical="center" wrapText="1"/>
    </xf>
    <xf numFmtId="3" fontId="150" fillId="0" borderId="10" xfId="51" applyNumberFormat="1" applyFont="1" applyBorder="1" applyAlignment="1">
      <alignment horizontal="center" vertical="center" wrapText="1"/>
    </xf>
    <xf numFmtId="3" fontId="150" fillId="0" borderId="50" xfId="51" applyNumberFormat="1" applyFont="1" applyBorder="1" applyAlignment="1">
      <alignment horizontal="center" vertical="center" wrapText="1"/>
    </xf>
    <xf numFmtId="0" fontId="58" fillId="0" borderId="62" xfId="92" applyFont="1" applyBorder="1" applyAlignment="1">
      <alignment horizontal="center" vertical="center" wrapText="1"/>
      <protection/>
    </xf>
    <xf numFmtId="0" fontId="58" fillId="0" borderId="57" xfId="92" applyFont="1" applyBorder="1" applyAlignment="1">
      <alignment horizontal="center" vertical="center" wrapText="1"/>
      <protection/>
    </xf>
    <xf numFmtId="0" fontId="58" fillId="0" borderId="79" xfId="92" applyFont="1" applyBorder="1" applyAlignment="1">
      <alignment horizontal="center" vertical="center" wrapText="1"/>
      <protection/>
    </xf>
    <xf numFmtId="9" fontId="150" fillId="0" borderId="10" xfId="0" applyNumberFormat="1" applyFont="1" applyBorder="1" applyAlignment="1">
      <alignment horizontal="center" vertical="center" wrapText="1"/>
    </xf>
    <xf numFmtId="0" fontId="49" fillId="0" borderId="50" xfId="0" applyFont="1" applyBorder="1" applyAlignment="1">
      <alignment horizontal="center" vertical="center" wrapText="1"/>
    </xf>
    <xf numFmtId="3" fontId="58" fillId="0" borderId="48" xfId="92" applyNumberFormat="1" applyFont="1" applyBorder="1" applyAlignment="1">
      <alignment horizontal="center" vertical="center" wrapText="1"/>
      <protection/>
    </xf>
    <xf numFmtId="3" fontId="58" fillId="0" borderId="49" xfId="92" applyNumberFormat="1" applyFont="1" applyBorder="1" applyAlignment="1">
      <alignment horizontal="center" vertical="center" wrapText="1"/>
      <protection/>
    </xf>
    <xf numFmtId="0" fontId="153" fillId="33" borderId="51" xfId="0" applyFont="1" applyFill="1" applyBorder="1" applyAlignment="1">
      <alignment horizontal="center" vertical="center" wrapText="1"/>
    </xf>
    <xf numFmtId="0" fontId="153" fillId="33" borderId="76" xfId="0" applyFont="1" applyFill="1" applyBorder="1" applyAlignment="1">
      <alignment horizontal="center" vertical="center" wrapText="1"/>
    </xf>
    <xf numFmtId="0" fontId="153" fillId="33" borderId="47" xfId="0" applyFont="1" applyFill="1" applyBorder="1" applyAlignment="1">
      <alignment horizontal="center" vertical="center" wrapText="1"/>
    </xf>
    <xf numFmtId="0" fontId="52" fillId="0" borderId="50" xfId="0" applyFont="1" applyBorder="1" applyAlignment="1">
      <alignment horizontal="center" vertical="center" wrapText="1"/>
    </xf>
    <xf numFmtId="3" fontId="150" fillId="0" borderId="10" xfId="0" applyNumberFormat="1" applyFont="1" applyBorder="1" applyAlignment="1">
      <alignment horizontal="center" vertical="center" wrapText="1"/>
    </xf>
    <xf numFmtId="0" fontId="58" fillId="0" borderId="48" xfId="92" applyFont="1" applyBorder="1" applyAlignment="1">
      <alignment horizontal="center" vertical="center" wrapText="1"/>
      <protection/>
    </xf>
    <xf numFmtId="0" fontId="53" fillId="33" borderId="51" xfId="0" applyFont="1" applyFill="1" applyBorder="1" applyAlignment="1">
      <alignment horizontal="center" vertical="center" wrapText="1"/>
    </xf>
    <xf numFmtId="0" fontId="53" fillId="33" borderId="76" xfId="0" applyFont="1" applyFill="1" applyBorder="1" applyAlignment="1">
      <alignment horizontal="center" vertical="center" wrapText="1"/>
    </xf>
    <xf numFmtId="0" fontId="53" fillId="33" borderId="47" xfId="0" applyFont="1" applyFill="1" applyBorder="1" applyAlignment="1">
      <alignment horizontal="center" vertical="center" wrapText="1"/>
    </xf>
    <xf numFmtId="9" fontId="150" fillId="0" borderId="10" xfId="0" applyNumberFormat="1" applyFont="1" applyFill="1" applyBorder="1" applyAlignment="1">
      <alignment horizontal="center" vertical="center" wrapText="1"/>
    </xf>
    <xf numFmtId="0" fontId="150" fillId="0" borderId="50" xfId="0" applyFont="1" applyBorder="1" applyAlignment="1">
      <alignment wrapText="1"/>
    </xf>
    <xf numFmtId="0" fontId="0" fillId="0" borderId="54" xfId="0" applyBorder="1" applyAlignment="1">
      <alignment wrapText="1"/>
    </xf>
    <xf numFmtId="0" fontId="0" fillId="0" borderId="49" xfId="0" applyBorder="1" applyAlignment="1">
      <alignment wrapText="1"/>
    </xf>
    <xf numFmtId="3" fontId="150" fillId="0" borderId="10" xfId="0" applyNumberFormat="1" applyFont="1" applyBorder="1" applyAlignment="1">
      <alignment horizontal="center" vertical="center"/>
    </xf>
    <xf numFmtId="0" fontId="58" fillId="0" borderId="50" xfId="92" applyFont="1" applyBorder="1" applyAlignment="1">
      <alignment horizontal="center" vertical="center" wrapText="1"/>
      <protection/>
    </xf>
    <xf numFmtId="0" fontId="58" fillId="0" borderId="54" xfId="92" applyFont="1" applyBorder="1" applyAlignment="1">
      <alignment horizontal="center" vertical="center" wrapText="1"/>
      <protection/>
    </xf>
    <xf numFmtId="0" fontId="58" fillId="0" borderId="49" xfId="92" applyFont="1" applyBorder="1" applyAlignment="1">
      <alignment horizontal="center" vertical="center" wrapText="1"/>
      <protection/>
    </xf>
    <xf numFmtId="3" fontId="159" fillId="0" borderId="54" xfId="0" applyNumberFormat="1" applyFont="1" applyBorder="1" applyAlignment="1">
      <alignment horizontal="center" vertical="center" wrapText="1"/>
    </xf>
    <xf numFmtId="3" fontId="159" fillId="0" borderId="49" xfId="0" applyNumberFormat="1" applyFont="1" applyBorder="1" applyAlignment="1">
      <alignment horizontal="center" vertical="center" wrapText="1"/>
    </xf>
    <xf numFmtId="3" fontId="159" fillId="0" borderId="10" xfId="0" applyNumberFormat="1" applyFont="1" applyBorder="1" applyAlignment="1">
      <alignment horizontal="center" vertical="center" wrapText="1"/>
    </xf>
    <xf numFmtId="0" fontId="152" fillId="0" borderId="10" xfId="0" applyFont="1" applyBorder="1" applyAlignment="1">
      <alignment horizontal="center" vertical="center" wrapText="1"/>
    </xf>
    <xf numFmtId="49" fontId="58" fillId="0" borderId="10" xfId="92" applyNumberFormat="1" applyFont="1" applyBorder="1" applyAlignment="1">
      <alignment horizontal="center" vertical="center" wrapText="1"/>
      <protection/>
    </xf>
    <xf numFmtId="49" fontId="0" fillId="0" borderId="50"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58" fillId="0" borderId="62" xfId="92" applyNumberFormat="1" applyFont="1" applyBorder="1" applyAlignment="1">
      <alignment horizontal="center" vertical="center" wrapText="1"/>
      <protection/>
    </xf>
    <xf numFmtId="49" fontId="58" fillId="0" borderId="57" xfId="92" applyNumberFormat="1" applyFont="1" applyBorder="1" applyAlignment="1">
      <alignment horizontal="center" vertical="center" wrapText="1"/>
      <protection/>
    </xf>
    <xf numFmtId="49" fontId="58" fillId="0" borderId="48" xfId="92" applyNumberFormat="1" applyFont="1" applyBorder="1" applyAlignment="1">
      <alignment horizontal="center" vertical="center" wrapText="1"/>
      <protection/>
    </xf>
    <xf numFmtId="0" fontId="52" fillId="0" borderId="10" xfId="0" applyFont="1" applyBorder="1" applyAlignment="1">
      <alignment horizontal="center" vertical="center" wrapText="1"/>
    </xf>
    <xf numFmtId="3" fontId="58" fillId="0" borderId="10" xfId="92" applyNumberFormat="1" applyFont="1" applyBorder="1" applyAlignment="1">
      <alignment horizontal="center" vertical="center" wrapText="1"/>
      <protection/>
    </xf>
    <xf numFmtId="3" fontId="150" fillId="0" borderId="10" xfId="51" applyNumberFormat="1" applyFont="1" applyBorder="1" applyAlignment="1">
      <alignment vertical="center" wrapText="1"/>
    </xf>
    <xf numFmtId="0" fontId="58" fillId="0" borderId="10" xfId="92" applyFont="1" applyBorder="1" applyAlignment="1">
      <alignment horizontal="center" vertical="center" wrapText="1"/>
      <protection/>
    </xf>
    <xf numFmtId="9" fontId="49" fillId="0" borderId="10" xfId="0" applyNumberFormat="1" applyFont="1" applyBorder="1" applyAlignment="1" quotePrefix="1">
      <alignment horizontal="center" vertical="center" wrapText="1"/>
    </xf>
    <xf numFmtId="0" fontId="152" fillId="33" borderId="51" xfId="0" applyFont="1" applyFill="1" applyBorder="1" applyAlignment="1">
      <alignment horizontal="right" vertical="center" wrapText="1"/>
    </xf>
    <xf numFmtId="0" fontId="152" fillId="33" borderId="76" xfId="0" applyFont="1" applyFill="1" applyBorder="1" applyAlignment="1">
      <alignment horizontal="right" vertical="center" wrapText="1"/>
    </xf>
    <xf numFmtId="0" fontId="152" fillId="33" borderId="47" xfId="0" applyFont="1" applyFill="1" applyBorder="1" applyAlignment="1">
      <alignment horizontal="right" vertical="center" wrapText="1"/>
    </xf>
    <xf numFmtId="0" fontId="152" fillId="42" borderId="51" xfId="0" applyFont="1" applyFill="1" applyBorder="1" applyAlignment="1">
      <alignment horizontal="left" vertical="center" wrapText="1"/>
    </xf>
    <xf numFmtId="0" fontId="152" fillId="42" borderId="76" xfId="0" applyFont="1" applyFill="1" applyBorder="1" applyAlignment="1">
      <alignment horizontal="left" vertical="center" wrapText="1"/>
    </xf>
    <xf numFmtId="0" fontId="152" fillId="42" borderId="47" xfId="0" applyFont="1" applyFill="1" applyBorder="1" applyAlignment="1">
      <alignment horizontal="left" vertical="center" wrapText="1"/>
    </xf>
    <xf numFmtId="3" fontId="152" fillId="0" borderId="10" xfId="0" applyNumberFormat="1" applyFont="1" applyBorder="1" applyAlignment="1">
      <alignment horizontal="center" vertical="center"/>
    </xf>
    <xf numFmtId="0" fontId="152" fillId="33" borderId="51" xfId="0" applyFont="1" applyFill="1" applyBorder="1" applyAlignment="1">
      <alignment horizontal="center" vertical="center" wrapText="1"/>
    </xf>
    <xf numFmtId="0" fontId="152" fillId="33" borderId="76" xfId="0" applyFont="1" applyFill="1" applyBorder="1" applyAlignment="1">
      <alignment horizontal="center" vertical="center" wrapText="1"/>
    </xf>
    <xf numFmtId="0" fontId="152" fillId="33" borderId="47" xfId="0" applyFont="1" applyFill="1" applyBorder="1" applyAlignment="1">
      <alignment horizontal="center" vertical="center" wrapText="1"/>
    </xf>
    <xf numFmtId="3" fontId="60" fillId="0" borderId="62" xfId="92" applyNumberFormat="1" applyFont="1" applyBorder="1" applyAlignment="1">
      <alignment horizontal="center" vertical="center" wrapText="1"/>
      <protection/>
    </xf>
    <xf numFmtId="3" fontId="60" fillId="0" borderId="57" xfId="92" applyNumberFormat="1" applyFont="1" applyBorder="1" applyAlignment="1">
      <alignment horizontal="center" vertical="center" wrapText="1"/>
      <protection/>
    </xf>
    <xf numFmtId="3" fontId="60" fillId="0" borderId="48" xfId="92" applyNumberFormat="1" applyFont="1" applyBorder="1" applyAlignment="1">
      <alignment horizontal="center" vertical="center" wrapText="1"/>
      <protection/>
    </xf>
    <xf numFmtId="0" fontId="60" fillId="0" borderId="62" xfId="92" applyFont="1" applyBorder="1" applyAlignment="1">
      <alignment horizontal="center" vertical="center" wrapText="1"/>
      <protection/>
    </xf>
    <xf numFmtId="0" fontId="60" fillId="0" borderId="57" xfId="92" applyFont="1" applyBorder="1" applyAlignment="1">
      <alignment horizontal="center" vertical="center" wrapText="1"/>
      <protection/>
    </xf>
    <xf numFmtId="0" fontId="60" fillId="0" borderId="48" xfId="92" applyFont="1" applyBorder="1" applyAlignment="1">
      <alignment horizontal="center" vertical="center" wrapText="1"/>
      <protection/>
    </xf>
    <xf numFmtId="0" fontId="152" fillId="42" borderId="51" xfId="0" applyFont="1" applyFill="1" applyBorder="1" applyAlignment="1">
      <alignment horizontal="right" vertical="center" wrapText="1"/>
    </xf>
    <xf numFmtId="0" fontId="152" fillId="42" borderId="76" xfId="0" applyFont="1" applyFill="1" applyBorder="1" applyAlignment="1">
      <alignment horizontal="right" vertical="center" wrapText="1"/>
    </xf>
    <xf numFmtId="0" fontId="152" fillId="42" borderId="47" xfId="0" applyFont="1" applyFill="1" applyBorder="1" applyAlignment="1">
      <alignment horizontal="right" vertical="center" wrapText="1"/>
    </xf>
    <xf numFmtId="3" fontId="150" fillId="0" borderId="50" xfId="0" applyNumberFormat="1" applyFont="1" applyBorder="1" applyAlignment="1">
      <alignment horizontal="center" vertical="center"/>
    </xf>
    <xf numFmtId="3" fontId="152" fillId="0" borderId="50" xfId="0" applyNumberFormat="1" applyFont="1" applyBorder="1" applyAlignment="1">
      <alignment horizontal="center" vertical="center"/>
    </xf>
    <xf numFmtId="3" fontId="150" fillId="0" borderId="50" xfId="0" applyNumberFormat="1" applyFont="1" applyBorder="1" applyAlignment="1">
      <alignment horizontal="center" vertical="center" wrapText="1"/>
    </xf>
    <xf numFmtId="3" fontId="150" fillId="0" borderId="49" xfId="0" applyNumberFormat="1" applyFont="1" applyBorder="1" applyAlignment="1">
      <alignment horizontal="center" vertical="center" wrapText="1"/>
    </xf>
    <xf numFmtId="0" fontId="152" fillId="33" borderId="51" xfId="0" applyFont="1" applyFill="1" applyBorder="1" applyAlignment="1">
      <alignment horizontal="center" vertical="center"/>
    </xf>
    <xf numFmtId="0" fontId="152" fillId="33" borderId="76" xfId="0" applyFont="1" applyFill="1" applyBorder="1" applyAlignment="1">
      <alignment horizontal="center" vertical="center"/>
    </xf>
    <xf numFmtId="0" fontId="152" fillId="33" borderId="47" xfId="0" applyFont="1" applyFill="1" applyBorder="1" applyAlignment="1">
      <alignment horizontal="center" vertical="center"/>
    </xf>
    <xf numFmtId="0" fontId="159" fillId="0" borderId="10" xfId="0" applyFont="1" applyBorder="1" applyAlignment="1">
      <alignment horizontal="center" vertical="center" wrapText="1"/>
    </xf>
    <xf numFmtId="0" fontId="152" fillId="0" borderId="50" xfId="0" applyFont="1" applyBorder="1" applyAlignment="1">
      <alignment horizontal="center" vertical="center" wrapText="1"/>
    </xf>
    <xf numFmtId="0" fontId="152" fillId="0" borderId="49" xfId="0" applyFont="1" applyBorder="1" applyAlignment="1">
      <alignment horizontal="center" vertical="center" wrapText="1"/>
    </xf>
    <xf numFmtId="3" fontId="150" fillId="0" borderId="54" xfId="51" applyNumberFormat="1" applyFont="1" applyBorder="1" applyAlignment="1">
      <alignment horizontal="center" vertical="center" wrapText="1"/>
    </xf>
    <xf numFmtId="3" fontId="150" fillId="0" borderId="49" xfId="51" applyNumberFormat="1" applyFont="1" applyBorder="1" applyAlignment="1">
      <alignment horizontal="center" vertical="center" wrapText="1"/>
    </xf>
    <xf numFmtId="0" fontId="186" fillId="0" borderId="50" xfId="0" applyFont="1" applyBorder="1" applyAlignment="1">
      <alignment horizontal="center" vertical="center" wrapText="1"/>
    </xf>
    <xf numFmtId="0" fontId="186" fillId="0" borderId="49" xfId="0" applyFont="1" applyBorder="1" applyAlignment="1">
      <alignment horizontal="center" vertical="center" wrapText="1"/>
    </xf>
    <xf numFmtId="3" fontId="0" fillId="0" borderId="50" xfId="0" applyNumberFormat="1" applyBorder="1" applyAlignment="1">
      <alignment horizontal="center" vertical="center"/>
    </xf>
    <xf numFmtId="3" fontId="0" fillId="0" borderId="49" xfId="0" applyNumberFormat="1" applyBorder="1" applyAlignment="1">
      <alignment horizontal="center" vertical="center"/>
    </xf>
    <xf numFmtId="0" fontId="0" fillId="0" borderId="10" xfId="0" applyFont="1" applyBorder="1" applyAlignment="1">
      <alignment horizontal="center" vertical="center" wrapText="1"/>
    </xf>
    <xf numFmtId="0" fontId="164" fillId="33" borderId="51" xfId="0" applyFont="1" applyFill="1" applyBorder="1" applyAlignment="1">
      <alignment horizontal="center" vertical="center" wrapText="1"/>
    </xf>
    <xf numFmtId="0" fontId="164" fillId="33" borderId="76" xfId="0" applyFont="1" applyFill="1" applyBorder="1" applyAlignment="1">
      <alignment horizontal="center" vertical="center" wrapText="1"/>
    </xf>
    <xf numFmtId="0" fontId="164" fillId="33" borderId="47" xfId="0" applyFont="1" applyFill="1" applyBorder="1" applyAlignment="1">
      <alignment horizontal="center" vertical="center" wrapText="1"/>
    </xf>
    <xf numFmtId="3" fontId="150" fillId="0" borderId="54" xfId="0" applyNumberFormat="1" applyFont="1" applyBorder="1" applyAlignment="1">
      <alignment horizontal="center" vertical="center" wrapText="1"/>
    </xf>
    <xf numFmtId="0" fontId="150" fillId="0" borderId="54" xfId="0" applyFont="1" applyBorder="1" applyAlignment="1">
      <alignment horizontal="center" vertical="center"/>
    </xf>
    <xf numFmtId="43" fontId="159" fillId="0" borderId="10" xfId="51" applyFont="1" applyBorder="1" applyAlignment="1">
      <alignment horizontal="center" vertical="center" wrapText="1"/>
    </xf>
    <xf numFmtId="0" fontId="153" fillId="33" borderId="75" xfId="0" applyFont="1" applyFill="1" applyBorder="1" applyAlignment="1">
      <alignment horizontal="center" vertical="center" wrapText="1"/>
    </xf>
    <xf numFmtId="0" fontId="153" fillId="33" borderId="88" xfId="0" applyFont="1" applyFill="1" applyBorder="1" applyAlignment="1">
      <alignment horizontal="center" vertical="center" wrapText="1"/>
    </xf>
    <xf numFmtId="0" fontId="153" fillId="33" borderId="48" xfId="0" applyFont="1" applyFill="1" applyBorder="1" applyAlignment="1">
      <alignment horizontal="center" vertical="center" wrapText="1"/>
    </xf>
    <xf numFmtId="43" fontId="0" fillId="0" borderId="50" xfId="51" applyFont="1" applyBorder="1" applyAlignment="1">
      <alignment horizontal="center" vertical="center" wrapText="1"/>
    </xf>
    <xf numFmtId="43" fontId="159" fillId="0" borderId="50" xfId="51" applyFont="1" applyBorder="1" applyAlignment="1">
      <alignment horizontal="center" vertical="center" wrapText="1"/>
    </xf>
    <xf numFmtId="43" fontId="159" fillId="0" borderId="54" xfId="51" applyFont="1" applyBorder="1" applyAlignment="1">
      <alignment horizontal="center" vertical="center" wrapText="1"/>
    </xf>
    <xf numFmtId="43" fontId="159" fillId="0" borderId="49" xfId="51" applyFont="1" applyBorder="1" applyAlignment="1">
      <alignment horizontal="center" vertical="center" wrapText="1"/>
    </xf>
    <xf numFmtId="43" fontId="58" fillId="0" borderId="10" xfId="51" applyFont="1" applyBorder="1" applyAlignment="1">
      <alignment horizontal="center" vertical="center" wrapText="1"/>
    </xf>
    <xf numFmtId="43" fontId="159" fillId="0" borderId="62" xfId="51" applyFont="1" applyBorder="1" applyAlignment="1">
      <alignment horizontal="center" vertical="center" wrapText="1"/>
    </xf>
    <xf numFmtId="43" fontId="159" fillId="0" borderId="48" xfId="51" applyFont="1" applyBorder="1" applyAlignment="1">
      <alignment horizontal="center" vertical="center" wrapText="1"/>
    </xf>
    <xf numFmtId="43" fontId="0" fillId="0" borderId="50" xfId="51" applyFont="1" applyBorder="1" applyAlignment="1">
      <alignment horizontal="center" vertical="center"/>
    </xf>
    <xf numFmtId="0" fontId="0" fillId="0" borderId="49" xfId="0" applyBorder="1" applyAlignment="1">
      <alignment horizontal="center" vertical="center"/>
    </xf>
    <xf numFmtId="0" fontId="159" fillId="0" borderId="62" xfId="0" applyFont="1" applyBorder="1" applyAlignment="1">
      <alignment horizontal="center" vertical="center" wrapText="1"/>
    </xf>
    <xf numFmtId="0" fontId="159" fillId="0" borderId="48" xfId="0" applyFont="1" applyBorder="1" applyAlignment="1">
      <alignment horizontal="center" vertical="center" wrapText="1"/>
    </xf>
    <xf numFmtId="0" fontId="163" fillId="42" borderId="51" xfId="0" applyFont="1" applyFill="1" applyBorder="1" applyAlignment="1">
      <alignment horizontal="right" vertical="center" wrapText="1"/>
    </xf>
    <xf numFmtId="0" fontId="163" fillId="42" borderId="76" xfId="0" applyFont="1" applyFill="1" applyBorder="1" applyAlignment="1">
      <alignment horizontal="right" vertical="center" wrapText="1"/>
    </xf>
    <xf numFmtId="0" fontId="163" fillId="42" borderId="47" xfId="0" applyFont="1" applyFill="1" applyBorder="1" applyAlignment="1">
      <alignment horizontal="right" vertical="center" wrapText="1"/>
    </xf>
    <xf numFmtId="3" fontId="150" fillId="0" borderId="10" xfId="0" applyNumberFormat="1" applyFont="1" applyBorder="1" applyAlignment="1">
      <alignment vertical="center"/>
    </xf>
    <xf numFmtId="0" fontId="150" fillId="0" borderId="10" xfId="0" applyFont="1" applyBorder="1" applyAlignment="1">
      <alignment horizontal="center"/>
    </xf>
    <xf numFmtId="49" fontId="0" fillId="0" borderId="54" xfId="0" applyNumberFormat="1" applyBorder="1" applyAlignment="1">
      <alignment horizontal="center" vertical="center" wrapText="1"/>
    </xf>
    <xf numFmtId="3" fontId="58" fillId="43" borderId="62" xfId="92" applyNumberFormat="1" applyFont="1" applyFill="1" applyBorder="1" applyAlignment="1">
      <alignment horizontal="center" vertical="center" wrapText="1"/>
      <protection/>
    </xf>
    <xf numFmtId="3" fontId="58" fillId="43" borderId="48" xfId="92" applyNumberFormat="1" applyFont="1" applyFill="1" applyBorder="1" applyAlignment="1">
      <alignment horizontal="center" vertical="center" wrapText="1"/>
      <protection/>
    </xf>
    <xf numFmtId="0" fontId="54" fillId="33" borderId="51" xfId="0" applyFont="1" applyFill="1" applyBorder="1" applyAlignment="1">
      <alignment horizontal="center" vertical="center" wrapText="1"/>
    </xf>
    <xf numFmtId="0" fontId="54" fillId="33" borderId="76" xfId="0" applyFont="1" applyFill="1" applyBorder="1" applyAlignment="1">
      <alignment horizontal="center" vertical="center" wrapText="1"/>
    </xf>
    <xf numFmtId="0" fontId="54" fillId="33" borderId="47" xfId="0" applyFont="1" applyFill="1" applyBorder="1" applyAlignment="1">
      <alignment horizontal="center" vertical="center" wrapText="1"/>
    </xf>
    <xf numFmtId="0" fontId="58" fillId="43" borderId="62" xfId="92" applyFont="1" applyFill="1" applyBorder="1" applyAlignment="1">
      <alignment horizontal="center" vertical="center" wrapText="1"/>
      <protection/>
    </xf>
    <xf numFmtId="0" fontId="58" fillId="43" borderId="48" xfId="92" applyFont="1" applyFill="1" applyBorder="1" applyAlignment="1">
      <alignment horizontal="center" vertical="center" wrapText="1"/>
      <protection/>
    </xf>
    <xf numFmtId="3" fontId="59" fillId="0" borderId="10" xfId="92" applyNumberFormat="1" applyFont="1" applyBorder="1" applyAlignment="1">
      <alignment horizontal="center" vertical="center" wrapText="1"/>
      <protection/>
    </xf>
    <xf numFmtId="3" fontId="0" fillId="0" borderId="54" xfId="0" applyNumberFormat="1" applyBorder="1" applyAlignment="1">
      <alignment horizontal="center" vertical="center"/>
    </xf>
    <xf numFmtId="0" fontId="59" fillId="0" borderId="10" xfId="92" applyFont="1" applyBorder="1" applyAlignment="1">
      <alignment horizontal="center" vertical="center" wrapText="1"/>
      <protection/>
    </xf>
    <xf numFmtId="3" fontId="59" fillId="0" borderId="62" xfId="92" applyNumberFormat="1" applyFont="1" applyBorder="1" applyAlignment="1">
      <alignment horizontal="center" vertical="center" wrapText="1"/>
      <protection/>
    </xf>
    <xf numFmtId="3" fontId="59" fillId="0" borderId="57" xfId="92" applyNumberFormat="1" applyFont="1" applyBorder="1" applyAlignment="1">
      <alignment horizontal="center" vertical="center" wrapText="1"/>
      <protection/>
    </xf>
    <xf numFmtId="3" fontId="59" fillId="0" borderId="50" xfId="92" applyNumberFormat="1" applyFont="1" applyBorder="1" applyAlignment="1">
      <alignment horizontal="center" vertical="center" wrapText="1"/>
      <protection/>
    </xf>
    <xf numFmtId="3" fontId="59" fillId="0" borderId="49" xfId="92" applyNumberFormat="1" applyFont="1" applyBorder="1" applyAlignment="1">
      <alignment horizontal="center" vertical="center" wrapText="1"/>
      <protection/>
    </xf>
    <xf numFmtId="3" fontId="150" fillId="0" borderId="10" xfId="0" applyNumberFormat="1" applyFont="1" applyFill="1" applyBorder="1" applyAlignment="1">
      <alignment horizontal="center" vertical="center" wrapText="1"/>
    </xf>
    <xf numFmtId="0" fontId="59" fillId="0" borderId="62" xfId="92" applyFont="1" applyBorder="1" applyAlignment="1">
      <alignment horizontal="center" vertical="center" wrapText="1"/>
      <protection/>
    </xf>
    <xf numFmtId="0" fontId="59" fillId="0" borderId="57" xfId="92" applyFont="1" applyBorder="1" applyAlignment="1">
      <alignment horizontal="center" vertical="center" wrapText="1"/>
      <protection/>
    </xf>
    <xf numFmtId="3" fontId="59" fillId="0" borderId="54" xfId="92" applyNumberFormat="1" applyFont="1" applyBorder="1" applyAlignment="1">
      <alignment horizontal="center" vertical="center" wrapText="1"/>
      <protection/>
    </xf>
    <xf numFmtId="10" fontId="150" fillId="0" borderId="10" xfId="0" applyNumberFormat="1" applyFont="1" applyBorder="1" applyAlignment="1">
      <alignment horizontal="center" vertical="center" wrapText="1"/>
    </xf>
    <xf numFmtId="9" fontId="150" fillId="33" borderId="10" xfId="0" applyNumberFormat="1" applyFont="1" applyFill="1" applyBorder="1" applyAlignment="1">
      <alignment horizontal="center" vertical="center" wrapText="1"/>
    </xf>
    <xf numFmtId="0" fontId="150" fillId="33" borderId="10" xfId="0" applyFont="1" applyFill="1" applyBorder="1" applyAlignment="1">
      <alignment horizontal="center" vertical="center" wrapText="1"/>
    </xf>
    <xf numFmtId="0" fontId="152" fillId="0" borderId="50" xfId="0" applyFont="1" applyFill="1" applyBorder="1" applyAlignment="1">
      <alignment horizontal="center" vertical="center" wrapText="1"/>
    </xf>
    <xf numFmtId="0" fontId="152" fillId="0" borderId="49" xfId="0" applyFont="1" applyFill="1" applyBorder="1" applyAlignment="1">
      <alignment horizontal="center" vertical="center" wrapText="1"/>
    </xf>
    <xf numFmtId="9" fontId="150" fillId="0" borderId="50" xfId="0" applyNumberFormat="1" applyFont="1" applyFill="1" applyBorder="1" applyAlignment="1">
      <alignment horizontal="center" vertical="center" wrapText="1"/>
    </xf>
    <xf numFmtId="9" fontId="150" fillId="0" borderId="49" xfId="0" applyNumberFormat="1" applyFont="1" applyFill="1" applyBorder="1" applyAlignment="1">
      <alignment horizontal="center" vertical="center" wrapText="1"/>
    </xf>
    <xf numFmtId="0" fontId="150" fillId="0" borderId="50" xfId="0" applyFont="1" applyBorder="1" applyAlignment="1">
      <alignment vertical="center" wrapText="1"/>
    </xf>
    <xf numFmtId="0" fontId="0" fillId="0" borderId="54" xfId="0" applyBorder="1" applyAlignment="1">
      <alignment/>
    </xf>
    <xf numFmtId="0" fontId="0" fillId="0" borderId="49" xfId="0" applyBorder="1" applyAlignment="1">
      <alignment/>
    </xf>
    <xf numFmtId="0" fontId="0" fillId="0" borderId="49" xfId="0" applyBorder="1" applyAlignment="1">
      <alignment vertical="center" wrapText="1"/>
    </xf>
    <xf numFmtId="3" fontId="56" fillId="33" borderId="50" xfId="85" applyNumberFormat="1" applyFont="1" applyFill="1" applyBorder="1" applyAlignment="1">
      <alignment horizontal="center" vertical="center" wrapText="1"/>
      <protection/>
    </xf>
    <xf numFmtId="3" fontId="10" fillId="33" borderId="10" xfId="85" applyNumberFormat="1" applyFont="1" applyFill="1" applyBorder="1" applyAlignment="1">
      <alignment horizontal="center" vertical="center" wrapText="1"/>
      <protection/>
    </xf>
    <xf numFmtId="3" fontId="10" fillId="33" borderId="51" xfId="85" applyNumberFormat="1" applyFont="1" applyFill="1" applyBorder="1" applyAlignment="1">
      <alignment horizontal="center" vertical="center" wrapText="1"/>
      <protection/>
    </xf>
    <xf numFmtId="3" fontId="10" fillId="33" borderId="47" xfId="85" applyNumberFormat="1" applyFont="1" applyFill="1" applyBorder="1" applyAlignment="1">
      <alignment horizontal="center" vertical="center" wrapText="1"/>
      <protection/>
    </xf>
    <xf numFmtId="3" fontId="10" fillId="33" borderId="76" xfId="85" applyNumberFormat="1" applyFont="1" applyFill="1" applyBorder="1" applyAlignment="1">
      <alignment horizontal="center" vertical="center" wrapText="1"/>
      <protection/>
    </xf>
    <xf numFmtId="3" fontId="20" fillId="42" borderId="52" xfId="0" applyNumberFormat="1" applyFont="1" applyFill="1" applyBorder="1" applyAlignment="1">
      <alignment horizontal="center" vertical="center" wrapText="1"/>
    </xf>
    <xf numFmtId="3" fontId="20" fillId="42" borderId="64" xfId="0" applyNumberFormat="1" applyFont="1" applyFill="1" applyBorder="1" applyAlignment="1">
      <alignment horizontal="center" vertical="center" wrapText="1"/>
    </xf>
    <xf numFmtId="3" fontId="20" fillId="42" borderId="62" xfId="0" applyNumberFormat="1" applyFont="1" applyFill="1" applyBorder="1" applyAlignment="1">
      <alignment horizontal="center" vertical="center" wrapText="1"/>
    </xf>
    <xf numFmtId="3" fontId="55" fillId="33" borderId="62" xfId="85" applyNumberFormat="1" applyFont="1" applyFill="1" applyBorder="1" applyAlignment="1">
      <alignment horizontal="center" vertical="center" wrapText="1"/>
      <protection/>
    </xf>
    <xf numFmtId="3" fontId="55" fillId="33" borderId="57" xfId="85" applyNumberFormat="1" applyFont="1" applyFill="1" applyBorder="1" applyAlignment="1">
      <alignment horizontal="center" vertical="center" wrapText="1"/>
      <protection/>
    </xf>
    <xf numFmtId="0" fontId="10" fillId="42" borderId="10" xfId="0" applyFont="1" applyFill="1" applyBorder="1" applyAlignment="1">
      <alignment horizontal="center" vertical="center"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Millares [0] 2" xfId="53"/>
    <cellStyle name="Millares [0] 2 2" xfId="54"/>
    <cellStyle name="Millares 10" xfId="55"/>
    <cellStyle name="Millares 11" xfId="56"/>
    <cellStyle name="Millares 2" xfId="57"/>
    <cellStyle name="Millares 2 2" xfId="58"/>
    <cellStyle name="Millares 2 2 2" xfId="59"/>
    <cellStyle name="Millares 2 2 3" xfId="60"/>
    <cellStyle name="Millares 3" xfId="61"/>
    <cellStyle name="Millares 3 2" xfId="62"/>
    <cellStyle name="Millares 3 2 2" xfId="63"/>
    <cellStyle name="Millares 3 2 2 2" xfId="64"/>
    <cellStyle name="Millares 3 3" xfId="65"/>
    <cellStyle name="Millares 3 3 2" xfId="66"/>
    <cellStyle name="Millares 4" xfId="67"/>
    <cellStyle name="Millares 4 2" xfId="68"/>
    <cellStyle name="Millares 4 2 2" xfId="69"/>
    <cellStyle name="Millares 5" xfId="70"/>
    <cellStyle name="Millares 5 2" xfId="71"/>
    <cellStyle name="Millares 6" xfId="72"/>
    <cellStyle name="Millares 6 2" xfId="73"/>
    <cellStyle name="Millares 7" xfId="74"/>
    <cellStyle name="Millares 7 2" xfId="75"/>
    <cellStyle name="Millares 8" xfId="76"/>
    <cellStyle name="Millares 8 2" xfId="77"/>
    <cellStyle name="Millares 9" xfId="78"/>
    <cellStyle name="Currency" xfId="79"/>
    <cellStyle name="Currency [0]" xfId="80"/>
    <cellStyle name="Neutral" xfId="81"/>
    <cellStyle name="Normal 2" xfId="82"/>
    <cellStyle name="Normal 2 2" xfId="83"/>
    <cellStyle name="Normal 2 3" xfId="84"/>
    <cellStyle name="Normal 2 4" xfId="85"/>
    <cellStyle name="Normal 3" xfId="86"/>
    <cellStyle name="Normal 3 2" xfId="87"/>
    <cellStyle name="Normal 3 2 2" xfId="88"/>
    <cellStyle name="Normal 3 3" xfId="89"/>
    <cellStyle name="Normal 4" xfId="90"/>
    <cellStyle name="Normal 5" xfId="91"/>
    <cellStyle name="Normal 6" xfId="92"/>
    <cellStyle name="Notas" xfId="93"/>
    <cellStyle name="Percent" xfId="94"/>
    <cellStyle name="Porcentaje 2" xfId="95"/>
    <cellStyle name="Porcentual 2" xfId="96"/>
    <cellStyle name="Porcentual 2 2" xfId="97"/>
    <cellStyle name="Porcentual 3" xfId="98"/>
    <cellStyle name="Porcentual 3 2"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kup%20dell\PROPUESTA%20SERVICIOS%20PROFESIONALES\TERMINOS%20DE%20REFERENCIA\GOBERNACION%20DEL%20CESAR\CONSULTORIA%20PNUD\MUNICIPIOS%20CESAR\BECERRIL\BECERRIL\SOLICITUD%20CREDITO\FORMATOS%20ANALISIS%20FCIE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fael\Downloads\PLANTILLA%20DEFINITIVA%20PRESUPUESTO%202013%20LA%20JAGU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SAURA\Documents\Documents\LA%20JAGUA%20DE%20IBIRICO%202012\EJECUCIONES%20DEFINITIVAS%20JAGUA%20%202012\EJECUCIONES%20A%20SEPTIEMBRE%202012\Gasto%20septiembre%20isaura%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afael\Downloads\PRESUPUESTO%202013\PRESUPUESTO%202013%20LA%20JAGUA%20DE%20IBIRICO\ejecucion%20de%20ingresos%20a%20septiembr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Gastos"/>
      <sheetName val="Balance Financiero"/>
      <sheetName val="Ley 617"/>
      <sheetName val="Capacidad de Pago"/>
      <sheetName val="Pasivo a Cancelar y Deuda"/>
      <sheetName val="Fuentes y Usos Seguimiento"/>
      <sheetName val="Fuentes y Usos Proyecciones"/>
      <sheetName val="Ingresos Proyecciones"/>
      <sheetName val="Gastos Proyecciones"/>
      <sheetName val="Cuadros para Informe Municipios"/>
      <sheetName val="Variación Cuentas por Pagar"/>
      <sheetName val="Resumen Indicadores"/>
      <sheetName val="Gráf  Déf-Sup Primario"/>
      <sheetName val="Gráf Déf-Aho Corriente"/>
      <sheetName val="Gráf Déf-Sup Total"/>
      <sheetName val=" Gráf Comp Ing Tributarios"/>
      <sheetName val="Gráf Comp Gastos Funcionamien"/>
      <sheetName val=" Gráf Comp Ingresos"/>
      <sheetName val=" Gráf Comp Gastos"/>
      <sheetName val="Gráf Comp Transf"/>
    </sheetNames>
    <sheetDataSet>
      <sheetData sheetId="1">
        <row r="53">
          <cell r="P53">
            <v>0</v>
          </cell>
        </row>
      </sheetData>
      <sheetData sheetId="5">
        <row r="1">
          <cell r="C1">
            <v>1900</v>
          </cell>
          <cell r="D1">
            <v>1901</v>
          </cell>
          <cell r="E1">
            <v>1902</v>
          </cell>
          <cell r="F1">
            <v>1903</v>
          </cell>
          <cell r="G1">
            <v>1904</v>
          </cell>
          <cell r="H1">
            <v>1905</v>
          </cell>
          <cell r="I1">
            <v>1906</v>
          </cell>
          <cell r="J1">
            <v>1907</v>
          </cell>
          <cell r="K1">
            <v>1908</v>
          </cell>
          <cell r="L1">
            <v>1909</v>
          </cell>
          <cell r="M1">
            <v>1910</v>
          </cell>
          <cell r="N1">
            <v>1911</v>
          </cell>
          <cell r="O1">
            <v>1912</v>
          </cell>
          <cell r="P1">
            <v>1913</v>
          </cell>
          <cell r="Q1">
            <v>1914</v>
          </cell>
        </row>
        <row r="2">
          <cell r="A2" t="str">
            <v>151A</v>
          </cell>
          <cell r="B2" t="str">
            <v> PAGO DE DÉFICIT DE VIGENCIAS ANTERIORES</v>
          </cell>
          <cell r="C2">
            <v>0</v>
          </cell>
          <cell r="D2">
            <v>0</v>
          </cell>
          <cell r="E2">
            <v>0</v>
          </cell>
          <cell r="F2">
            <v>0</v>
          </cell>
          <cell r="G2">
            <v>0</v>
          </cell>
          <cell r="H2">
            <v>0</v>
          </cell>
          <cell r="I2">
            <v>0</v>
          </cell>
          <cell r="J2">
            <v>0</v>
          </cell>
          <cell r="K2">
            <v>0</v>
          </cell>
          <cell r="L2">
            <v>0</v>
          </cell>
          <cell r="M2">
            <v>0</v>
          </cell>
          <cell r="N2">
            <v>0</v>
          </cell>
          <cell r="O2">
            <v>0</v>
          </cell>
          <cell r="P2">
            <v>0</v>
          </cell>
          <cell r="Q2">
            <v>0</v>
          </cell>
        </row>
        <row r="102">
          <cell r="C102">
            <v>3</v>
          </cell>
          <cell r="D102">
            <v>4</v>
          </cell>
          <cell r="E102">
            <v>5</v>
          </cell>
          <cell r="F102">
            <v>6</v>
          </cell>
          <cell r="G102">
            <v>7</v>
          </cell>
          <cell r="H102">
            <v>8</v>
          </cell>
          <cell r="I102">
            <v>9</v>
          </cell>
          <cell r="J102">
            <v>10</v>
          </cell>
          <cell r="K102">
            <v>11</v>
          </cell>
          <cell r="L102">
            <v>12</v>
          </cell>
          <cell r="M102">
            <v>13</v>
          </cell>
          <cell r="N102">
            <v>14</v>
          </cell>
          <cell r="O102">
            <v>15</v>
          </cell>
          <cell r="P102">
            <v>16</v>
          </cell>
          <cell r="Q102">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MesPptoCDPEjec.rpt"/>
    </sheetNames>
    <sheetDataSet>
      <sheetData sheetId="0">
        <row r="16">
          <cell r="H16">
            <v>1108990340</v>
          </cell>
        </row>
        <row r="18">
          <cell r="H18">
            <v>94395605</v>
          </cell>
        </row>
        <row r="19">
          <cell r="H19">
            <v>76177500</v>
          </cell>
        </row>
        <row r="20">
          <cell r="H20">
            <v>33123230</v>
          </cell>
        </row>
        <row r="21">
          <cell r="H21">
            <v>9423750</v>
          </cell>
        </row>
        <row r="23">
          <cell r="H23">
            <v>80000000</v>
          </cell>
        </row>
        <row r="25">
          <cell r="H25">
            <v>1383000000</v>
          </cell>
        </row>
        <row r="27">
          <cell r="H27">
            <v>310195326</v>
          </cell>
        </row>
        <row r="29">
          <cell r="H29">
            <v>25000000</v>
          </cell>
        </row>
        <row r="31">
          <cell r="H31">
            <v>109068262</v>
          </cell>
        </row>
        <row r="32">
          <cell r="H32">
            <v>11877000</v>
          </cell>
        </row>
        <row r="34">
          <cell r="H34">
            <v>101300490</v>
          </cell>
        </row>
        <row r="36">
          <cell r="H36">
            <v>21346500</v>
          </cell>
        </row>
        <row r="37">
          <cell r="H37">
            <v>5289400</v>
          </cell>
        </row>
        <row r="39">
          <cell r="H39">
            <v>33911739</v>
          </cell>
        </row>
        <row r="41">
          <cell r="H41">
            <v>6707826</v>
          </cell>
        </row>
        <row r="43">
          <cell r="H43">
            <v>7593913</v>
          </cell>
        </row>
        <row r="45">
          <cell r="H45">
            <v>10773913</v>
          </cell>
        </row>
        <row r="47">
          <cell r="H47">
            <v>44772610</v>
          </cell>
        </row>
        <row r="50">
          <cell r="H50">
            <v>30000000</v>
          </cell>
        </row>
        <row r="52">
          <cell r="H52">
            <v>349000000</v>
          </cell>
        </row>
        <row r="53">
          <cell r="H53">
            <v>30000000</v>
          </cell>
        </row>
        <row r="55">
          <cell r="H55">
            <v>177000000</v>
          </cell>
        </row>
        <row r="56">
          <cell r="H56">
            <v>50000000</v>
          </cell>
        </row>
        <row r="58">
          <cell r="H58">
            <v>350000000</v>
          </cell>
        </row>
        <row r="60">
          <cell r="H60">
            <v>130000000</v>
          </cell>
        </row>
        <row r="61">
          <cell r="H61">
            <v>107840880</v>
          </cell>
        </row>
        <row r="63">
          <cell r="H63">
            <v>60000000</v>
          </cell>
        </row>
        <row r="64">
          <cell r="H64">
            <v>7000000</v>
          </cell>
        </row>
        <row r="66">
          <cell r="H66">
            <v>293000000</v>
          </cell>
        </row>
        <row r="67">
          <cell r="H67">
            <v>0</v>
          </cell>
        </row>
        <row r="69">
          <cell r="H69">
            <v>450000000</v>
          </cell>
        </row>
        <row r="71">
          <cell r="H71">
            <v>16000000</v>
          </cell>
        </row>
        <row r="72">
          <cell r="H72">
            <v>42000000</v>
          </cell>
        </row>
        <row r="74">
          <cell r="H74">
            <v>250000000</v>
          </cell>
        </row>
        <row r="76">
          <cell r="H76">
            <v>150000000</v>
          </cell>
        </row>
        <row r="78">
          <cell r="H78">
            <v>10000000</v>
          </cell>
        </row>
        <row r="80">
          <cell r="H80">
            <v>20000000</v>
          </cell>
        </row>
        <row r="81">
          <cell r="H81">
            <v>45000000</v>
          </cell>
        </row>
        <row r="83">
          <cell r="H83">
            <v>150000000</v>
          </cell>
        </row>
        <row r="84">
          <cell r="H84">
            <v>35000000</v>
          </cell>
        </row>
        <row r="85">
          <cell r="H85">
            <v>5000000</v>
          </cell>
        </row>
        <row r="86">
          <cell r="H86">
            <v>594000000</v>
          </cell>
        </row>
        <row r="88">
          <cell r="H88">
            <v>20000000</v>
          </cell>
        </row>
        <row r="91">
          <cell r="H91">
            <v>390000</v>
          </cell>
        </row>
        <row r="92">
          <cell r="H92">
            <v>49590</v>
          </cell>
        </row>
        <row r="94">
          <cell r="H94">
            <v>1128600</v>
          </cell>
        </row>
        <row r="96">
          <cell r="H96">
            <v>44000000</v>
          </cell>
        </row>
        <row r="97">
          <cell r="H97">
            <v>360921907</v>
          </cell>
        </row>
        <row r="98">
          <cell r="H98">
            <v>3459120</v>
          </cell>
        </row>
        <row r="99">
          <cell r="H99">
            <v>155216880</v>
          </cell>
        </row>
        <row r="101">
          <cell r="H101">
            <v>195500000</v>
          </cell>
        </row>
        <row r="103">
          <cell r="H103">
            <v>137000000</v>
          </cell>
        </row>
        <row r="104">
          <cell r="H104">
            <v>240000000</v>
          </cell>
        </row>
        <row r="105">
          <cell r="H105">
            <v>651000</v>
          </cell>
        </row>
        <row r="107">
          <cell r="H107">
            <v>277955800</v>
          </cell>
        </row>
        <row r="109">
          <cell r="H109">
            <v>24150000</v>
          </cell>
        </row>
        <row r="110">
          <cell r="H110">
            <v>130250000</v>
          </cell>
        </row>
        <row r="111">
          <cell r="H111">
            <v>50000000</v>
          </cell>
        </row>
        <row r="112">
          <cell r="H112">
            <v>205444943.61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EjecucionIngresosContraloria"/>
      <sheetName val="InfEjecucionIngresosContral (2"/>
    </sheetNames>
    <sheetDataSet>
      <sheetData sheetId="0">
        <row r="31">
          <cell r="F31">
            <v>200000</v>
          </cell>
        </row>
        <row r="32">
          <cell r="F32">
            <v>20600000</v>
          </cell>
        </row>
        <row r="64">
          <cell r="F64">
            <v>6000000</v>
          </cell>
        </row>
        <row r="71">
          <cell r="F71">
            <v>750089526</v>
          </cell>
        </row>
        <row r="72">
          <cell r="F72">
            <v>518628000</v>
          </cell>
        </row>
        <row r="73">
          <cell r="F73">
            <v>1554155797</v>
          </cell>
        </row>
        <row r="75">
          <cell r="F75">
            <v>100779706</v>
          </cell>
        </row>
        <row r="76">
          <cell r="F76">
            <v>75584781</v>
          </cell>
        </row>
        <row r="77">
          <cell r="F77">
            <v>930363592</v>
          </cell>
        </row>
        <row r="78">
          <cell r="F78">
            <v>1857146730</v>
          </cell>
        </row>
        <row r="79">
          <cell r="F79">
            <v>211450196</v>
          </cell>
        </row>
        <row r="80">
          <cell r="F80">
            <v>68792700</v>
          </cell>
        </row>
        <row r="106">
          <cell r="F106">
            <v>20609000</v>
          </cell>
        </row>
        <row r="111">
          <cell r="F111">
            <v>417193482.5</v>
          </cell>
        </row>
        <row r="147">
          <cell r="F147">
            <v>3092789182.9</v>
          </cell>
        </row>
        <row r="148">
          <cell r="F148">
            <v>220961623</v>
          </cell>
        </row>
        <row r="149">
          <cell r="F149">
            <v>282656027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Z176"/>
  <sheetViews>
    <sheetView zoomScalePageLayoutView="0" workbookViewId="0" topLeftCell="A2">
      <selection activeCell="H7" sqref="H7"/>
    </sheetView>
  </sheetViews>
  <sheetFormatPr defaultColWidth="11.421875" defaultRowHeight="15"/>
  <cols>
    <col min="1" max="1" width="19.57421875" style="1056" customWidth="1"/>
    <col min="2" max="2" width="5.8515625" style="1056" customWidth="1"/>
    <col min="3" max="3" width="63.28125" style="1057" customWidth="1"/>
    <col min="4" max="4" width="14.7109375" style="950" hidden="1" customWidth="1"/>
    <col min="5" max="5" width="13.7109375" style="950" hidden="1" customWidth="1"/>
    <col min="6" max="6" width="15.28125" style="950" bestFit="1" customWidth="1"/>
    <col min="7" max="8" width="17.28125" style="950" customWidth="1"/>
    <col min="9" max="9" width="16.421875" style="950" hidden="1" customWidth="1"/>
    <col min="10" max="13" width="6.28125" style="1058" hidden="1" customWidth="1"/>
    <col min="14" max="20" width="5.57421875" style="1058" hidden="1" customWidth="1"/>
    <col min="21" max="22" width="5.57421875" style="1059" hidden="1" customWidth="1"/>
    <col min="23" max="23" width="5.57421875" style="1056" hidden="1" customWidth="1"/>
    <col min="24" max="24" width="15.00390625" style="1057" hidden="1" customWidth="1"/>
    <col min="25" max="25" width="11.421875" style="1056" customWidth="1"/>
    <col min="26" max="26" width="14.7109375" style="1056" bestFit="1" customWidth="1"/>
    <col min="27" max="16384" width="11.421875" style="1056" customWidth="1"/>
  </cols>
  <sheetData>
    <row r="1" spans="1:24" s="923" customFormat="1" ht="12.75" hidden="1">
      <c r="A1" s="1184" t="s">
        <v>256</v>
      </c>
      <c r="B1" s="1184"/>
      <c r="C1" s="1184"/>
      <c r="D1" s="1184"/>
      <c r="E1" s="1184"/>
      <c r="F1" s="919"/>
      <c r="G1" s="919"/>
      <c r="H1" s="920"/>
      <c r="I1" s="921"/>
      <c r="J1" s="922"/>
      <c r="K1" s="922"/>
      <c r="L1" s="922"/>
      <c r="M1" s="922"/>
      <c r="N1" s="922"/>
      <c r="O1" s="922"/>
      <c r="P1" s="922"/>
      <c r="Q1" s="922"/>
      <c r="R1" s="922"/>
      <c r="S1" s="922"/>
      <c r="T1" s="922"/>
      <c r="U1" s="922"/>
      <c r="V1" s="922"/>
      <c r="X1" s="924"/>
    </row>
    <row r="2" spans="1:24" s="923" customFormat="1" ht="12.75">
      <c r="A2" s="1184" t="s">
        <v>396</v>
      </c>
      <c r="B2" s="1184"/>
      <c r="C2" s="1184"/>
      <c r="D2" s="1184"/>
      <c r="E2" s="1184"/>
      <c r="F2" s="919"/>
      <c r="G2" s="919"/>
      <c r="H2" s="920"/>
      <c r="I2" s="921"/>
      <c r="J2" s="922"/>
      <c r="K2" s="922"/>
      <c r="L2" s="922"/>
      <c r="M2" s="922"/>
      <c r="N2" s="922"/>
      <c r="O2" s="922"/>
      <c r="P2" s="922"/>
      <c r="Q2" s="922"/>
      <c r="R2" s="922"/>
      <c r="S2" s="922"/>
      <c r="T2" s="922"/>
      <c r="U2" s="922"/>
      <c r="V2" s="922"/>
      <c r="X2" s="924"/>
    </row>
    <row r="3" spans="1:24" s="923" customFormat="1" ht="12.75">
      <c r="A3" s="1184" t="s">
        <v>604</v>
      </c>
      <c r="B3" s="1184"/>
      <c r="C3" s="1184"/>
      <c r="D3" s="1184"/>
      <c r="E3" s="1184"/>
      <c r="F3" s="919"/>
      <c r="G3" s="919"/>
      <c r="H3" s="920"/>
      <c r="I3" s="921"/>
      <c r="J3" s="922"/>
      <c r="K3" s="922"/>
      <c r="L3" s="922"/>
      <c r="M3" s="922"/>
      <c r="N3" s="922"/>
      <c r="O3" s="922"/>
      <c r="P3" s="922"/>
      <c r="Q3" s="922"/>
      <c r="R3" s="922"/>
      <c r="S3" s="922"/>
      <c r="T3" s="922"/>
      <c r="U3" s="922"/>
      <c r="V3" s="922"/>
      <c r="X3" s="924"/>
    </row>
    <row r="4" spans="1:24" s="923" customFormat="1" ht="12.75">
      <c r="A4" s="1184" t="s">
        <v>397</v>
      </c>
      <c r="B4" s="1184"/>
      <c r="C4" s="1184"/>
      <c r="D4" s="1184"/>
      <c r="E4" s="1184"/>
      <c r="F4" s="919"/>
      <c r="G4" s="919"/>
      <c r="H4" s="920"/>
      <c r="I4" s="921"/>
      <c r="J4" s="922"/>
      <c r="K4" s="922"/>
      <c r="L4" s="922"/>
      <c r="M4" s="922"/>
      <c r="N4" s="922"/>
      <c r="O4" s="922"/>
      <c r="P4" s="922"/>
      <c r="Q4" s="922"/>
      <c r="R4" s="922"/>
      <c r="S4" s="922"/>
      <c r="T4" s="922"/>
      <c r="U4" s="922"/>
      <c r="V4" s="922"/>
      <c r="X4" s="924"/>
    </row>
    <row r="5" spans="3:24" s="925" customFormat="1" ht="12.75">
      <c r="C5" s="926"/>
      <c r="D5" s="927"/>
      <c r="E5" s="927"/>
      <c r="F5" s="960"/>
      <c r="G5" s="960"/>
      <c r="H5" s="927"/>
      <c r="I5" s="927"/>
      <c r="J5" s="929"/>
      <c r="K5" s="922"/>
      <c r="L5" s="922"/>
      <c r="M5" s="922"/>
      <c r="N5" s="922"/>
      <c r="O5" s="922"/>
      <c r="P5" s="922"/>
      <c r="Q5" s="922"/>
      <c r="R5" s="922"/>
      <c r="S5" s="922"/>
      <c r="T5" s="922"/>
      <c r="U5" s="930"/>
      <c r="V5" s="930"/>
      <c r="X5" s="926"/>
    </row>
    <row r="6" spans="1:24" s="925" customFormat="1" ht="49.5" customHeight="1">
      <c r="A6" s="1185" t="s">
        <v>496</v>
      </c>
      <c r="B6" s="1186" t="s">
        <v>1759</v>
      </c>
      <c r="C6" s="965" t="s">
        <v>271</v>
      </c>
      <c r="D6" s="932">
        <v>2010</v>
      </c>
      <c r="E6" s="932">
        <v>2011</v>
      </c>
      <c r="F6" s="966">
        <v>2012</v>
      </c>
      <c r="G6" s="978" t="s">
        <v>1624</v>
      </c>
      <c r="H6" s="978" t="s">
        <v>1623</v>
      </c>
      <c r="I6" s="933"/>
      <c r="J6" s="934"/>
      <c r="K6" s="922"/>
      <c r="L6" s="922"/>
      <c r="M6" s="922"/>
      <c r="N6" s="922"/>
      <c r="O6" s="922"/>
      <c r="P6" s="922"/>
      <c r="Q6" s="922"/>
      <c r="R6" s="922"/>
      <c r="S6" s="922"/>
      <c r="T6" s="922"/>
      <c r="U6" s="930"/>
      <c r="V6" s="930"/>
      <c r="X6" s="926"/>
    </row>
    <row r="7" spans="1:26" s="925" customFormat="1" ht="27.75" customHeight="1">
      <c r="A7" s="1185"/>
      <c r="B7" s="1187"/>
      <c r="C7" s="965" t="s">
        <v>163</v>
      </c>
      <c r="D7" s="937">
        <f>+D8+D34+D62+D80+D127</f>
        <v>224908038487</v>
      </c>
      <c r="E7" s="937">
        <f>+E8+E34+E62+E80+E127</f>
        <v>89435903510.40999</v>
      </c>
      <c r="F7" s="967">
        <f>+F8+F34+F62+F80+F127</f>
        <v>41830915671</v>
      </c>
      <c r="G7" s="967">
        <f>+G8+G34+G62+G80+G127</f>
        <v>34154310392</v>
      </c>
      <c r="H7" s="968">
        <f>+H8+H34+H62+H80+H127</f>
        <v>41471348158.09</v>
      </c>
      <c r="I7" s="935"/>
      <c r="J7" s="922"/>
      <c r="K7" s="922"/>
      <c r="L7" s="922"/>
      <c r="M7" s="922"/>
      <c r="N7" s="922"/>
      <c r="O7" s="922"/>
      <c r="P7" s="922"/>
      <c r="Q7" s="922"/>
      <c r="R7" s="922"/>
      <c r="S7" s="922"/>
      <c r="T7" s="922"/>
      <c r="U7" s="930"/>
      <c r="V7" s="930"/>
      <c r="X7" s="926"/>
      <c r="Z7" s="1086">
        <f>+H29/H7</f>
        <v>0.1213236420677704</v>
      </c>
    </row>
    <row r="8" spans="1:24" s="976" customFormat="1" ht="15">
      <c r="A8" s="969" t="s">
        <v>161</v>
      </c>
      <c r="B8" s="969"/>
      <c r="C8" s="970" t="s">
        <v>160</v>
      </c>
      <c r="D8" s="967">
        <f>+D9+D11+D14+D17+D20+D21+D22+D23+D24+D25+D26+D27+D28+D32+D29</f>
        <v>14309322000</v>
      </c>
      <c r="E8" s="967">
        <f>+E9+E11+E14+E17+E20+E21+E22+E23+E24+E25+E26+E27+E28+E32+E29</f>
        <v>15642477781</v>
      </c>
      <c r="F8" s="967">
        <f>+F9+F11+F14+F17+F20+F21+F22+F23+F24+F25+F26+F27+F28+F32+F29</f>
        <v>16683642836</v>
      </c>
      <c r="G8" s="967">
        <f>+G9+G11+G14+G17+G20+G21+G22+G23+G24+G25+G26+G27+G28+G32+G29</f>
        <v>15976022591</v>
      </c>
      <c r="H8" s="968">
        <f>+H9+H11+H14+H17+H20+H21+H22+H23+H24+H25+H26+H27+H28+H32+H29</f>
        <v>20901261824</v>
      </c>
      <c r="I8" s="971"/>
      <c r="J8" s="972"/>
      <c r="K8" s="972"/>
      <c r="L8" s="972"/>
      <c r="M8" s="973"/>
      <c r="N8" s="974"/>
      <c r="O8" s="974"/>
      <c r="P8" s="974"/>
      <c r="Q8" s="974"/>
      <c r="R8" s="974"/>
      <c r="S8" s="974"/>
      <c r="T8" s="974"/>
      <c r="U8" s="975"/>
      <c r="V8" s="975"/>
      <c r="X8" s="977"/>
    </row>
    <row r="9" spans="1:24" s="925" customFormat="1" ht="12.75">
      <c r="A9" s="939" t="s">
        <v>159</v>
      </c>
      <c r="B9" s="939">
        <v>20</v>
      </c>
      <c r="C9" s="940" t="s">
        <v>158</v>
      </c>
      <c r="D9" s="941">
        <v>2800000000</v>
      </c>
      <c r="E9" s="942">
        <v>1853473085</v>
      </c>
      <c r="F9" s="942">
        <v>1218307000</v>
      </c>
      <c r="G9" s="942">
        <v>752550000</v>
      </c>
      <c r="H9" s="1072">
        <v>1033501000</v>
      </c>
      <c r="I9" s="944"/>
      <c r="J9" s="945">
        <v>2008</v>
      </c>
      <c r="K9" s="945">
        <f>+J9+1</f>
        <v>2009</v>
      </c>
      <c r="L9" s="945">
        <f aca="true" t="shared" si="0" ref="L9:T9">+K9+1</f>
        <v>2010</v>
      </c>
      <c r="M9" s="945">
        <f t="shared" si="0"/>
        <v>2011</v>
      </c>
      <c r="N9" s="945">
        <f>+M9+2</f>
        <v>2013</v>
      </c>
      <c r="O9" s="945">
        <f t="shared" si="0"/>
        <v>2014</v>
      </c>
      <c r="P9" s="945">
        <f t="shared" si="0"/>
        <v>2015</v>
      </c>
      <c r="Q9" s="945">
        <f t="shared" si="0"/>
        <v>2016</v>
      </c>
      <c r="R9" s="945">
        <f t="shared" si="0"/>
        <v>2017</v>
      </c>
      <c r="S9" s="945">
        <f t="shared" si="0"/>
        <v>2018</v>
      </c>
      <c r="T9" s="945">
        <f t="shared" si="0"/>
        <v>2019</v>
      </c>
      <c r="U9" s="945">
        <f>+T9+1</f>
        <v>2020</v>
      </c>
      <c r="V9" s="945">
        <f>+U9+1</f>
        <v>2021</v>
      </c>
      <c r="W9" s="945">
        <f>+V9+1</f>
        <v>2022</v>
      </c>
      <c r="X9" s="926">
        <f>+H9</f>
        <v>1033501000</v>
      </c>
    </row>
    <row r="10" spans="1:24" s="925" customFormat="1" ht="12.75" hidden="1">
      <c r="A10" s="939" t="s">
        <v>156</v>
      </c>
      <c r="B10" s="939"/>
      <c r="C10" s="940" t="s">
        <v>1626</v>
      </c>
      <c r="D10" s="941">
        <v>0</v>
      </c>
      <c r="E10" s="942">
        <v>0</v>
      </c>
      <c r="F10" s="942">
        <v>0</v>
      </c>
      <c r="G10" s="942">
        <v>0</v>
      </c>
      <c r="H10" s="943"/>
      <c r="I10" s="944"/>
      <c r="J10" s="946">
        <v>0.04</v>
      </c>
      <c r="K10" s="946">
        <v>0.035</v>
      </c>
      <c r="L10" s="922">
        <v>0.03</v>
      </c>
      <c r="M10" s="922">
        <v>0.03</v>
      </c>
      <c r="N10" s="947">
        <v>1.03</v>
      </c>
      <c r="O10" s="948">
        <v>1.03</v>
      </c>
      <c r="P10" s="948">
        <v>1.03</v>
      </c>
      <c r="Q10" s="948">
        <v>1.03</v>
      </c>
      <c r="R10" s="948">
        <v>1.03</v>
      </c>
      <c r="S10" s="948">
        <v>1.03</v>
      </c>
      <c r="T10" s="948">
        <v>1.03</v>
      </c>
      <c r="U10" s="948">
        <v>1.03</v>
      </c>
      <c r="V10" s="948">
        <v>1.03</v>
      </c>
      <c r="W10" s="948">
        <v>1.03</v>
      </c>
      <c r="X10" s="926"/>
    </row>
    <row r="11" spans="1:24" s="962" customFormat="1" ht="12.75">
      <c r="A11" s="936" t="s">
        <v>153</v>
      </c>
      <c r="B11" s="936"/>
      <c r="C11" s="931" t="s">
        <v>152</v>
      </c>
      <c r="D11" s="937">
        <f>SUM(D12:D13)</f>
        <v>290000000</v>
      </c>
      <c r="E11" s="937">
        <f>SUM(E12:E13)</f>
        <v>342476533</v>
      </c>
      <c r="F11" s="937">
        <f>SUM(F12:F13)</f>
        <v>412139814</v>
      </c>
      <c r="G11" s="937">
        <f>SUM(G12:G13)</f>
        <v>347450639</v>
      </c>
      <c r="H11" s="938">
        <f>SUM(H12:H13)</f>
        <v>394533355</v>
      </c>
      <c r="I11" s="935"/>
      <c r="J11" s="952"/>
      <c r="K11" s="952"/>
      <c r="L11" s="952"/>
      <c r="M11" s="952"/>
      <c r="N11" s="952"/>
      <c r="O11" s="952"/>
      <c r="P11" s="952"/>
      <c r="Q11" s="952"/>
      <c r="R11" s="952"/>
      <c r="S11" s="952"/>
      <c r="T11" s="952"/>
      <c r="U11" s="961"/>
      <c r="V11" s="961"/>
      <c r="X11" s="963"/>
    </row>
    <row r="12" spans="1:24" s="925" customFormat="1" ht="12.75">
      <c r="A12" s="939" t="s">
        <v>151</v>
      </c>
      <c r="B12" s="939">
        <v>20</v>
      </c>
      <c r="C12" s="940" t="s">
        <v>150</v>
      </c>
      <c r="D12" s="941">
        <v>120000000</v>
      </c>
      <c r="E12" s="942">
        <v>272885638</v>
      </c>
      <c r="F12" s="942">
        <v>323706876</v>
      </c>
      <c r="G12" s="942">
        <v>287800623</v>
      </c>
      <c r="H12" s="1072">
        <v>315000000</v>
      </c>
      <c r="I12" s="944"/>
      <c r="J12" s="922"/>
      <c r="K12" s="922"/>
      <c r="L12" s="922"/>
      <c r="M12" s="922"/>
      <c r="N12" s="922"/>
      <c r="O12" s="922"/>
      <c r="P12" s="922"/>
      <c r="Q12" s="922"/>
      <c r="R12" s="922"/>
      <c r="S12" s="922"/>
      <c r="T12" s="922"/>
      <c r="U12" s="930"/>
      <c r="V12" s="930"/>
      <c r="X12" s="926">
        <f>+H12</f>
        <v>315000000</v>
      </c>
    </row>
    <row r="13" spans="1:24" s="925" customFormat="1" ht="12.75">
      <c r="A13" s="939" t="s">
        <v>149</v>
      </c>
      <c r="B13" s="939">
        <v>20</v>
      </c>
      <c r="C13" s="940" t="s">
        <v>148</v>
      </c>
      <c r="D13" s="941">
        <v>170000000</v>
      </c>
      <c r="E13" s="942">
        <v>69590895</v>
      </c>
      <c r="F13" s="942">
        <v>88432938</v>
      </c>
      <c r="G13" s="942">
        <v>59650016</v>
      </c>
      <c r="H13" s="1072">
        <v>79533355</v>
      </c>
      <c r="I13" s="944"/>
      <c r="J13" s="922"/>
      <c r="K13" s="922"/>
      <c r="L13" s="922"/>
      <c r="M13" s="922"/>
      <c r="N13" s="922"/>
      <c r="O13" s="922"/>
      <c r="P13" s="922"/>
      <c r="Q13" s="922"/>
      <c r="R13" s="922"/>
      <c r="S13" s="922"/>
      <c r="T13" s="922"/>
      <c r="U13" s="930"/>
      <c r="V13" s="930"/>
      <c r="X13" s="926">
        <f>+H13</f>
        <v>79533355</v>
      </c>
    </row>
    <row r="14" spans="1:24" s="962" customFormat="1" ht="12.75">
      <c r="A14" s="936" t="s">
        <v>147</v>
      </c>
      <c r="B14" s="936"/>
      <c r="C14" s="931" t="s">
        <v>146</v>
      </c>
      <c r="D14" s="937">
        <f>SUM(D15:D16)</f>
        <v>6400000000</v>
      </c>
      <c r="E14" s="937">
        <f>SUM(E15:E16)</f>
        <v>8325844097</v>
      </c>
      <c r="F14" s="937">
        <f>SUM(F15:F16)</f>
        <v>10986039966</v>
      </c>
      <c r="G14" s="937">
        <f>SUM(G15:G16)</f>
        <v>10419153854</v>
      </c>
      <c r="H14" s="938">
        <f>SUM(H15:H16)</f>
        <v>12489850000</v>
      </c>
      <c r="I14" s="935"/>
      <c r="J14" s="952"/>
      <c r="K14" s="952"/>
      <c r="L14" s="952"/>
      <c r="M14" s="952"/>
      <c r="N14" s="952"/>
      <c r="O14" s="952"/>
      <c r="P14" s="952"/>
      <c r="Q14" s="952"/>
      <c r="R14" s="952"/>
      <c r="S14" s="952"/>
      <c r="T14" s="952"/>
      <c r="U14" s="961"/>
      <c r="V14" s="961"/>
      <c r="X14" s="963"/>
    </row>
    <row r="15" spans="1:24" s="925" customFormat="1" ht="12.75">
      <c r="A15" s="939" t="s">
        <v>145</v>
      </c>
      <c r="B15" s="939">
        <v>20</v>
      </c>
      <c r="C15" s="940" t="s">
        <v>144</v>
      </c>
      <c r="D15" s="941">
        <v>4800000000</v>
      </c>
      <c r="E15" s="942">
        <v>7575854303</v>
      </c>
      <c r="F15" s="942">
        <v>10465090620</v>
      </c>
      <c r="G15" s="942">
        <v>10051766008</v>
      </c>
      <c r="H15" s="1072">
        <v>12000000000</v>
      </c>
      <c r="I15" s="944"/>
      <c r="J15" s="922"/>
      <c r="K15" s="922"/>
      <c r="L15" s="922"/>
      <c r="M15" s="922"/>
      <c r="N15" s="922"/>
      <c r="O15" s="922"/>
      <c r="P15" s="922"/>
      <c r="Q15" s="922"/>
      <c r="R15" s="922"/>
      <c r="S15" s="922"/>
      <c r="T15" s="922"/>
      <c r="U15" s="930"/>
      <c r="V15" s="930"/>
      <c r="X15" s="926">
        <f>+H15</f>
        <v>12000000000</v>
      </c>
    </row>
    <row r="16" spans="1:24" s="925" customFormat="1" ht="12.75">
      <c r="A16" s="939" t="s">
        <v>143</v>
      </c>
      <c r="B16" s="939">
        <v>20</v>
      </c>
      <c r="C16" s="940" t="s">
        <v>142</v>
      </c>
      <c r="D16" s="941">
        <v>1600000000</v>
      </c>
      <c r="E16" s="942">
        <v>749989794</v>
      </c>
      <c r="F16" s="942">
        <v>520949346</v>
      </c>
      <c r="G16" s="942">
        <v>367387846</v>
      </c>
      <c r="H16" s="1072">
        <v>489850000</v>
      </c>
      <c r="I16" s="944"/>
      <c r="J16" s="922"/>
      <c r="K16" s="922"/>
      <c r="L16" s="922"/>
      <c r="M16" s="922"/>
      <c r="N16" s="922"/>
      <c r="O16" s="922"/>
      <c r="P16" s="922"/>
      <c r="Q16" s="922"/>
      <c r="R16" s="922"/>
      <c r="S16" s="922"/>
      <c r="T16" s="922"/>
      <c r="U16" s="930"/>
      <c r="V16" s="930"/>
      <c r="X16" s="926">
        <f>+H16</f>
        <v>489850000</v>
      </c>
    </row>
    <row r="17" spans="1:22" s="962" customFormat="1" ht="12.75">
      <c r="A17" s="936" t="s">
        <v>141</v>
      </c>
      <c r="B17" s="936"/>
      <c r="C17" s="931" t="s">
        <v>140</v>
      </c>
      <c r="D17" s="937">
        <f>SUM(D18:D19)</f>
        <v>370522000</v>
      </c>
      <c r="E17" s="937">
        <f>SUM(E18:E19)</f>
        <v>579283263</v>
      </c>
      <c r="F17" s="937">
        <f>SUM(F18:F19)</f>
        <v>897758903</v>
      </c>
      <c r="G17" s="937">
        <f>SUM(G18:G19)</f>
        <v>871175029</v>
      </c>
      <c r="H17" s="938">
        <f>SUM(H18:H19)</f>
        <v>932222469</v>
      </c>
      <c r="I17" s="935"/>
      <c r="J17" s="951"/>
      <c r="K17" s="951"/>
      <c r="L17" s="952"/>
      <c r="M17" s="952"/>
      <c r="N17" s="952"/>
      <c r="O17" s="952"/>
      <c r="P17" s="952"/>
      <c r="Q17" s="952"/>
      <c r="R17" s="952"/>
      <c r="S17" s="952"/>
      <c r="T17" s="952"/>
      <c r="U17" s="961"/>
      <c r="V17" s="961"/>
    </row>
    <row r="18" spans="1:24" s="925" customFormat="1" ht="12.75">
      <c r="A18" s="939" t="s">
        <v>139</v>
      </c>
      <c r="B18" s="939">
        <v>20</v>
      </c>
      <c r="C18" s="940" t="s">
        <v>138</v>
      </c>
      <c r="D18" s="941">
        <v>255522000</v>
      </c>
      <c r="E18" s="942">
        <v>574437594</v>
      </c>
      <c r="F18" s="942">
        <v>896332495</v>
      </c>
      <c r="G18" s="942">
        <v>862527949</v>
      </c>
      <c r="H18" s="1072">
        <v>923222469</v>
      </c>
      <c r="I18" s="944"/>
      <c r="J18" s="949"/>
      <c r="K18" s="949"/>
      <c r="L18" s="922"/>
      <c r="M18" s="922"/>
      <c r="N18" s="922"/>
      <c r="O18" s="922"/>
      <c r="P18" s="922"/>
      <c r="Q18" s="922"/>
      <c r="R18" s="922"/>
      <c r="S18" s="922"/>
      <c r="T18" s="922"/>
      <c r="U18" s="930"/>
      <c r="V18" s="930"/>
      <c r="X18" s="926">
        <f>+H18</f>
        <v>923222469</v>
      </c>
    </row>
    <row r="19" spans="1:24" s="925" customFormat="1" ht="12.75">
      <c r="A19" s="939" t="s">
        <v>137</v>
      </c>
      <c r="B19" s="939">
        <v>20</v>
      </c>
      <c r="C19" s="940" t="s">
        <v>136</v>
      </c>
      <c r="D19" s="941">
        <v>115000000</v>
      </c>
      <c r="E19" s="942">
        <v>4845669</v>
      </c>
      <c r="F19" s="942">
        <v>1426408</v>
      </c>
      <c r="G19" s="942">
        <v>8647080</v>
      </c>
      <c r="H19" s="1072">
        <v>9000000</v>
      </c>
      <c r="I19" s="944"/>
      <c r="J19" s="949"/>
      <c r="K19" s="949"/>
      <c r="L19" s="922"/>
      <c r="M19" s="922"/>
      <c r="N19" s="922"/>
      <c r="O19" s="922"/>
      <c r="P19" s="922"/>
      <c r="Q19" s="922"/>
      <c r="R19" s="922"/>
      <c r="S19" s="922"/>
      <c r="T19" s="922"/>
      <c r="U19" s="930"/>
      <c r="V19" s="930"/>
      <c r="X19" s="926">
        <f>+H19</f>
        <v>9000000</v>
      </c>
    </row>
    <row r="20" spans="1:24" s="925" customFormat="1" ht="12.75">
      <c r="A20" s="939" t="s">
        <v>135</v>
      </c>
      <c r="B20" s="939">
        <v>20</v>
      </c>
      <c r="C20" s="940" t="s">
        <v>134</v>
      </c>
      <c r="D20" s="941">
        <v>1000000</v>
      </c>
      <c r="E20" s="942">
        <v>26800</v>
      </c>
      <c r="F20" s="942">
        <v>0</v>
      </c>
      <c r="G20" s="942">
        <v>850000</v>
      </c>
      <c r="H20" s="1072">
        <v>1000000</v>
      </c>
      <c r="I20" s="944"/>
      <c r="J20" s="949"/>
      <c r="K20" s="949"/>
      <c r="L20" s="922"/>
      <c r="M20" s="922"/>
      <c r="N20" s="922"/>
      <c r="O20" s="922"/>
      <c r="P20" s="922"/>
      <c r="Q20" s="922"/>
      <c r="R20" s="922"/>
      <c r="S20" s="922"/>
      <c r="T20" s="922"/>
      <c r="U20" s="930"/>
      <c r="V20" s="930"/>
      <c r="X20" s="926">
        <f>+H20</f>
        <v>1000000</v>
      </c>
    </row>
    <row r="21" spans="1:24" s="925" customFormat="1" ht="12.75">
      <c r="A21" s="939" t="s">
        <v>133</v>
      </c>
      <c r="B21" s="939">
        <v>20</v>
      </c>
      <c r="C21" s="940" t="s">
        <v>132</v>
      </c>
      <c r="D21" s="941">
        <v>500000</v>
      </c>
      <c r="E21" s="942">
        <v>910600</v>
      </c>
      <c r="F21" s="942">
        <v>150000</v>
      </c>
      <c r="G21" s="942"/>
      <c r="H21" s="1072">
        <v>500000</v>
      </c>
      <c r="I21" s="944"/>
      <c r="J21" s="949"/>
      <c r="K21" s="949"/>
      <c r="L21" s="922"/>
      <c r="M21" s="922"/>
      <c r="N21" s="922"/>
      <c r="O21" s="922"/>
      <c r="P21" s="922"/>
      <c r="Q21" s="922"/>
      <c r="R21" s="922"/>
      <c r="S21" s="922"/>
      <c r="T21" s="922"/>
      <c r="U21" s="930"/>
      <c r="V21" s="930"/>
      <c r="X21" s="926">
        <f>+H21</f>
        <v>500000</v>
      </c>
    </row>
    <row r="22" spans="1:22" s="925" customFormat="1" ht="12.75">
      <c r="A22" s="939" t="s">
        <v>131</v>
      </c>
      <c r="B22" s="939">
        <v>20</v>
      </c>
      <c r="C22" s="940" t="s">
        <v>130</v>
      </c>
      <c r="D22" s="941">
        <v>500000</v>
      </c>
      <c r="E22" s="942">
        <v>1342200</v>
      </c>
      <c r="F22" s="942">
        <v>889000</v>
      </c>
      <c r="G22" s="942">
        <v>0</v>
      </c>
      <c r="H22" s="943">
        <v>0</v>
      </c>
      <c r="I22" s="944"/>
      <c r="J22" s="949"/>
      <c r="K22" s="949"/>
      <c r="L22" s="922"/>
      <c r="M22" s="922"/>
      <c r="N22" s="922"/>
      <c r="O22" s="922"/>
      <c r="P22" s="922"/>
      <c r="Q22" s="922"/>
      <c r="R22" s="922"/>
      <c r="S22" s="922"/>
      <c r="T22" s="922"/>
      <c r="U22" s="930"/>
      <c r="V22" s="930"/>
    </row>
    <row r="23" spans="1:22" s="925" customFormat="1" ht="12.75">
      <c r="A23" s="939" t="s">
        <v>129</v>
      </c>
      <c r="B23" s="939"/>
      <c r="C23" s="940" t="s">
        <v>128</v>
      </c>
      <c r="D23" s="941">
        <v>1000000</v>
      </c>
      <c r="E23" s="928"/>
      <c r="F23" s="928">
        <v>0</v>
      </c>
      <c r="G23" s="928"/>
      <c r="H23" s="928">
        <v>0</v>
      </c>
      <c r="I23" s="950"/>
      <c r="J23" s="949"/>
      <c r="K23" s="949"/>
      <c r="L23" s="922"/>
      <c r="M23" s="922"/>
      <c r="N23" s="922"/>
      <c r="O23" s="922"/>
      <c r="P23" s="922"/>
      <c r="Q23" s="922"/>
      <c r="R23" s="922"/>
      <c r="S23" s="922"/>
      <c r="T23" s="922"/>
      <c r="U23" s="930"/>
      <c r="V23" s="930"/>
    </row>
    <row r="24" spans="1:22" s="925" customFormat="1" ht="12.75">
      <c r="A24" s="939" t="s">
        <v>127</v>
      </c>
      <c r="B24" s="939">
        <v>21</v>
      </c>
      <c r="C24" s="940" t="s">
        <v>126</v>
      </c>
      <c r="D24" s="941">
        <v>10000000</v>
      </c>
      <c r="E24" s="928"/>
      <c r="F24" s="928">
        <v>231554396</v>
      </c>
      <c r="G24" s="928">
        <v>337000000</v>
      </c>
      <c r="H24" s="1073">
        <v>506000000</v>
      </c>
      <c r="I24" s="950">
        <f>+H24</f>
        <v>506000000</v>
      </c>
      <c r="J24" s="949"/>
      <c r="K24" s="949"/>
      <c r="L24" s="922"/>
      <c r="M24" s="922"/>
      <c r="N24" s="922"/>
      <c r="O24" s="922"/>
      <c r="P24" s="922"/>
      <c r="Q24" s="922"/>
      <c r="R24" s="922"/>
      <c r="S24" s="922"/>
      <c r="T24" s="922"/>
      <c r="U24" s="930"/>
      <c r="V24" s="930"/>
    </row>
    <row r="25" spans="1:24" s="925" customFormat="1" ht="25.5">
      <c r="A25" s="939" t="s">
        <v>125</v>
      </c>
      <c r="B25" s="939">
        <v>20</v>
      </c>
      <c r="C25" s="940" t="s">
        <v>124</v>
      </c>
      <c r="D25" s="941">
        <v>1500000</v>
      </c>
      <c r="E25" s="942">
        <v>4062552</v>
      </c>
      <c r="F25" s="942">
        <v>6960115</v>
      </c>
      <c r="G25" s="942">
        <v>17019914</v>
      </c>
      <c r="H25" s="1072">
        <v>7500000</v>
      </c>
      <c r="I25" s="944"/>
      <c r="J25" s="949"/>
      <c r="K25" s="949"/>
      <c r="L25" s="922"/>
      <c r="M25" s="922"/>
      <c r="N25" s="922"/>
      <c r="O25" s="922"/>
      <c r="P25" s="922"/>
      <c r="Q25" s="922"/>
      <c r="R25" s="922"/>
      <c r="S25" s="922"/>
      <c r="T25" s="922"/>
      <c r="U25" s="930"/>
      <c r="V25" s="930"/>
      <c r="X25" s="926">
        <f>+H25</f>
        <v>7500000</v>
      </c>
    </row>
    <row r="26" spans="1:24" s="925" customFormat="1" ht="12.75">
      <c r="A26" s="939" t="s">
        <v>123</v>
      </c>
      <c r="B26" s="939">
        <v>20</v>
      </c>
      <c r="C26" s="940" t="s">
        <v>122</v>
      </c>
      <c r="D26" s="941">
        <v>200000</v>
      </c>
      <c r="E26" s="942">
        <v>768541</v>
      </c>
      <c r="F26" s="942">
        <v>691817</v>
      </c>
      <c r="G26" s="942">
        <v>0</v>
      </c>
      <c r="H26" s="1072">
        <v>700000</v>
      </c>
      <c r="I26" s="944"/>
      <c r="J26" s="949"/>
      <c r="K26" s="949"/>
      <c r="L26" s="922"/>
      <c r="M26" s="922"/>
      <c r="N26" s="922"/>
      <c r="O26" s="922"/>
      <c r="P26" s="922"/>
      <c r="Q26" s="922"/>
      <c r="R26" s="922"/>
      <c r="S26" s="922"/>
      <c r="T26" s="922"/>
      <c r="U26" s="930"/>
      <c r="V26" s="930"/>
      <c r="X26" s="926">
        <f>+H26</f>
        <v>700000</v>
      </c>
    </row>
    <row r="27" spans="1:24" s="925" customFormat="1" ht="12.75">
      <c r="A27" s="939" t="s">
        <v>121</v>
      </c>
      <c r="B27" s="939">
        <v>20</v>
      </c>
      <c r="C27" s="940" t="s">
        <v>120</v>
      </c>
      <c r="D27" s="941">
        <v>500000</v>
      </c>
      <c r="E27" s="942">
        <v>2050941</v>
      </c>
      <c r="F27" s="942">
        <v>3455000</v>
      </c>
      <c r="G27" s="942">
        <v>805000</v>
      </c>
      <c r="H27" s="1072">
        <v>1000000</v>
      </c>
      <c r="I27" s="944"/>
      <c r="J27" s="949"/>
      <c r="K27" s="949"/>
      <c r="L27" s="922"/>
      <c r="M27" s="922"/>
      <c r="N27" s="922"/>
      <c r="O27" s="922"/>
      <c r="P27" s="922"/>
      <c r="Q27" s="922"/>
      <c r="R27" s="922"/>
      <c r="S27" s="922"/>
      <c r="T27" s="922"/>
      <c r="U27" s="930"/>
      <c r="V27" s="930"/>
      <c r="X27" s="926">
        <f>+H27</f>
        <v>1000000</v>
      </c>
    </row>
    <row r="28" spans="1:22" s="925" customFormat="1" ht="12.75">
      <c r="A28" s="939" t="s">
        <v>119</v>
      </c>
      <c r="B28" s="939">
        <v>22</v>
      </c>
      <c r="C28" s="940" t="s">
        <v>118</v>
      </c>
      <c r="D28" s="941">
        <v>262000000</v>
      </c>
      <c r="E28" s="942">
        <v>248775190</v>
      </c>
      <c r="F28" s="942">
        <v>453111730</v>
      </c>
      <c r="G28" s="942">
        <v>392619537</v>
      </c>
      <c r="H28" s="1072">
        <v>500000000</v>
      </c>
      <c r="I28" s="950">
        <f>+H28</f>
        <v>500000000</v>
      </c>
      <c r="J28" s="949"/>
      <c r="K28" s="949"/>
      <c r="L28" s="922"/>
      <c r="M28" s="922"/>
      <c r="N28" s="922"/>
      <c r="O28" s="922"/>
      <c r="P28" s="922"/>
      <c r="Q28" s="922"/>
      <c r="R28" s="922"/>
      <c r="S28" s="922"/>
      <c r="T28" s="922"/>
      <c r="U28" s="930"/>
      <c r="V28" s="930"/>
    </row>
    <row r="29" spans="1:22" s="962" customFormat="1" ht="12.75">
      <c r="A29" s="936" t="s">
        <v>117</v>
      </c>
      <c r="B29" s="936"/>
      <c r="C29" s="931" t="s">
        <v>116</v>
      </c>
      <c r="D29" s="937">
        <f>SUM(D30:D31)</f>
        <v>4170600000</v>
      </c>
      <c r="E29" s="937">
        <f>SUM(E30:E31)</f>
        <v>4277715661</v>
      </c>
      <c r="F29" s="937">
        <f>SUM(F30:F31)</f>
        <v>2466531176</v>
      </c>
      <c r="G29" s="937">
        <f>SUM(G30:G31)</f>
        <v>2834640275</v>
      </c>
      <c r="H29" s="938">
        <f>SUM(H30:H31)</f>
        <v>5031455000</v>
      </c>
      <c r="I29" s="935"/>
      <c r="J29" s="951"/>
      <c r="K29" s="951"/>
      <c r="L29" s="951"/>
      <c r="M29" s="951"/>
      <c r="N29" s="951"/>
      <c r="O29" s="951"/>
      <c r="P29" s="951"/>
      <c r="Q29" s="951"/>
      <c r="R29" s="951"/>
      <c r="S29" s="951"/>
      <c r="T29" s="951"/>
      <c r="U29" s="961"/>
      <c r="V29" s="961"/>
    </row>
    <row r="30" spans="1:22" s="925" customFormat="1" ht="12.75">
      <c r="A30" s="939" t="s">
        <v>115</v>
      </c>
      <c r="B30" s="939">
        <v>23</v>
      </c>
      <c r="C30" s="940" t="s">
        <v>114</v>
      </c>
      <c r="D30" s="941">
        <v>1390200000</v>
      </c>
      <c r="E30" s="942">
        <v>1446234376</v>
      </c>
      <c r="F30" s="942">
        <v>826888141</v>
      </c>
      <c r="G30" s="942">
        <v>944793831</v>
      </c>
      <c r="H30" s="1072">
        <f>2110500000-500000000</f>
        <v>1610500000</v>
      </c>
      <c r="I30" s="950">
        <f>+H30</f>
        <v>1610500000</v>
      </c>
      <c r="J30" s="949"/>
      <c r="K30" s="949"/>
      <c r="L30" s="922"/>
      <c r="M30" s="922"/>
      <c r="N30" s="922"/>
      <c r="O30" s="922"/>
      <c r="P30" s="922"/>
      <c r="Q30" s="922"/>
      <c r="R30" s="922"/>
      <c r="S30" s="922"/>
      <c r="T30" s="922"/>
      <c r="U30" s="930"/>
      <c r="V30" s="930"/>
    </row>
    <row r="31" spans="1:22" s="925" customFormat="1" ht="12.75">
      <c r="A31" s="939" t="s">
        <v>113</v>
      </c>
      <c r="B31" s="939">
        <v>24</v>
      </c>
      <c r="C31" s="940" t="s">
        <v>112</v>
      </c>
      <c r="D31" s="941">
        <v>2780400000</v>
      </c>
      <c r="E31" s="942">
        <v>2831481285</v>
      </c>
      <c r="F31" s="942">
        <v>1639643035</v>
      </c>
      <c r="G31" s="942">
        <v>1889846444</v>
      </c>
      <c r="H31" s="1072">
        <v>3420955000</v>
      </c>
      <c r="I31" s="950">
        <f>+H31</f>
        <v>3420955000</v>
      </c>
      <c r="J31" s="949"/>
      <c r="K31" s="949"/>
      <c r="L31" s="922"/>
      <c r="M31" s="922"/>
      <c r="N31" s="922"/>
      <c r="O31" s="922"/>
      <c r="P31" s="922"/>
      <c r="Q31" s="922"/>
      <c r="R31" s="922"/>
      <c r="S31" s="922"/>
      <c r="T31" s="922"/>
      <c r="U31" s="930"/>
      <c r="V31" s="930"/>
    </row>
    <row r="32" spans="1:22" s="962" customFormat="1" ht="12.75">
      <c r="A32" s="936" t="s">
        <v>111</v>
      </c>
      <c r="B32" s="936"/>
      <c r="C32" s="931" t="s">
        <v>110</v>
      </c>
      <c r="D32" s="937">
        <f>SUM(D33)</f>
        <v>1000000</v>
      </c>
      <c r="E32" s="937">
        <f>+E33</f>
        <v>5748318</v>
      </c>
      <c r="F32" s="937">
        <f>+F33</f>
        <v>6053919</v>
      </c>
      <c r="G32" s="937">
        <f>+G33</f>
        <v>2758343</v>
      </c>
      <c r="H32" s="938">
        <f>+H33</f>
        <v>3000000</v>
      </c>
      <c r="I32" s="935"/>
      <c r="J32" s="951"/>
      <c r="K32" s="951"/>
      <c r="L32" s="952"/>
      <c r="M32" s="952"/>
      <c r="N32" s="952"/>
      <c r="O32" s="952"/>
      <c r="P32" s="952"/>
      <c r="Q32" s="952"/>
      <c r="R32" s="952"/>
      <c r="S32" s="952"/>
      <c r="T32" s="952"/>
      <c r="U32" s="961"/>
      <c r="V32" s="961"/>
    </row>
    <row r="33" spans="1:24" s="925" customFormat="1" ht="12.75">
      <c r="A33" s="939" t="s">
        <v>109</v>
      </c>
      <c r="B33" s="939">
        <v>20</v>
      </c>
      <c r="C33" s="940" t="s">
        <v>108</v>
      </c>
      <c r="D33" s="941">
        <v>1000000</v>
      </c>
      <c r="E33" s="942">
        <v>5748318</v>
      </c>
      <c r="F33" s="942">
        <v>6053919</v>
      </c>
      <c r="G33" s="942">
        <v>2758343</v>
      </c>
      <c r="H33" s="1072">
        <v>3000000</v>
      </c>
      <c r="I33" s="944"/>
      <c r="J33" s="949"/>
      <c r="K33" s="949"/>
      <c r="L33" s="922"/>
      <c r="M33" s="922"/>
      <c r="N33" s="922"/>
      <c r="O33" s="922"/>
      <c r="P33" s="922"/>
      <c r="Q33" s="922"/>
      <c r="R33" s="922"/>
      <c r="S33" s="922"/>
      <c r="T33" s="922"/>
      <c r="U33" s="930"/>
      <c r="V33" s="930"/>
      <c r="X33" s="926">
        <f>+H33</f>
        <v>3000000</v>
      </c>
    </row>
    <row r="34" spans="1:22" s="962" customFormat="1" ht="12.75">
      <c r="A34" s="936" t="s">
        <v>107</v>
      </c>
      <c r="B34" s="936"/>
      <c r="C34" s="931" t="s">
        <v>106</v>
      </c>
      <c r="D34" s="937">
        <f>+D35+D36+D37+D38+D39+D40+D41+D42+D43+D44+D45+D52+D55++D56+D58</f>
        <v>159813050000</v>
      </c>
      <c r="E34" s="937">
        <f>+E35+E36+E37+E38+E39+E40+E41+E42+E43+E44+E45+E52+E55+E56+E58</f>
        <v>30028851804.7</v>
      </c>
      <c r="F34" s="937">
        <f>+F35+F36+F37+F38+F39+F40+F41+F42+F43+F44+F45+F52+F55+F56+F58</f>
        <v>10321712215</v>
      </c>
      <c r="G34" s="937">
        <f>+G35+G36+G37+G38+G39+G40+G41+G42+G43+G44+G45+G52+G55+G56+G58+G57</f>
        <v>1398883435</v>
      </c>
      <c r="H34" s="938">
        <f>+H35+H36+H37+H38+H39+H40+H41+H42+H43+H44+H45+H52+H55+H56+H58+H57</f>
        <v>3673781000</v>
      </c>
      <c r="I34" s="935"/>
      <c r="J34" s="951"/>
      <c r="K34" s="951"/>
      <c r="L34" s="952"/>
      <c r="M34" s="952"/>
      <c r="N34" s="952"/>
      <c r="O34" s="952"/>
      <c r="P34" s="952"/>
      <c r="Q34" s="952"/>
      <c r="R34" s="952"/>
      <c r="S34" s="952"/>
      <c r="T34" s="952"/>
      <c r="U34" s="961"/>
      <c r="V34" s="961"/>
    </row>
    <row r="35" spans="1:24" s="925" customFormat="1" ht="12.75">
      <c r="A35" s="939" t="s">
        <v>105</v>
      </c>
      <c r="B35" s="939">
        <v>20</v>
      </c>
      <c r="C35" s="940" t="s">
        <v>104</v>
      </c>
      <c r="D35" s="941">
        <v>30000000</v>
      </c>
      <c r="E35" s="942">
        <v>39819718</v>
      </c>
      <c r="F35" s="942">
        <v>38366182</v>
      </c>
      <c r="G35" s="942">
        <v>31011796</v>
      </c>
      <c r="H35" s="1072">
        <v>41000000</v>
      </c>
      <c r="I35" s="944"/>
      <c r="J35" s="949"/>
      <c r="K35" s="949"/>
      <c r="L35" s="949"/>
      <c r="M35" s="949"/>
      <c r="N35" s="949"/>
      <c r="O35" s="949"/>
      <c r="P35" s="949"/>
      <c r="Q35" s="949"/>
      <c r="R35" s="949"/>
      <c r="S35" s="949"/>
      <c r="T35" s="949"/>
      <c r="U35" s="930"/>
      <c r="V35" s="930"/>
      <c r="X35" s="926">
        <f aca="true" t="shared" si="1" ref="X35:X43">+H35</f>
        <v>41000000</v>
      </c>
    </row>
    <row r="36" spans="1:24" s="925" customFormat="1" ht="12.75">
      <c r="A36" s="939" t="s">
        <v>103</v>
      </c>
      <c r="B36" s="939">
        <v>20</v>
      </c>
      <c r="C36" s="940" t="s">
        <v>102</v>
      </c>
      <c r="D36" s="941">
        <v>30000000</v>
      </c>
      <c r="E36" s="942">
        <v>38779474</v>
      </c>
      <c r="F36" s="942">
        <v>52771515</v>
      </c>
      <c r="G36" s="942">
        <v>40788436</v>
      </c>
      <c r="H36" s="1072">
        <v>54384000</v>
      </c>
      <c r="I36" s="944"/>
      <c r="J36" s="949"/>
      <c r="K36" s="949"/>
      <c r="L36" s="922"/>
      <c r="M36" s="922"/>
      <c r="N36" s="922"/>
      <c r="O36" s="922"/>
      <c r="P36" s="922"/>
      <c r="Q36" s="922"/>
      <c r="R36" s="922"/>
      <c r="S36" s="922"/>
      <c r="T36" s="922"/>
      <c r="U36" s="930"/>
      <c r="V36" s="930"/>
      <c r="X36" s="926">
        <f t="shared" si="1"/>
        <v>54384000</v>
      </c>
    </row>
    <row r="37" spans="1:24" s="925" customFormat="1" ht="12.75">
      <c r="A37" s="939" t="s">
        <v>101</v>
      </c>
      <c r="B37" s="939">
        <v>20</v>
      </c>
      <c r="C37" s="940" t="s">
        <v>100</v>
      </c>
      <c r="D37" s="941">
        <v>3000000</v>
      </c>
      <c r="E37" s="942">
        <v>3078208</v>
      </c>
      <c r="F37" s="942">
        <v>1815680</v>
      </c>
      <c r="G37" s="942">
        <v>14701451</v>
      </c>
      <c r="H37" s="1072">
        <v>15000000</v>
      </c>
      <c r="I37" s="944"/>
      <c r="J37" s="949"/>
      <c r="K37" s="949"/>
      <c r="L37" s="922"/>
      <c r="M37" s="922"/>
      <c r="N37" s="922"/>
      <c r="O37" s="922"/>
      <c r="P37" s="922"/>
      <c r="Q37" s="922"/>
      <c r="R37" s="922"/>
      <c r="S37" s="922"/>
      <c r="T37" s="922"/>
      <c r="U37" s="930"/>
      <c r="V37" s="930"/>
      <c r="X37" s="926">
        <f t="shared" si="1"/>
        <v>15000000</v>
      </c>
    </row>
    <row r="38" spans="1:24" s="925" customFormat="1" ht="12.75">
      <c r="A38" s="939" t="s">
        <v>99</v>
      </c>
      <c r="B38" s="939">
        <v>20</v>
      </c>
      <c r="C38" s="940" t="s">
        <v>98</v>
      </c>
      <c r="D38" s="941">
        <v>500000</v>
      </c>
      <c r="E38" s="928"/>
      <c r="F38" s="928">
        <v>0</v>
      </c>
      <c r="G38" s="928">
        <v>0</v>
      </c>
      <c r="H38" s="1073">
        <v>500000</v>
      </c>
      <c r="I38" s="950"/>
      <c r="J38" s="949"/>
      <c r="K38" s="949"/>
      <c r="L38" s="922"/>
      <c r="M38" s="922"/>
      <c r="N38" s="922"/>
      <c r="O38" s="922"/>
      <c r="P38" s="922"/>
      <c r="Q38" s="922"/>
      <c r="R38" s="922"/>
      <c r="S38" s="922"/>
      <c r="T38" s="922"/>
      <c r="U38" s="930"/>
      <c r="V38" s="930"/>
      <c r="X38" s="926">
        <f t="shared" si="1"/>
        <v>500000</v>
      </c>
    </row>
    <row r="39" spans="1:24" s="925" customFormat="1" ht="12.75">
      <c r="A39" s="939" t="s">
        <v>97</v>
      </c>
      <c r="B39" s="939">
        <v>20</v>
      </c>
      <c r="C39" s="940" t="s">
        <v>96</v>
      </c>
      <c r="D39" s="941">
        <v>280000000</v>
      </c>
      <c r="E39" s="942">
        <v>309077794.7</v>
      </c>
      <c r="F39" s="942">
        <v>17347878</v>
      </c>
      <c r="G39" s="942">
        <v>0</v>
      </c>
      <c r="H39" s="1072">
        <v>0</v>
      </c>
      <c r="I39" s="944"/>
      <c r="J39" s="949"/>
      <c r="K39" s="949"/>
      <c r="L39" s="922"/>
      <c r="M39" s="922"/>
      <c r="N39" s="922"/>
      <c r="O39" s="922"/>
      <c r="P39" s="922"/>
      <c r="Q39" s="922"/>
      <c r="R39" s="922"/>
      <c r="S39" s="922"/>
      <c r="T39" s="922"/>
      <c r="U39" s="930"/>
      <c r="V39" s="930"/>
      <c r="X39" s="926">
        <f t="shared" si="1"/>
        <v>0</v>
      </c>
    </row>
    <row r="40" spans="1:24" s="925" customFormat="1" ht="12.75">
      <c r="A40" s="939" t="s">
        <v>95</v>
      </c>
      <c r="B40" s="939">
        <v>20</v>
      </c>
      <c r="C40" s="940" t="s">
        <v>94</v>
      </c>
      <c r="D40" s="941">
        <v>500000</v>
      </c>
      <c r="E40" s="942">
        <v>612178</v>
      </c>
      <c r="F40" s="942">
        <v>2823777</v>
      </c>
      <c r="G40" s="942">
        <v>1748636</v>
      </c>
      <c r="H40" s="1072">
        <v>2000000</v>
      </c>
      <c r="I40" s="944"/>
      <c r="J40" s="949"/>
      <c r="K40" s="949"/>
      <c r="L40" s="922"/>
      <c r="M40" s="922"/>
      <c r="N40" s="922"/>
      <c r="O40" s="922"/>
      <c r="P40" s="922"/>
      <c r="Q40" s="922"/>
      <c r="R40" s="922"/>
      <c r="S40" s="922"/>
      <c r="T40" s="922"/>
      <c r="U40" s="930"/>
      <c r="V40" s="930"/>
      <c r="X40" s="926">
        <f t="shared" si="1"/>
        <v>2000000</v>
      </c>
    </row>
    <row r="41" spans="1:24" s="925" customFormat="1" ht="12.75">
      <c r="A41" s="939" t="s">
        <v>93</v>
      </c>
      <c r="B41" s="939">
        <v>20</v>
      </c>
      <c r="C41" s="940" t="s">
        <v>92</v>
      </c>
      <c r="D41" s="941">
        <v>500000</v>
      </c>
      <c r="E41" s="942">
        <v>27000</v>
      </c>
      <c r="F41" s="942">
        <v>0</v>
      </c>
      <c r="G41" s="942">
        <v>0</v>
      </c>
      <c r="H41" s="1072">
        <v>200000</v>
      </c>
      <c r="I41" s="944"/>
      <c r="J41" s="949"/>
      <c r="K41" s="949"/>
      <c r="L41" s="922"/>
      <c r="M41" s="922"/>
      <c r="N41" s="922"/>
      <c r="O41" s="922"/>
      <c r="P41" s="922"/>
      <c r="Q41" s="922"/>
      <c r="R41" s="922"/>
      <c r="S41" s="922"/>
      <c r="T41" s="922"/>
      <c r="U41" s="930"/>
      <c r="V41" s="930"/>
      <c r="X41" s="926">
        <f t="shared" si="1"/>
        <v>200000</v>
      </c>
    </row>
    <row r="42" spans="1:24" s="925" customFormat="1" ht="12.75">
      <c r="A42" s="939" t="s">
        <v>91</v>
      </c>
      <c r="B42" s="939">
        <v>20</v>
      </c>
      <c r="C42" s="940" t="s">
        <v>90</v>
      </c>
      <c r="D42" s="941">
        <v>500000</v>
      </c>
      <c r="E42" s="942">
        <v>114650</v>
      </c>
      <c r="F42" s="942">
        <v>291400</v>
      </c>
      <c r="G42" s="942">
        <v>164944</v>
      </c>
      <c r="H42" s="1072">
        <v>200000</v>
      </c>
      <c r="I42" s="944"/>
      <c r="J42" s="949"/>
      <c r="K42" s="949"/>
      <c r="L42" s="922"/>
      <c r="M42" s="922"/>
      <c r="N42" s="922"/>
      <c r="O42" s="922"/>
      <c r="P42" s="922"/>
      <c r="Q42" s="922"/>
      <c r="R42" s="922"/>
      <c r="S42" s="922"/>
      <c r="T42" s="922"/>
      <c r="U42" s="930"/>
      <c r="V42" s="930"/>
      <c r="X42" s="926">
        <f t="shared" si="1"/>
        <v>200000</v>
      </c>
    </row>
    <row r="43" spans="1:24" s="925" customFormat="1" ht="12.75">
      <c r="A43" s="939" t="s">
        <v>89</v>
      </c>
      <c r="B43" s="939">
        <v>20</v>
      </c>
      <c r="C43" s="940" t="s">
        <v>88</v>
      </c>
      <c r="D43" s="941">
        <v>500000</v>
      </c>
      <c r="E43" s="942">
        <v>123600</v>
      </c>
      <c r="F43" s="942">
        <v>0</v>
      </c>
      <c r="G43" s="942">
        <v>0</v>
      </c>
      <c r="H43" s="1072">
        <v>200000</v>
      </c>
      <c r="I43" s="944"/>
      <c r="J43" s="949"/>
      <c r="K43" s="949"/>
      <c r="L43" s="922"/>
      <c r="M43" s="922"/>
      <c r="N43" s="922"/>
      <c r="O43" s="922"/>
      <c r="P43" s="922"/>
      <c r="Q43" s="922"/>
      <c r="R43" s="922"/>
      <c r="S43" s="922"/>
      <c r="T43" s="922"/>
      <c r="U43" s="930"/>
      <c r="V43" s="930"/>
      <c r="X43" s="926">
        <f t="shared" si="1"/>
        <v>200000</v>
      </c>
    </row>
    <row r="44" spans="1:22" s="925" customFormat="1" ht="25.5">
      <c r="A44" s="939" t="s">
        <v>87</v>
      </c>
      <c r="B44" s="939">
        <v>30</v>
      </c>
      <c r="C44" s="940" t="s">
        <v>86</v>
      </c>
      <c r="D44" s="941">
        <v>3417850000</v>
      </c>
      <c r="E44" s="942">
        <v>1501687595</v>
      </c>
      <c r="F44" s="942">
        <v>1017068381</v>
      </c>
      <c r="G44" s="942">
        <v>1257671658</v>
      </c>
      <c r="H44" s="1072">
        <v>3500000000</v>
      </c>
      <c r="I44" s="950">
        <f>+H44</f>
        <v>3500000000</v>
      </c>
      <c r="J44" s="949"/>
      <c r="K44" s="949"/>
      <c r="L44" s="922"/>
      <c r="M44" s="922"/>
      <c r="N44" s="922"/>
      <c r="O44" s="922"/>
      <c r="P44" s="922"/>
      <c r="Q44" s="922"/>
      <c r="R44" s="922"/>
      <c r="S44" s="922"/>
      <c r="T44" s="922"/>
      <c r="U44" s="930"/>
      <c r="V44" s="930"/>
    </row>
    <row r="45" spans="1:22" s="962" customFormat="1" ht="12.75">
      <c r="A45" s="936" t="s">
        <v>85</v>
      </c>
      <c r="B45" s="936"/>
      <c r="C45" s="931" t="s">
        <v>84</v>
      </c>
      <c r="D45" s="937">
        <f>SUM(D46:D51)</f>
        <v>17700000</v>
      </c>
      <c r="E45" s="937">
        <f>SUM(E46:E51)</f>
        <v>75897124</v>
      </c>
      <c r="F45" s="937">
        <f>SUM(F46:F51)</f>
        <v>110736428</v>
      </c>
      <c r="G45" s="937">
        <f>SUM(G46:G51)</f>
        <v>13073876</v>
      </c>
      <c r="H45" s="938">
        <f>SUM(H46:H51)</f>
        <v>19500000</v>
      </c>
      <c r="I45" s="935"/>
      <c r="J45" s="951"/>
      <c r="K45" s="951"/>
      <c r="L45" s="952"/>
      <c r="M45" s="952"/>
      <c r="N45" s="952"/>
      <c r="O45" s="952"/>
      <c r="P45" s="952"/>
      <c r="Q45" s="952"/>
      <c r="R45" s="952"/>
      <c r="S45" s="952"/>
      <c r="T45" s="952"/>
      <c r="U45" s="961"/>
      <c r="V45" s="961"/>
    </row>
    <row r="46" spans="1:24" s="925" customFormat="1" ht="12.75">
      <c r="A46" s="939" t="s">
        <v>83</v>
      </c>
      <c r="B46" s="939">
        <v>20</v>
      </c>
      <c r="C46" s="940" t="s">
        <v>69</v>
      </c>
      <c r="D46" s="941">
        <v>10000000</v>
      </c>
      <c r="E46" s="942">
        <v>60597124</v>
      </c>
      <c r="F46" s="942">
        <v>66930649</v>
      </c>
      <c r="G46" s="942">
        <v>13073876</v>
      </c>
      <c r="H46" s="1072">
        <v>15000000</v>
      </c>
      <c r="I46" s="944"/>
      <c r="J46" s="949"/>
      <c r="K46" s="949"/>
      <c r="L46" s="922"/>
      <c r="M46" s="922"/>
      <c r="N46" s="922"/>
      <c r="O46" s="922"/>
      <c r="P46" s="922"/>
      <c r="Q46" s="922"/>
      <c r="R46" s="922"/>
      <c r="S46" s="922"/>
      <c r="T46" s="922"/>
      <c r="U46" s="930"/>
      <c r="V46" s="930"/>
      <c r="X46" s="926">
        <f>+H46</f>
        <v>15000000</v>
      </c>
    </row>
    <row r="47" spans="1:24" s="925" customFormat="1" ht="12.75">
      <c r="A47" s="939" t="s">
        <v>82</v>
      </c>
      <c r="B47" s="939">
        <v>20</v>
      </c>
      <c r="C47" s="940" t="s">
        <v>81</v>
      </c>
      <c r="D47" s="941">
        <v>1000000</v>
      </c>
      <c r="E47" s="928"/>
      <c r="F47" s="928">
        <v>0</v>
      </c>
      <c r="G47" s="928">
        <v>0</v>
      </c>
      <c r="H47" s="1073">
        <v>500000</v>
      </c>
      <c r="I47" s="950"/>
      <c r="J47" s="949"/>
      <c r="K47" s="949"/>
      <c r="L47" s="922"/>
      <c r="M47" s="922"/>
      <c r="N47" s="922"/>
      <c r="O47" s="922"/>
      <c r="P47" s="922"/>
      <c r="Q47" s="922"/>
      <c r="R47" s="922"/>
      <c r="S47" s="922"/>
      <c r="T47" s="922"/>
      <c r="U47" s="930"/>
      <c r="V47" s="930"/>
      <c r="X47" s="926">
        <f>+H47</f>
        <v>500000</v>
      </c>
    </row>
    <row r="48" spans="1:24" s="925" customFormat="1" ht="12.75">
      <c r="A48" s="939" t="s">
        <v>80</v>
      </c>
      <c r="B48" s="939">
        <v>20</v>
      </c>
      <c r="C48" s="940" t="s">
        <v>79</v>
      </c>
      <c r="D48" s="941">
        <v>5000000</v>
      </c>
      <c r="E48" s="942">
        <v>700000</v>
      </c>
      <c r="F48" s="942">
        <v>4170200</v>
      </c>
      <c r="G48" s="942"/>
      <c r="H48" s="1072">
        <v>1000000</v>
      </c>
      <c r="I48" s="944"/>
      <c r="J48" s="949"/>
      <c r="K48" s="949"/>
      <c r="L48" s="922"/>
      <c r="M48" s="922"/>
      <c r="N48" s="922"/>
      <c r="O48" s="922"/>
      <c r="P48" s="922"/>
      <c r="Q48" s="922"/>
      <c r="R48" s="922"/>
      <c r="S48" s="922"/>
      <c r="T48" s="922"/>
      <c r="U48" s="930"/>
      <c r="V48" s="930"/>
      <c r="X48" s="926">
        <f>+H48</f>
        <v>1000000</v>
      </c>
    </row>
    <row r="49" spans="1:24" s="925" customFormat="1" ht="12.75">
      <c r="A49" s="939" t="s">
        <v>78</v>
      </c>
      <c r="B49" s="939">
        <v>20</v>
      </c>
      <c r="C49" s="940" t="s">
        <v>77</v>
      </c>
      <c r="D49" s="941">
        <v>500000</v>
      </c>
      <c r="E49" s="942">
        <v>14600000</v>
      </c>
      <c r="F49" s="942">
        <v>0</v>
      </c>
      <c r="G49" s="942">
        <v>0</v>
      </c>
      <c r="H49" s="1072">
        <v>500000</v>
      </c>
      <c r="I49" s="944"/>
      <c r="J49" s="949"/>
      <c r="K49" s="949"/>
      <c r="L49" s="922"/>
      <c r="M49" s="922"/>
      <c r="N49" s="922"/>
      <c r="O49" s="922"/>
      <c r="P49" s="922"/>
      <c r="Q49" s="922"/>
      <c r="R49" s="922"/>
      <c r="S49" s="922"/>
      <c r="T49" s="922"/>
      <c r="U49" s="930"/>
      <c r="V49" s="930"/>
      <c r="X49" s="926">
        <f>+H49</f>
        <v>500000</v>
      </c>
    </row>
    <row r="50" spans="1:24" s="925" customFormat="1" ht="12.75">
      <c r="A50" s="939" t="s">
        <v>76</v>
      </c>
      <c r="B50" s="939">
        <v>20</v>
      </c>
      <c r="C50" s="940" t="s">
        <v>75</v>
      </c>
      <c r="D50" s="941">
        <v>1000000</v>
      </c>
      <c r="E50" s="928"/>
      <c r="F50" s="942">
        <v>39635579</v>
      </c>
      <c r="G50" s="942">
        <f>+E50*$N$10</f>
        <v>0</v>
      </c>
      <c r="H50" s="1073">
        <v>2000000</v>
      </c>
      <c r="I50" s="950"/>
      <c r="J50" s="949"/>
      <c r="K50" s="949"/>
      <c r="L50" s="922"/>
      <c r="M50" s="922"/>
      <c r="N50" s="922"/>
      <c r="O50" s="922"/>
      <c r="P50" s="922"/>
      <c r="Q50" s="922"/>
      <c r="R50" s="922"/>
      <c r="S50" s="922"/>
      <c r="T50" s="922"/>
      <c r="U50" s="930"/>
      <c r="V50" s="930"/>
      <c r="X50" s="926">
        <f>+H50</f>
        <v>2000000</v>
      </c>
    </row>
    <row r="51" spans="1:22" s="925" customFormat="1" ht="12.75">
      <c r="A51" s="939" t="s">
        <v>516</v>
      </c>
      <c r="B51" s="939">
        <v>20</v>
      </c>
      <c r="C51" s="940" t="s">
        <v>515</v>
      </c>
      <c r="D51" s="941">
        <v>200000</v>
      </c>
      <c r="E51" s="928"/>
      <c r="F51" s="928">
        <v>0</v>
      </c>
      <c r="G51" s="928"/>
      <c r="H51" s="1073">
        <v>500000</v>
      </c>
      <c r="I51" s="950">
        <f>+H51</f>
        <v>500000</v>
      </c>
      <c r="J51" s="949"/>
      <c r="K51" s="949"/>
      <c r="L51" s="922"/>
      <c r="M51" s="922"/>
      <c r="N51" s="922"/>
      <c r="O51" s="922"/>
      <c r="P51" s="922"/>
      <c r="Q51" s="922"/>
      <c r="R51" s="922"/>
      <c r="S51" s="922"/>
      <c r="T51" s="922"/>
      <c r="U51" s="930"/>
      <c r="V51" s="930"/>
    </row>
    <row r="52" spans="1:22" s="962" customFormat="1" ht="12.75">
      <c r="A52" s="936" t="s">
        <v>74</v>
      </c>
      <c r="B52" s="936"/>
      <c r="C52" s="931" t="s">
        <v>73</v>
      </c>
      <c r="D52" s="937">
        <f>SUM(D53:D54)</f>
        <v>26500000</v>
      </c>
      <c r="E52" s="937">
        <f>SUM(E53:E54)</f>
        <v>21050027</v>
      </c>
      <c r="F52" s="937">
        <f>SUM(F53:F54)</f>
        <v>62964192</v>
      </c>
      <c r="G52" s="937">
        <f>SUM(G53:G54)</f>
        <v>25296168</v>
      </c>
      <c r="H52" s="938">
        <f>SUM(H53:H54)</f>
        <v>30000000</v>
      </c>
      <c r="I52" s="935"/>
      <c r="J52" s="951"/>
      <c r="K52" s="951"/>
      <c r="L52" s="952"/>
      <c r="M52" s="952"/>
      <c r="N52" s="952"/>
      <c r="O52" s="952"/>
      <c r="P52" s="952"/>
      <c r="Q52" s="952"/>
      <c r="R52" s="952"/>
      <c r="S52" s="952"/>
      <c r="T52" s="952"/>
      <c r="U52" s="961"/>
      <c r="V52" s="961"/>
    </row>
    <row r="53" spans="1:24" s="925" customFormat="1" ht="12.75">
      <c r="A53" s="939" t="s">
        <v>72</v>
      </c>
      <c r="B53" s="939">
        <v>20</v>
      </c>
      <c r="C53" s="940" t="s">
        <v>71</v>
      </c>
      <c r="D53" s="941">
        <v>20000000</v>
      </c>
      <c r="E53" s="942">
        <v>4150092</v>
      </c>
      <c r="F53" s="942">
        <v>24845097</v>
      </c>
      <c r="G53" s="942">
        <v>13667008</v>
      </c>
      <c r="H53" s="1072">
        <v>15000000</v>
      </c>
      <c r="I53" s="944"/>
      <c r="J53" s="949"/>
      <c r="K53" s="949"/>
      <c r="L53" s="922"/>
      <c r="M53" s="922"/>
      <c r="N53" s="922"/>
      <c r="O53" s="922"/>
      <c r="P53" s="922"/>
      <c r="Q53" s="922"/>
      <c r="R53" s="922"/>
      <c r="S53" s="922"/>
      <c r="T53" s="922"/>
      <c r="U53" s="930"/>
      <c r="V53" s="930"/>
      <c r="X53" s="926">
        <f>+H53</f>
        <v>15000000</v>
      </c>
    </row>
    <row r="54" spans="1:24" s="925" customFormat="1" ht="12.75">
      <c r="A54" s="939" t="s">
        <v>70</v>
      </c>
      <c r="B54" s="939">
        <v>20</v>
      </c>
      <c r="C54" s="940" t="s">
        <v>69</v>
      </c>
      <c r="D54" s="941">
        <v>6500000</v>
      </c>
      <c r="E54" s="942">
        <v>16899935</v>
      </c>
      <c r="F54" s="942">
        <v>38119095</v>
      </c>
      <c r="G54" s="942">
        <v>11629160</v>
      </c>
      <c r="H54" s="1072">
        <v>15000000</v>
      </c>
      <c r="I54" s="944"/>
      <c r="J54" s="949"/>
      <c r="K54" s="949"/>
      <c r="L54" s="922"/>
      <c r="M54" s="922"/>
      <c r="N54" s="922"/>
      <c r="O54" s="922"/>
      <c r="P54" s="922"/>
      <c r="Q54" s="922"/>
      <c r="R54" s="922"/>
      <c r="S54" s="922"/>
      <c r="T54" s="922"/>
      <c r="U54" s="930"/>
      <c r="V54" s="930"/>
      <c r="X54" s="926">
        <f>+H54</f>
        <v>15000000</v>
      </c>
    </row>
    <row r="55" spans="1:22" s="925" customFormat="1" ht="12.75">
      <c r="A55" s="939" t="s">
        <v>68</v>
      </c>
      <c r="B55" s="939">
        <v>40</v>
      </c>
      <c r="C55" s="940" t="s">
        <v>607</v>
      </c>
      <c r="D55" s="941">
        <v>156000000000</v>
      </c>
      <c r="E55" s="928">
        <v>28024426319</v>
      </c>
      <c r="F55" s="928">
        <v>9000000000</v>
      </c>
      <c r="G55" s="928"/>
      <c r="H55" s="1073"/>
      <c r="I55" s="950"/>
      <c r="J55" s="949"/>
      <c r="K55" s="949"/>
      <c r="L55" s="922"/>
      <c r="M55" s="922"/>
      <c r="N55" s="922"/>
      <c r="O55" s="922"/>
      <c r="P55" s="922"/>
      <c r="Q55" s="922"/>
      <c r="R55" s="922"/>
      <c r="S55" s="922"/>
      <c r="T55" s="922"/>
      <c r="U55" s="930"/>
      <c r="V55" s="930"/>
    </row>
    <row r="56" spans="1:22" s="925" customFormat="1" ht="12.75">
      <c r="A56" s="939" t="s">
        <v>518</v>
      </c>
      <c r="B56" s="939">
        <v>25</v>
      </c>
      <c r="C56" s="940" t="s">
        <v>517</v>
      </c>
      <c r="D56" s="941">
        <v>2000000</v>
      </c>
      <c r="E56" s="928">
        <v>4974195</v>
      </c>
      <c r="F56" s="942">
        <v>2704332</v>
      </c>
      <c r="G56" s="942"/>
      <c r="H56" s="928"/>
      <c r="I56" s="950"/>
      <c r="J56" s="949"/>
      <c r="K56" s="949"/>
      <c r="L56" s="922"/>
      <c r="M56" s="922"/>
      <c r="N56" s="922"/>
      <c r="O56" s="922"/>
      <c r="P56" s="922"/>
      <c r="Q56" s="922"/>
      <c r="R56" s="922"/>
      <c r="S56" s="922"/>
      <c r="T56" s="922"/>
      <c r="U56" s="930"/>
      <c r="V56" s="930"/>
    </row>
    <row r="57" spans="1:22" s="962" customFormat="1" ht="12.75">
      <c r="A57" s="936"/>
      <c r="B57" s="936"/>
      <c r="C57" s="940" t="s">
        <v>614</v>
      </c>
      <c r="D57" s="937"/>
      <c r="E57" s="938"/>
      <c r="F57" s="964"/>
      <c r="G57" s="964"/>
      <c r="H57" s="938"/>
      <c r="I57" s="955"/>
      <c r="J57" s="951"/>
      <c r="K57" s="951"/>
      <c r="L57" s="952"/>
      <c r="M57" s="952"/>
      <c r="N57" s="952"/>
      <c r="O57" s="952"/>
      <c r="P57" s="952"/>
      <c r="Q57" s="952"/>
      <c r="R57" s="952"/>
      <c r="S57" s="952"/>
      <c r="T57" s="952"/>
      <c r="U57" s="961"/>
      <c r="V57" s="961"/>
    </row>
    <row r="58" spans="1:22" s="962" customFormat="1" ht="12.75">
      <c r="A58" s="936" t="s">
        <v>65</v>
      </c>
      <c r="B58" s="936"/>
      <c r="C58" s="931" t="s">
        <v>59</v>
      </c>
      <c r="D58" s="937">
        <f>SUM(D59:D61)</f>
        <v>3500000</v>
      </c>
      <c r="E58" s="937">
        <f>SUM(E59:E61)</f>
        <v>9183922</v>
      </c>
      <c r="F58" s="937">
        <f>SUM(F59:F61)</f>
        <v>14822450</v>
      </c>
      <c r="G58" s="937">
        <f>SUM(G59:G61)</f>
        <v>14426470</v>
      </c>
      <c r="H58" s="938">
        <f>SUM(H59:H61)</f>
        <v>10797000</v>
      </c>
      <c r="I58" s="935"/>
      <c r="J58" s="951"/>
      <c r="K58" s="951"/>
      <c r="L58" s="952"/>
      <c r="M58" s="952"/>
      <c r="N58" s="952"/>
      <c r="O58" s="952"/>
      <c r="P58" s="952"/>
      <c r="Q58" s="952"/>
      <c r="R58" s="952"/>
      <c r="S58" s="952"/>
      <c r="T58" s="952"/>
      <c r="U58" s="961"/>
      <c r="V58" s="961"/>
    </row>
    <row r="59" spans="1:24" s="925" customFormat="1" ht="12.75">
      <c r="A59" s="939" t="s">
        <v>64</v>
      </c>
      <c r="B59" s="939">
        <v>20</v>
      </c>
      <c r="C59" s="940" t="s">
        <v>63</v>
      </c>
      <c r="D59" s="941">
        <v>1000000</v>
      </c>
      <c r="E59" s="942">
        <v>1340445</v>
      </c>
      <c r="F59" s="942">
        <v>1650000</v>
      </c>
      <c r="G59" s="942">
        <v>1940000</v>
      </c>
      <c r="H59" s="1072">
        <v>1527000</v>
      </c>
      <c r="I59" s="944"/>
      <c r="J59" s="949"/>
      <c r="K59" s="949"/>
      <c r="L59" s="922"/>
      <c r="M59" s="922"/>
      <c r="N59" s="922"/>
      <c r="O59" s="922"/>
      <c r="P59" s="922"/>
      <c r="Q59" s="922"/>
      <c r="R59" s="922"/>
      <c r="S59" s="922"/>
      <c r="T59" s="922"/>
      <c r="U59" s="930"/>
      <c r="V59" s="930"/>
      <c r="X59" s="926">
        <f>+H59</f>
        <v>1527000</v>
      </c>
    </row>
    <row r="60" spans="1:24" s="925" customFormat="1" ht="12.75">
      <c r="A60" s="939" t="s">
        <v>62</v>
      </c>
      <c r="B60" s="939">
        <v>20</v>
      </c>
      <c r="C60" s="940" t="s">
        <v>61</v>
      </c>
      <c r="D60" s="941">
        <v>2000000</v>
      </c>
      <c r="E60" s="942">
        <v>7489477</v>
      </c>
      <c r="F60" s="942">
        <v>11137710</v>
      </c>
      <c r="G60" s="942">
        <v>5303462</v>
      </c>
      <c r="H60" s="1072">
        <v>6677000</v>
      </c>
      <c r="I60" s="944"/>
      <c r="J60" s="949"/>
      <c r="K60" s="949"/>
      <c r="L60" s="922"/>
      <c r="M60" s="922"/>
      <c r="N60" s="922"/>
      <c r="O60" s="922"/>
      <c r="P60" s="922"/>
      <c r="Q60" s="922"/>
      <c r="R60" s="922"/>
      <c r="S60" s="922"/>
      <c r="T60" s="922"/>
      <c r="U60" s="930"/>
      <c r="V60" s="930"/>
      <c r="X60" s="926">
        <f>+H60</f>
        <v>6677000</v>
      </c>
    </row>
    <row r="61" spans="1:24" s="925" customFormat="1" ht="12.75">
      <c r="A61" s="939" t="s">
        <v>60</v>
      </c>
      <c r="B61" s="939">
        <v>20</v>
      </c>
      <c r="C61" s="940" t="s">
        <v>59</v>
      </c>
      <c r="D61" s="941">
        <v>500000</v>
      </c>
      <c r="E61" s="942">
        <v>354000</v>
      </c>
      <c r="F61" s="942">
        <v>2034740</v>
      </c>
      <c r="G61" s="942">
        <v>7183008</v>
      </c>
      <c r="H61" s="1072">
        <v>2593000</v>
      </c>
      <c r="I61" s="944"/>
      <c r="J61" s="949"/>
      <c r="K61" s="949"/>
      <c r="L61" s="922"/>
      <c r="M61" s="922"/>
      <c r="N61" s="922"/>
      <c r="O61" s="922"/>
      <c r="P61" s="922"/>
      <c r="Q61" s="922"/>
      <c r="R61" s="922"/>
      <c r="S61" s="922"/>
      <c r="T61" s="922"/>
      <c r="U61" s="930"/>
      <c r="V61" s="930"/>
      <c r="X61" s="926">
        <f>+H61</f>
        <v>2593000</v>
      </c>
    </row>
    <row r="62" spans="1:22" s="925" customFormat="1" ht="12.75">
      <c r="A62" s="936" t="s">
        <v>58</v>
      </c>
      <c r="B62" s="936"/>
      <c r="C62" s="931" t="s">
        <v>57</v>
      </c>
      <c r="D62" s="937">
        <f>+D63+D65+D66++D78+D79+D74</f>
        <v>5145502144</v>
      </c>
      <c r="E62" s="937">
        <f>+E63+E64+E65+E66+E74+E78+E79</f>
        <v>5573017315.1</v>
      </c>
      <c r="F62" s="937">
        <f>+F63+F64+F65+F66+F74+F78+F79</f>
        <v>6399548337</v>
      </c>
      <c r="G62" s="937">
        <f>+G63+G64+G65+G66+G74+G78+G79</f>
        <v>6467134670</v>
      </c>
      <c r="H62" s="938">
        <f>+H63+H64+H65+H66+H74+H78+H79</f>
        <v>6531390334.09</v>
      </c>
      <c r="I62" s="935"/>
      <c r="J62" s="949"/>
      <c r="K62" s="949"/>
      <c r="L62" s="922"/>
      <c r="M62" s="922"/>
      <c r="N62" s="922"/>
      <c r="O62" s="922"/>
      <c r="P62" s="922"/>
      <c r="Q62" s="922"/>
      <c r="R62" s="922"/>
      <c r="S62" s="922"/>
      <c r="T62" s="922"/>
      <c r="U62" s="930"/>
      <c r="V62" s="930"/>
    </row>
    <row r="63" spans="1:22" s="925" customFormat="1" ht="12.75">
      <c r="A63" s="939" t="s">
        <v>56</v>
      </c>
      <c r="B63" s="939">
        <v>80</v>
      </c>
      <c r="C63" s="940" t="s">
        <v>55</v>
      </c>
      <c r="D63" s="941">
        <v>954853272</v>
      </c>
      <c r="E63" s="942">
        <v>682419150</v>
      </c>
      <c r="F63" s="942">
        <v>750089526</v>
      </c>
      <c r="G63" s="942">
        <v>844780936</v>
      </c>
      <c r="H63" s="1072">
        <v>844780936</v>
      </c>
      <c r="I63" s="950">
        <f>+H63</f>
        <v>844780936</v>
      </c>
      <c r="J63" s="949"/>
      <c r="K63" s="949"/>
      <c r="L63" s="922"/>
      <c r="M63" s="922"/>
      <c r="N63" s="922"/>
      <c r="O63" s="922"/>
      <c r="P63" s="922"/>
      <c r="Q63" s="922"/>
      <c r="R63" s="922"/>
      <c r="S63" s="922"/>
      <c r="T63" s="922"/>
      <c r="U63" s="930"/>
      <c r="V63" s="930"/>
    </row>
    <row r="64" spans="1:22" s="925" customFormat="1" ht="12.75">
      <c r="A64" s="939"/>
      <c r="B64" s="939">
        <v>300</v>
      </c>
      <c r="C64" s="940" t="s">
        <v>584</v>
      </c>
      <c r="D64" s="941"/>
      <c r="E64" s="942">
        <v>215845000</v>
      </c>
      <c r="F64" s="942">
        <v>518628000</v>
      </c>
      <c r="G64" s="942">
        <v>550036000</v>
      </c>
      <c r="H64" s="1072">
        <v>550036000</v>
      </c>
      <c r="I64" s="950">
        <f>+H64</f>
        <v>550036000</v>
      </c>
      <c r="J64" s="949"/>
      <c r="K64" s="949"/>
      <c r="L64" s="922"/>
      <c r="M64" s="922"/>
      <c r="N64" s="922"/>
      <c r="O64" s="922"/>
      <c r="P64" s="922"/>
      <c r="Q64" s="922"/>
      <c r="R64" s="922"/>
      <c r="S64" s="922"/>
      <c r="T64" s="922"/>
      <c r="U64" s="930"/>
      <c r="V64" s="930"/>
    </row>
    <row r="65" spans="1:24" s="925" customFormat="1" ht="12.75">
      <c r="A65" s="939" t="s">
        <v>54</v>
      </c>
      <c r="B65" s="939">
        <v>90</v>
      </c>
      <c r="C65" s="940" t="s">
        <v>53</v>
      </c>
      <c r="D65" s="941">
        <v>1147770906</v>
      </c>
      <c r="E65" s="942">
        <v>1334858724</v>
      </c>
      <c r="F65" s="942">
        <v>1554155792</v>
      </c>
      <c r="G65" s="942">
        <v>1600780471</v>
      </c>
      <c r="H65" s="1072">
        <v>1524413636</v>
      </c>
      <c r="I65" s="944"/>
      <c r="J65" s="949"/>
      <c r="K65" s="949"/>
      <c r="L65" s="922"/>
      <c r="M65" s="922"/>
      <c r="N65" s="922"/>
      <c r="O65" s="922"/>
      <c r="P65" s="922"/>
      <c r="Q65" s="922"/>
      <c r="R65" s="922"/>
      <c r="S65" s="922"/>
      <c r="T65" s="922"/>
      <c r="U65" s="930"/>
      <c r="V65" s="930"/>
      <c r="X65" s="926">
        <f>+H65</f>
        <v>1524413636</v>
      </c>
    </row>
    <row r="66" spans="1:22" s="925" customFormat="1" ht="12.75">
      <c r="A66" s="936" t="s">
        <v>52</v>
      </c>
      <c r="B66" s="936"/>
      <c r="C66" s="931" t="s">
        <v>51</v>
      </c>
      <c r="D66" s="937">
        <f>SUM(D67:D73)</f>
        <v>2831877966</v>
      </c>
      <c r="E66" s="937">
        <f>SUM(E67:E73)</f>
        <v>2885224206</v>
      </c>
      <c r="F66" s="937">
        <f>SUM(F67:F73)</f>
        <v>3175325007</v>
      </c>
      <c r="G66" s="937">
        <f>SUM(G67:G73)</f>
        <v>3203704479</v>
      </c>
      <c r="H66" s="938">
        <f>SUM(H67:H73)</f>
        <v>3248659762.09</v>
      </c>
      <c r="I66" s="935"/>
      <c r="J66" s="951"/>
      <c r="K66" s="951"/>
      <c r="L66" s="952"/>
      <c r="M66" s="952"/>
      <c r="N66" s="952"/>
      <c r="O66" s="952"/>
      <c r="P66" s="952"/>
      <c r="Q66" s="952"/>
      <c r="R66" s="952"/>
      <c r="S66" s="952"/>
      <c r="T66" s="952"/>
      <c r="U66" s="930"/>
      <c r="V66" s="930"/>
    </row>
    <row r="67" spans="1:22" s="925" customFormat="1" ht="12.75">
      <c r="A67" s="939" t="s">
        <v>50</v>
      </c>
      <c r="B67" s="939">
        <v>91</v>
      </c>
      <c r="C67" s="940" t="s">
        <v>49</v>
      </c>
      <c r="D67" s="941">
        <v>94774098</v>
      </c>
      <c r="E67" s="942">
        <v>97539764</v>
      </c>
      <c r="F67" s="942">
        <v>100779706</v>
      </c>
      <c r="G67" s="942">
        <v>104519208</v>
      </c>
      <c r="H67" s="1072">
        <v>104519208</v>
      </c>
      <c r="I67" s="950">
        <f aca="true" t="shared" si="2" ref="I67:I72">+H67</f>
        <v>104519208</v>
      </c>
      <c r="J67" s="951"/>
      <c r="K67" s="951"/>
      <c r="L67" s="952"/>
      <c r="M67" s="952"/>
      <c r="N67" s="952"/>
      <c r="O67" s="952"/>
      <c r="P67" s="952"/>
      <c r="Q67" s="952"/>
      <c r="R67" s="952"/>
      <c r="S67" s="952"/>
      <c r="T67" s="952"/>
      <c r="U67" s="930"/>
      <c r="V67" s="930"/>
    </row>
    <row r="68" spans="1:22" s="925" customFormat="1" ht="12.75">
      <c r="A68" s="939" t="s">
        <v>48</v>
      </c>
      <c r="B68" s="939">
        <v>92</v>
      </c>
      <c r="C68" s="940" t="s">
        <v>47</v>
      </c>
      <c r="D68" s="941">
        <v>71080574</v>
      </c>
      <c r="E68" s="942">
        <v>73154822</v>
      </c>
      <c r="F68" s="942">
        <v>75584786</v>
      </c>
      <c r="G68" s="942">
        <v>78389407</v>
      </c>
      <c r="H68" s="1072">
        <v>78389407</v>
      </c>
      <c r="I68" s="950">
        <f t="shared" si="2"/>
        <v>78389407</v>
      </c>
      <c r="J68" s="951"/>
      <c r="K68" s="951"/>
      <c r="L68" s="952"/>
      <c r="M68" s="952"/>
      <c r="N68" s="952"/>
      <c r="O68" s="952"/>
      <c r="P68" s="952"/>
      <c r="Q68" s="952"/>
      <c r="R68" s="952"/>
      <c r="S68" s="952"/>
      <c r="T68" s="952"/>
      <c r="U68" s="930"/>
      <c r="V68" s="930"/>
    </row>
    <row r="69" spans="1:22" s="925" customFormat="1" ht="12.75">
      <c r="A69" s="939" t="s">
        <v>46</v>
      </c>
      <c r="B69" s="939">
        <v>93</v>
      </c>
      <c r="C69" s="940" t="s">
        <v>45</v>
      </c>
      <c r="D69" s="941">
        <v>824546466</v>
      </c>
      <c r="E69" s="942">
        <v>874618288</v>
      </c>
      <c r="F69" s="942">
        <v>930363592</v>
      </c>
      <c r="G69" s="942">
        <v>927633659</v>
      </c>
      <c r="H69" s="1072">
        <v>927633659</v>
      </c>
      <c r="I69" s="950">
        <f t="shared" si="2"/>
        <v>927633659</v>
      </c>
      <c r="J69" s="949"/>
      <c r="K69" s="949"/>
      <c r="L69" s="922"/>
      <c r="M69" s="922"/>
      <c r="N69" s="922"/>
      <c r="O69" s="922"/>
      <c r="P69" s="922"/>
      <c r="Q69" s="922"/>
      <c r="R69" s="922"/>
      <c r="S69" s="922"/>
      <c r="T69" s="922"/>
      <c r="U69" s="930"/>
      <c r="V69" s="930"/>
    </row>
    <row r="70" spans="1:22" s="925" customFormat="1" ht="12.75">
      <c r="A70" s="939" t="s">
        <v>44</v>
      </c>
      <c r="B70" s="939">
        <v>94</v>
      </c>
      <c r="C70" s="940" t="s">
        <v>43</v>
      </c>
      <c r="D70" s="941">
        <v>1480702866</v>
      </c>
      <c r="E70" s="942">
        <v>1675013341</v>
      </c>
      <c r="F70" s="942">
        <v>1857146728</v>
      </c>
      <c r="G70" s="942">
        <v>1875368503</v>
      </c>
      <c r="H70" s="1072">
        <f>+G70*$O$10</f>
        <v>1931629558.0900002</v>
      </c>
      <c r="I70" s="950">
        <f t="shared" si="2"/>
        <v>1931629558.0900002</v>
      </c>
      <c r="J70" s="949"/>
      <c r="K70" s="949"/>
      <c r="L70" s="922"/>
      <c r="M70" s="922"/>
      <c r="N70" s="922"/>
      <c r="O70" s="922"/>
      <c r="P70" s="922"/>
      <c r="Q70" s="922"/>
      <c r="R70" s="922"/>
      <c r="S70" s="922"/>
      <c r="T70" s="922"/>
      <c r="U70" s="930"/>
      <c r="V70" s="930"/>
    </row>
    <row r="71" spans="1:22" s="925" customFormat="1" ht="12.75">
      <c r="A71" s="939" t="s">
        <v>42</v>
      </c>
      <c r="B71" s="939">
        <v>99</v>
      </c>
      <c r="C71" s="940" t="s">
        <v>41</v>
      </c>
      <c r="D71" s="941">
        <v>100000000</v>
      </c>
      <c r="E71" s="928"/>
      <c r="F71" s="928">
        <v>0</v>
      </c>
      <c r="G71" s="942">
        <f>+F71*$N$10</f>
        <v>0</v>
      </c>
      <c r="H71" s="1073"/>
      <c r="I71" s="950">
        <f t="shared" si="2"/>
        <v>0</v>
      </c>
      <c r="J71" s="949"/>
      <c r="K71" s="949"/>
      <c r="L71" s="922"/>
      <c r="M71" s="922"/>
      <c r="N71" s="922"/>
      <c r="O71" s="922"/>
      <c r="P71" s="922"/>
      <c r="Q71" s="922"/>
      <c r="R71" s="922"/>
      <c r="S71" s="922"/>
      <c r="T71" s="922"/>
      <c r="U71" s="930"/>
      <c r="V71" s="930"/>
    </row>
    <row r="72" spans="1:22" s="925" customFormat="1" ht="12.75">
      <c r="A72" s="939" t="s">
        <v>512</v>
      </c>
      <c r="B72" s="939">
        <v>95</v>
      </c>
      <c r="C72" s="940" t="s">
        <v>513</v>
      </c>
      <c r="D72" s="941">
        <v>183946062</v>
      </c>
      <c r="E72" s="942">
        <v>164897991</v>
      </c>
      <c r="F72" s="942">
        <v>211450195</v>
      </c>
      <c r="G72" s="942">
        <v>217793702</v>
      </c>
      <c r="H72" s="1072">
        <v>206487930</v>
      </c>
      <c r="I72" s="950">
        <f t="shared" si="2"/>
        <v>206487930</v>
      </c>
      <c r="J72" s="949"/>
      <c r="K72" s="949"/>
      <c r="L72" s="922"/>
      <c r="M72" s="922"/>
      <c r="N72" s="922"/>
      <c r="O72" s="922"/>
      <c r="P72" s="922"/>
      <c r="Q72" s="922"/>
      <c r="R72" s="922"/>
      <c r="S72" s="922"/>
      <c r="T72" s="922"/>
      <c r="U72" s="930"/>
      <c r="V72" s="930"/>
    </row>
    <row r="73" spans="1:22" s="925" customFormat="1" ht="12.75">
      <c r="A73" s="939" t="s">
        <v>520</v>
      </c>
      <c r="B73" s="939">
        <v>90</v>
      </c>
      <c r="C73" s="940" t="s">
        <v>519</v>
      </c>
      <c r="D73" s="941">
        <v>76827900</v>
      </c>
      <c r="E73" s="928"/>
      <c r="F73" s="928"/>
      <c r="G73" s="942">
        <f>+E73*$N$10</f>
        <v>0</v>
      </c>
      <c r="H73" s="928"/>
      <c r="I73" s="950"/>
      <c r="J73" s="949"/>
      <c r="K73" s="949"/>
      <c r="L73" s="922"/>
      <c r="M73" s="922"/>
      <c r="N73" s="922"/>
      <c r="O73" s="922"/>
      <c r="P73" s="922"/>
      <c r="Q73" s="922"/>
      <c r="R73" s="922"/>
      <c r="S73" s="922"/>
      <c r="T73" s="922"/>
      <c r="U73" s="930"/>
      <c r="V73" s="930"/>
    </row>
    <row r="74" spans="1:22" s="962" customFormat="1" ht="12.75">
      <c r="A74" s="936" t="s">
        <v>522</v>
      </c>
      <c r="B74" s="936"/>
      <c r="C74" s="931" t="s">
        <v>521</v>
      </c>
      <c r="D74" s="937">
        <f>+D75+D76+D77</f>
        <v>11000000</v>
      </c>
      <c r="E74" s="937">
        <f>+E75+E76+E77</f>
        <v>6812393</v>
      </c>
      <c r="F74" s="937">
        <f>+F75+F76+F77</f>
        <v>7704377</v>
      </c>
      <c r="G74" s="937">
        <f>+G75+G76+G77</f>
        <v>6530000</v>
      </c>
      <c r="H74" s="938">
        <f>+H75+H76+H77</f>
        <v>15500000</v>
      </c>
      <c r="I74" s="935"/>
      <c r="J74" s="951"/>
      <c r="K74" s="951"/>
      <c r="L74" s="952"/>
      <c r="M74" s="952"/>
      <c r="N74" s="952"/>
      <c r="O74" s="952"/>
      <c r="P74" s="952"/>
      <c r="Q74" s="952"/>
      <c r="R74" s="952"/>
      <c r="S74" s="952"/>
      <c r="T74" s="952"/>
      <c r="U74" s="961"/>
      <c r="V74" s="961"/>
    </row>
    <row r="75" spans="1:22" s="925" customFormat="1" ht="12.75">
      <c r="A75" s="939" t="s">
        <v>524</v>
      </c>
      <c r="B75" s="939">
        <v>97</v>
      </c>
      <c r="C75" s="940" t="s">
        <v>1630</v>
      </c>
      <c r="D75" s="941">
        <v>1000000</v>
      </c>
      <c r="E75" s="942">
        <v>4869249</v>
      </c>
      <c r="F75" s="942">
        <v>7562377</v>
      </c>
      <c r="G75" s="942">
        <v>0</v>
      </c>
      <c r="H75" s="1072">
        <v>7500000</v>
      </c>
      <c r="I75" s="950">
        <f>+H75</f>
        <v>7500000</v>
      </c>
      <c r="J75" s="949"/>
      <c r="K75" s="949"/>
      <c r="L75" s="922"/>
      <c r="M75" s="922"/>
      <c r="N75" s="922"/>
      <c r="O75" s="922"/>
      <c r="P75" s="922"/>
      <c r="Q75" s="922"/>
      <c r="R75" s="922"/>
      <c r="S75" s="922"/>
      <c r="T75" s="922"/>
      <c r="U75" s="930"/>
      <c r="V75" s="930"/>
    </row>
    <row r="76" spans="1:24" s="925" customFormat="1" ht="12.75">
      <c r="A76" s="939"/>
      <c r="B76" s="939">
        <v>300</v>
      </c>
      <c r="C76" s="940" t="s">
        <v>1625</v>
      </c>
      <c r="D76" s="941">
        <v>10000000</v>
      </c>
      <c r="E76" s="942">
        <v>1943144</v>
      </c>
      <c r="F76" s="942">
        <v>142000</v>
      </c>
      <c r="G76" s="942">
        <v>30000</v>
      </c>
      <c r="H76" s="1072">
        <v>2000000</v>
      </c>
      <c r="I76" s="953"/>
      <c r="J76" s="949"/>
      <c r="K76" s="949"/>
      <c r="L76" s="922"/>
      <c r="M76" s="922"/>
      <c r="N76" s="922"/>
      <c r="O76" s="922"/>
      <c r="P76" s="922"/>
      <c r="Q76" s="922"/>
      <c r="R76" s="922"/>
      <c r="S76" s="922"/>
      <c r="T76" s="922"/>
      <c r="U76" s="930"/>
      <c r="V76" s="930"/>
      <c r="X76" s="926">
        <f>+H76</f>
        <v>2000000</v>
      </c>
    </row>
    <row r="77" spans="1:24" s="925" customFormat="1" ht="12.75">
      <c r="A77" s="939"/>
      <c r="B77" s="939">
        <v>300</v>
      </c>
      <c r="C77" s="940" t="s">
        <v>1628</v>
      </c>
      <c r="D77" s="941"/>
      <c r="E77" s="942"/>
      <c r="F77" s="942"/>
      <c r="G77" s="942">
        <v>6500000</v>
      </c>
      <c r="H77" s="1072">
        <v>6000000</v>
      </c>
      <c r="I77" s="953"/>
      <c r="J77" s="949"/>
      <c r="K77" s="949"/>
      <c r="L77" s="922"/>
      <c r="M77" s="922"/>
      <c r="N77" s="922"/>
      <c r="O77" s="922"/>
      <c r="P77" s="922"/>
      <c r="Q77" s="922"/>
      <c r="R77" s="922"/>
      <c r="S77" s="922"/>
      <c r="T77" s="922"/>
      <c r="U77" s="930"/>
      <c r="V77" s="930"/>
      <c r="X77" s="926">
        <f>+H77</f>
        <v>6000000</v>
      </c>
    </row>
    <row r="78" spans="1:22" s="925" customFormat="1" ht="12.75">
      <c r="A78" s="939" t="s">
        <v>40</v>
      </c>
      <c r="B78" s="939">
        <v>20</v>
      </c>
      <c r="C78" s="940" t="s">
        <v>39</v>
      </c>
      <c r="D78" s="941">
        <v>20000000</v>
      </c>
      <c r="E78" s="942">
        <v>44785779.25</v>
      </c>
      <c r="F78" s="942">
        <v>39364565</v>
      </c>
      <c r="G78" s="942">
        <v>26130278</v>
      </c>
      <c r="H78" s="1072">
        <v>34800000</v>
      </c>
      <c r="I78" s="950">
        <f>+H78</f>
        <v>34800000</v>
      </c>
      <c r="J78" s="949"/>
      <c r="K78" s="949"/>
      <c r="L78" s="922"/>
      <c r="M78" s="922"/>
      <c r="N78" s="922"/>
      <c r="O78" s="922"/>
      <c r="P78" s="922"/>
      <c r="Q78" s="922"/>
      <c r="R78" s="922"/>
      <c r="S78" s="922"/>
      <c r="T78" s="922"/>
      <c r="U78" s="930"/>
      <c r="V78" s="930"/>
    </row>
    <row r="79" spans="1:22" s="925" customFormat="1" ht="12.75">
      <c r="A79" s="939" t="s">
        <v>38</v>
      </c>
      <c r="B79" s="939">
        <v>96</v>
      </c>
      <c r="C79" s="940" t="s">
        <v>37</v>
      </c>
      <c r="D79" s="941">
        <v>180000000</v>
      </c>
      <c r="E79" s="942">
        <v>403072062.85</v>
      </c>
      <c r="F79" s="942">
        <v>354281070</v>
      </c>
      <c r="G79" s="942">
        <v>235172506</v>
      </c>
      <c r="H79" s="1072">
        <v>313200000</v>
      </c>
      <c r="I79" s="950">
        <f>+H79</f>
        <v>313200000</v>
      </c>
      <c r="J79" s="949"/>
      <c r="K79" s="949"/>
      <c r="L79" s="922"/>
      <c r="M79" s="922"/>
      <c r="N79" s="922"/>
      <c r="O79" s="922"/>
      <c r="P79" s="922"/>
      <c r="Q79" s="922"/>
      <c r="R79" s="922"/>
      <c r="S79" s="922"/>
      <c r="T79" s="922"/>
      <c r="U79" s="930"/>
      <c r="V79" s="930"/>
    </row>
    <row r="80" spans="1:22" s="925" customFormat="1" ht="12.75">
      <c r="A80" s="936" t="s">
        <v>36</v>
      </c>
      <c r="B80" s="936"/>
      <c r="C80" s="931" t="s">
        <v>35</v>
      </c>
      <c r="D80" s="937">
        <f>+D81+D83+D96</f>
        <v>40457886088</v>
      </c>
      <c r="E80" s="938">
        <f>+E81+E83+E96</f>
        <v>33454076558.78</v>
      </c>
      <c r="F80" s="938">
        <f>+F81+F83+F96</f>
        <v>814021036</v>
      </c>
      <c r="G80" s="938">
        <f>+G81+G83+G96</f>
        <v>401660728</v>
      </c>
      <c r="H80" s="938">
        <f>+H81+H83+H96</f>
        <v>150000000</v>
      </c>
      <c r="I80" s="954"/>
      <c r="J80" s="949"/>
      <c r="K80" s="949"/>
      <c r="L80" s="922"/>
      <c r="M80" s="922"/>
      <c r="N80" s="922"/>
      <c r="O80" s="922"/>
      <c r="P80" s="922"/>
      <c r="Q80" s="922"/>
      <c r="R80" s="922"/>
      <c r="S80" s="922"/>
      <c r="T80" s="922"/>
      <c r="U80" s="930"/>
      <c r="V80" s="930"/>
    </row>
    <row r="81" spans="1:22" s="925" customFormat="1" ht="12.75">
      <c r="A81" s="939" t="s">
        <v>34</v>
      </c>
      <c r="B81" s="939">
        <v>220</v>
      </c>
      <c r="C81" s="940" t="s">
        <v>597</v>
      </c>
      <c r="D81" s="941">
        <v>10000000</v>
      </c>
      <c r="E81" s="942">
        <v>168314904.11</v>
      </c>
      <c r="F81" s="942">
        <v>225323161</v>
      </c>
      <c r="G81" s="942">
        <v>166034929</v>
      </c>
      <c r="H81" s="1072">
        <v>150000000</v>
      </c>
      <c r="I81" s="950">
        <f>+H81</f>
        <v>150000000</v>
      </c>
      <c r="J81" s="949"/>
      <c r="K81" s="949"/>
      <c r="L81" s="922"/>
      <c r="M81" s="922"/>
      <c r="N81" s="922"/>
      <c r="O81" s="922"/>
      <c r="P81" s="922"/>
      <c r="Q81" s="922"/>
      <c r="R81" s="922"/>
      <c r="S81" s="922"/>
      <c r="T81" s="922"/>
      <c r="U81" s="930"/>
      <c r="V81" s="930"/>
    </row>
    <row r="82" spans="1:22" s="925" customFormat="1" ht="12.75">
      <c r="A82" s="939"/>
      <c r="B82" s="939"/>
      <c r="C82" s="940" t="s">
        <v>511</v>
      </c>
      <c r="D82" s="941"/>
      <c r="E82" s="928"/>
      <c r="F82" s="928"/>
      <c r="G82" s="928"/>
      <c r="H82" s="928"/>
      <c r="I82" s="950"/>
      <c r="J82" s="949"/>
      <c r="K82" s="949"/>
      <c r="L82" s="922"/>
      <c r="M82" s="922"/>
      <c r="N82" s="922"/>
      <c r="O82" s="922"/>
      <c r="P82" s="922"/>
      <c r="Q82" s="922"/>
      <c r="R82" s="922"/>
      <c r="S82" s="922"/>
      <c r="T82" s="922"/>
      <c r="U82" s="930"/>
      <c r="V82" s="930"/>
    </row>
    <row r="83" spans="1:22" s="925" customFormat="1" ht="25.5">
      <c r="A83" s="936" t="s">
        <v>33</v>
      </c>
      <c r="B83" s="936"/>
      <c r="C83" s="931" t="s">
        <v>32</v>
      </c>
      <c r="D83" s="937">
        <f>SUM(D84:D95)</f>
        <v>428400000</v>
      </c>
      <c r="E83" s="938">
        <f>SUM(E84:E95)</f>
        <v>1821922601.67</v>
      </c>
      <c r="F83" s="938">
        <f>SUM(F84:F95)</f>
        <v>588697875</v>
      </c>
      <c r="G83" s="938">
        <f>SUM(G84:G95)</f>
        <v>235625799</v>
      </c>
      <c r="H83" s="938">
        <f>SUM(H84:H95)</f>
        <v>0</v>
      </c>
      <c r="I83" s="955"/>
      <c r="J83" s="949"/>
      <c r="K83" s="949"/>
      <c r="L83" s="922"/>
      <c r="M83" s="922"/>
      <c r="N83" s="922"/>
      <c r="O83" s="922"/>
      <c r="P83" s="922"/>
      <c r="Q83" s="922"/>
      <c r="R83" s="922"/>
      <c r="S83" s="922"/>
      <c r="T83" s="922"/>
      <c r="U83" s="930"/>
      <c r="V83" s="930"/>
    </row>
    <row r="84" spans="1:22" s="925" customFormat="1" ht="12.75">
      <c r="A84" s="939" t="s">
        <v>31</v>
      </c>
      <c r="B84" s="939">
        <v>101</v>
      </c>
      <c r="C84" s="940" t="s">
        <v>30</v>
      </c>
      <c r="D84" s="941">
        <v>150000000</v>
      </c>
      <c r="E84" s="942">
        <f>1226235491+382578321</f>
        <v>1608813812</v>
      </c>
      <c r="F84" s="942">
        <v>492182835</v>
      </c>
      <c r="G84" s="942"/>
      <c r="H84" s="943"/>
      <c r="I84" s="944"/>
      <c r="J84" s="949"/>
      <c r="K84" s="949"/>
      <c r="L84" s="922"/>
      <c r="M84" s="922"/>
      <c r="N84" s="922"/>
      <c r="O84" s="922"/>
      <c r="P84" s="922"/>
      <c r="Q84" s="922"/>
      <c r="R84" s="922"/>
      <c r="S84" s="922"/>
      <c r="T84" s="922"/>
      <c r="U84" s="930"/>
      <c r="V84" s="930"/>
    </row>
    <row r="85" spans="1:22" s="925" customFormat="1" ht="12.75">
      <c r="A85" s="939" t="s">
        <v>29</v>
      </c>
      <c r="B85" s="939">
        <v>102</v>
      </c>
      <c r="C85" s="940" t="s">
        <v>28</v>
      </c>
      <c r="D85" s="941">
        <v>60000000</v>
      </c>
      <c r="E85" s="942">
        <v>81115752.67</v>
      </c>
      <c r="F85" s="942">
        <v>94488767</v>
      </c>
      <c r="G85" s="942">
        <v>113085547</v>
      </c>
      <c r="H85" s="943"/>
      <c r="I85" s="944"/>
      <c r="J85" s="949"/>
      <c r="K85" s="949"/>
      <c r="L85" s="922"/>
      <c r="M85" s="922"/>
      <c r="N85" s="922"/>
      <c r="O85" s="922"/>
      <c r="P85" s="922"/>
      <c r="Q85" s="922"/>
      <c r="R85" s="922"/>
      <c r="S85" s="922"/>
      <c r="T85" s="922"/>
      <c r="U85" s="930"/>
      <c r="V85" s="930"/>
    </row>
    <row r="86" spans="1:22" s="925" customFormat="1" ht="12.75">
      <c r="A86" s="939" t="s">
        <v>27</v>
      </c>
      <c r="B86" s="939">
        <v>103</v>
      </c>
      <c r="C86" s="940" t="s">
        <v>6</v>
      </c>
      <c r="D86" s="941">
        <v>2500000</v>
      </c>
      <c r="E86" s="942">
        <v>4383315</v>
      </c>
      <c r="F86" s="942">
        <v>2026273</v>
      </c>
      <c r="G86" s="942">
        <v>55193848</v>
      </c>
      <c r="H86" s="943"/>
      <c r="I86" s="944"/>
      <c r="J86" s="949"/>
      <c r="K86" s="949"/>
      <c r="L86" s="922"/>
      <c r="M86" s="922"/>
      <c r="N86" s="922"/>
      <c r="O86" s="922"/>
      <c r="P86" s="922"/>
      <c r="Q86" s="922"/>
      <c r="R86" s="922"/>
      <c r="S86" s="922"/>
      <c r="T86" s="922"/>
      <c r="U86" s="930"/>
      <c r="V86" s="930"/>
    </row>
    <row r="87" spans="1:22" s="925" customFormat="1" ht="12.75">
      <c r="A87" s="939" t="s">
        <v>26</v>
      </c>
      <c r="B87" s="939">
        <v>105</v>
      </c>
      <c r="C87" s="940" t="s">
        <v>25</v>
      </c>
      <c r="D87" s="941">
        <v>500000</v>
      </c>
      <c r="E87" s="942">
        <v>1060627</v>
      </c>
      <c r="F87" s="942"/>
      <c r="G87" s="942">
        <v>1119856</v>
      </c>
      <c r="H87" s="943"/>
      <c r="I87" s="944"/>
      <c r="J87" s="949"/>
      <c r="K87" s="949"/>
      <c r="L87" s="922"/>
      <c r="M87" s="922"/>
      <c r="N87" s="922"/>
      <c r="O87" s="922"/>
      <c r="P87" s="922"/>
      <c r="Q87" s="922"/>
      <c r="R87" s="922"/>
      <c r="S87" s="922"/>
      <c r="T87" s="922"/>
      <c r="U87" s="930"/>
      <c r="V87" s="930"/>
    </row>
    <row r="88" spans="1:22" s="925" customFormat="1" ht="12.75">
      <c r="A88" s="939" t="s">
        <v>24</v>
      </c>
      <c r="B88" s="939">
        <v>106</v>
      </c>
      <c r="C88" s="940" t="s">
        <v>23</v>
      </c>
      <c r="D88" s="941">
        <v>3000000</v>
      </c>
      <c r="E88" s="942">
        <v>18198106</v>
      </c>
      <c r="F88" s="942"/>
      <c r="G88" s="942">
        <v>13916986</v>
      </c>
      <c r="H88" s="943"/>
      <c r="I88" s="944"/>
      <c r="J88" s="949"/>
      <c r="K88" s="949"/>
      <c r="L88" s="922"/>
      <c r="M88" s="922"/>
      <c r="N88" s="922"/>
      <c r="O88" s="922"/>
      <c r="P88" s="922"/>
      <c r="Q88" s="922"/>
      <c r="R88" s="922"/>
      <c r="S88" s="922"/>
      <c r="T88" s="922"/>
      <c r="U88" s="930"/>
      <c r="V88" s="930"/>
    </row>
    <row r="89" spans="1:22" s="925" customFormat="1" ht="12.75">
      <c r="A89" s="939" t="s">
        <v>22</v>
      </c>
      <c r="B89" s="939">
        <v>107</v>
      </c>
      <c r="C89" s="940" t="s">
        <v>21</v>
      </c>
      <c r="D89" s="941">
        <v>5000000</v>
      </c>
      <c r="E89" s="942">
        <v>22432992</v>
      </c>
      <c r="F89" s="942"/>
      <c r="G89" s="942">
        <v>18024204</v>
      </c>
      <c r="H89" s="943"/>
      <c r="I89" s="944"/>
      <c r="J89" s="949"/>
      <c r="K89" s="949"/>
      <c r="L89" s="922"/>
      <c r="M89" s="922"/>
      <c r="N89" s="922"/>
      <c r="O89" s="922"/>
      <c r="P89" s="922"/>
      <c r="Q89" s="922"/>
      <c r="R89" s="922"/>
      <c r="S89" s="922"/>
      <c r="T89" s="922"/>
      <c r="U89" s="930"/>
      <c r="V89" s="930"/>
    </row>
    <row r="90" spans="1:22" s="925" customFormat="1" ht="12.75">
      <c r="A90" s="939"/>
      <c r="B90" s="939">
        <v>300</v>
      </c>
      <c r="C90" s="940" t="s">
        <v>1522</v>
      </c>
      <c r="D90" s="941"/>
      <c r="E90" s="942"/>
      <c r="F90" s="942"/>
      <c r="G90" s="942">
        <v>30140198</v>
      </c>
      <c r="H90" s="943"/>
      <c r="I90" s="944"/>
      <c r="J90" s="949"/>
      <c r="K90" s="949"/>
      <c r="L90" s="922"/>
      <c r="M90" s="922"/>
      <c r="N90" s="922"/>
      <c r="O90" s="922"/>
      <c r="P90" s="922"/>
      <c r="Q90" s="922"/>
      <c r="R90" s="922"/>
      <c r="S90" s="922"/>
      <c r="T90" s="922"/>
      <c r="U90" s="930"/>
      <c r="V90" s="930"/>
    </row>
    <row r="91" spans="1:22" s="925" customFormat="1" ht="12.75">
      <c r="A91" s="939" t="s">
        <v>20</v>
      </c>
      <c r="B91" s="939">
        <v>108</v>
      </c>
      <c r="C91" s="940" t="s">
        <v>19</v>
      </c>
      <c r="D91" s="941">
        <v>5000000</v>
      </c>
      <c r="E91" s="942">
        <v>6524311</v>
      </c>
      <c r="F91" s="942"/>
      <c r="G91" s="942">
        <v>1040336</v>
      </c>
      <c r="H91" s="943"/>
      <c r="I91" s="944"/>
      <c r="J91" s="949"/>
      <c r="K91" s="949"/>
      <c r="L91" s="922"/>
      <c r="M91" s="922"/>
      <c r="N91" s="922"/>
      <c r="O91" s="922"/>
      <c r="P91" s="922"/>
      <c r="Q91" s="922"/>
      <c r="R91" s="922"/>
      <c r="S91" s="922"/>
      <c r="T91" s="922"/>
      <c r="U91" s="930"/>
      <c r="V91" s="930"/>
    </row>
    <row r="92" spans="1:22" s="925" customFormat="1" ht="12.75">
      <c r="A92" s="939" t="s">
        <v>18</v>
      </c>
      <c r="B92" s="939">
        <v>109</v>
      </c>
      <c r="C92" s="940" t="s">
        <v>17</v>
      </c>
      <c r="D92" s="941">
        <v>2000000</v>
      </c>
      <c r="E92" s="928"/>
      <c r="F92" s="928"/>
      <c r="G92" s="928">
        <v>1956021</v>
      </c>
      <c r="H92" s="928"/>
      <c r="I92" s="950"/>
      <c r="J92" s="922"/>
      <c r="K92" s="922"/>
      <c r="L92" s="922"/>
      <c r="M92" s="922"/>
      <c r="N92" s="922"/>
      <c r="O92" s="922"/>
      <c r="P92" s="922"/>
      <c r="Q92" s="922"/>
      <c r="R92" s="922"/>
      <c r="S92" s="922"/>
      <c r="T92" s="922"/>
      <c r="U92" s="930"/>
      <c r="V92" s="930"/>
    </row>
    <row r="93" spans="1:22" s="925" customFormat="1" ht="12.75">
      <c r="A93" s="939"/>
      <c r="B93" s="939">
        <v>300</v>
      </c>
      <c r="C93" s="940" t="s">
        <v>1629</v>
      </c>
      <c r="D93" s="941"/>
      <c r="E93" s="928"/>
      <c r="F93" s="928"/>
      <c r="G93" s="928">
        <v>1148803</v>
      </c>
      <c r="H93" s="928"/>
      <c r="I93" s="950"/>
      <c r="J93" s="922"/>
      <c r="K93" s="922"/>
      <c r="L93" s="922"/>
      <c r="M93" s="922"/>
      <c r="N93" s="922"/>
      <c r="O93" s="922"/>
      <c r="P93" s="922"/>
      <c r="Q93" s="922"/>
      <c r="R93" s="922"/>
      <c r="S93" s="922"/>
      <c r="T93" s="922"/>
      <c r="U93" s="930"/>
      <c r="V93" s="930"/>
    </row>
    <row r="94" spans="1:22" s="925" customFormat="1" ht="12.75">
      <c r="A94" s="939" t="s">
        <v>16</v>
      </c>
      <c r="B94" s="939"/>
      <c r="C94" s="940" t="s">
        <v>15</v>
      </c>
      <c r="D94" s="941">
        <v>200000000</v>
      </c>
      <c r="E94" s="941"/>
      <c r="F94" s="942"/>
      <c r="G94" s="942"/>
      <c r="H94" s="928"/>
      <c r="I94" s="956"/>
      <c r="J94" s="922"/>
      <c r="K94" s="922"/>
      <c r="L94" s="922"/>
      <c r="M94" s="922"/>
      <c r="N94" s="922"/>
      <c r="O94" s="922"/>
      <c r="P94" s="922"/>
      <c r="Q94" s="922"/>
      <c r="R94" s="922"/>
      <c r="S94" s="922"/>
      <c r="T94" s="922"/>
      <c r="U94" s="930"/>
      <c r="V94" s="930"/>
    </row>
    <row r="95" spans="1:22" s="925" customFormat="1" ht="12.75">
      <c r="A95" s="939"/>
      <c r="B95" s="939"/>
      <c r="C95" s="940" t="s">
        <v>525</v>
      </c>
      <c r="D95" s="941">
        <v>400000</v>
      </c>
      <c r="E95" s="928">
        <f>109506+78161207+1122973</f>
        <v>79393686</v>
      </c>
      <c r="F95" s="942"/>
      <c r="G95" s="942"/>
      <c r="H95" s="928"/>
      <c r="I95" s="950"/>
      <c r="J95" s="922"/>
      <c r="K95" s="922"/>
      <c r="L95" s="922"/>
      <c r="M95" s="922"/>
      <c r="N95" s="922"/>
      <c r="O95" s="922"/>
      <c r="P95" s="922"/>
      <c r="Q95" s="922"/>
      <c r="R95" s="922"/>
      <c r="S95" s="922"/>
      <c r="T95" s="922"/>
      <c r="U95" s="930"/>
      <c r="V95" s="930"/>
    </row>
    <row r="96" spans="1:22" s="925" customFormat="1" ht="12.75">
      <c r="A96" s="936" t="s">
        <v>526</v>
      </c>
      <c r="B96" s="936"/>
      <c r="C96" s="931" t="s">
        <v>528</v>
      </c>
      <c r="D96" s="937">
        <f>+D97+D101+D112+D116+D122+D124+D125</f>
        <v>40019486088</v>
      </c>
      <c r="E96" s="937">
        <f>+E97+E101+E112+E116+E122+E125+E124</f>
        <v>31463839053</v>
      </c>
      <c r="F96" s="937">
        <f>+F97+F101+F112+F116+F122+F125+F124</f>
        <v>0</v>
      </c>
      <c r="G96" s="937">
        <f>+G97+G101+G112+G116+G122+G125+G124</f>
        <v>0</v>
      </c>
      <c r="H96" s="938"/>
      <c r="I96" s="935"/>
      <c r="J96" s="922"/>
      <c r="K96" s="922"/>
      <c r="L96" s="922"/>
      <c r="M96" s="922"/>
      <c r="N96" s="922"/>
      <c r="O96" s="922"/>
      <c r="P96" s="922"/>
      <c r="Q96" s="922"/>
      <c r="R96" s="922"/>
      <c r="S96" s="922"/>
      <c r="T96" s="922"/>
      <c r="U96" s="930"/>
      <c r="V96" s="930"/>
    </row>
    <row r="97" spans="1:22" s="925" customFormat="1" ht="25.5">
      <c r="A97" s="936" t="s">
        <v>529</v>
      </c>
      <c r="B97" s="936"/>
      <c r="C97" s="931" t="s">
        <v>527</v>
      </c>
      <c r="D97" s="937">
        <f>SUM(D98:D100)</f>
        <v>27286414024</v>
      </c>
      <c r="E97" s="937">
        <f>SUM(E98:E100)</f>
        <v>12196161595</v>
      </c>
      <c r="F97" s="937">
        <f>SUM(F98:F100)</f>
        <v>0</v>
      </c>
      <c r="G97" s="937">
        <f>SUM(G98:G100)</f>
        <v>0</v>
      </c>
      <c r="H97" s="938"/>
      <c r="I97" s="935"/>
      <c r="J97" s="922"/>
      <c r="K97" s="922"/>
      <c r="L97" s="922"/>
      <c r="M97" s="922"/>
      <c r="N97" s="922"/>
      <c r="O97" s="922"/>
      <c r="P97" s="922"/>
      <c r="Q97" s="922"/>
      <c r="R97" s="922"/>
      <c r="S97" s="922"/>
      <c r="T97" s="922"/>
      <c r="U97" s="930"/>
      <c r="V97" s="930"/>
    </row>
    <row r="98" spans="1:22" s="925" customFormat="1" ht="25.5">
      <c r="A98" s="939" t="s">
        <v>530</v>
      </c>
      <c r="B98" s="936"/>
      <c r="C98" s="940" t="s">
        <v>531</v>
      </c>
      <c r="D98" s="941">
        <v>7659981657</v>
      </c>
      <c r="E98" s="942">
        <f>4219119066+5029000+1373+48902</f>
        <v>4224198341</v>
      </c>
      <c r="F98" s="942"/>
      <c r="G98" s="942"/>
      <c r="H98" s="943"/>
      <c r="I98" s="944"/>
      <c r="J98" s="922"/>
      <c r="K98" s="922"/>
      <c r="L98" s="922"/>
      <c r="M98" s="922"/>
      <c r="N98" s="922"/>
      <c r="O98" s="922"/>
      <c r="P98" s="922"/>
      <c r="Q98" s="922"/>
      <c r="R98" s="922"/>
      <c r="S98" s="922"/>
      <c r="T98" s="922"/>
      <c r="U98" s="930"/>
      <c r="V98" s="930"/>
    </row>
    <row r="99" spans="1:22" s="925" customFormat="1" ht="25.5">
      <c r="A99" s="936"/>
      <c r="B99" s="936"/>
      <c r="C99" s="940" t="s">
        <v>605</v>
      </c>
      <c r="D99" s="941">
        <v>19626432367</v>
      </c>
      <c r="E99" s="928"/>
      <c r="F99" s="928"/>
      <c r="G99" s="928"/>
      <c r="H99" s="928"/>
      <c r="I99" s="950"/>
      <c r="J99" s="922"/>
      <c r="K99" s="922"/>
      <c r="L99" s="922"/>
      <c r="M99" s="922"/>
      <c r="N99" s="922"/>
      <c r="O99" s="922"/>
      <c r="P99" s="922"/>
      <c r="Q99" s="922"/>
      <c r="R99" s="922"/>
      <c r="S99" s="922"/>
      <c r="T99" s="922"/>
      <c r="U99" s="930"/>
      <c r="V99" s="930"/>
    </row>
    <row r="100" spans="1:22" s="925" customFormat="1" ht="25.5">
      <c r="A100" s="939" t="s">
        <v>532</v>
      </c>
      <c r="B100" s="939"/>
      <c r="C100" s="940" t="s">
        <v>606</v>
      </c>
      <c r="D100" s="941"/>
      <c r="E100" s="942">
        <v>7971963254</v>
      </c>
      <c r="F100" s="942"/>
      <c r="G100" s="942"/>
      <c r="H100" s="943"/>
      <c r="I100" s="944"/>
      <c r="J100" s="922"/>
      <c r="K100" s="922"/>
      <c r="L100" s="922"/>
      <c r="M100" s="922"/>
      <c r="N100" s="922"/>
      <c r="O100" s="922"/>
      <c r="P100" s="922"/>
      <c r="Q100" s="922"/>
      <c r="R100" s="922"/>
      <c r="S100" s="922"/>
      <c r="T100" s="922"/>
      <c r="U100" s="930"/>
      <c r="V100" s="930"/>
    </row>
    <row r="101" spans="1:22" s="925" customFormat="1" ht="12.75">
      <c r="A101" s="936" t="s">
        <v>534</v>
      </c>
      <c r="B101" s="936"/>
      <c r="C101" s="931" t="s">
        <v>535</v>
      </c>
      <c r="D101" s="937">
        <f>SUM(D102:D111)</f>
        <v>4586292005</v>
      </c>
      <c r="E101" s="937">
        <f>SUM(E102:E111)</f>
        <v>7225373123</v>
      </c>
      <c r="F101" s="937">
        <f>SUM(F102:F111)</f>
        <v>0</v>
      </c>
      <c r="G101" s="937">
        <f>SUM(G102:G111)</f>
        <v>0</v>
      </c>
      <c r="H101" s="938"/>
      <c r="I101" s="935"/>
      <c r="J101" s="922"/>
      <c r="K101" s="922"/>
      <c r="L101" s="922"/>
      <c r="M101" s="922"/>
      <c r="N101" s="922"/>
      <c r="O101" s="922"/>
      <c r="P101" s="922"/>
      <c r="Q101" s="922"/>
      <c r="R101" s="922"/>
      <c r="S101" s="922"/>
      <c r="T101" s="922"/>
      <c r="U101" s="930"/>
      <c r="V101" s="930"/>
    </row>
    <row r="102" spans="1:22" s="925" customFormat="1" ht="12.75">
      <c r="A102" s="939" t="s">
        <v>536</v>
      </c>
      <c r="B102" s="939"/>
      <c r="C102" s="940" t="s">
        <v>537</v>
      </c>
      <c r="D102" s="941">
        <v>348200446</v>
      </c>
      <c r="E102" s="942">
        <f>819636119+18731000</f>
        <v>838367119</v>
      </c>
      <c r="F102" s="942"/>
      <c r="G102" s="942"/>
      <c r="H102" s="943"/>
      <c r="I102" s="944"/>
      <c r="J102" s="922"/>
      <c r="K102" s="922"/>
      <c r="L102" s="922"/>
      <c r="M102" s="922"/>
      <c r="N102" s="922"/>
      <c r="O102" s="922"/>
      <c r="P102" s="922"/>
      <c r="Q102" s="922"/>
      <c r="R102" s="922"/>
      <c r="S102" s="922"/>
      <c r="T102" s="922"/>
      <c r="U102" s="930"/>
      <c r="V102" s="930"/>
    </row>
    <row r="103" spans="1:22" s="925" customFormat="1" ht="12.75">
      <c r="A103" s="939" t="s">
        <v>538</v>
      </c>
      <c r="B103" s="939"/>
      <c r="C103" s="940" t="s">
        <v>539</v>
      </c>
      <c r="D103" s="941">
        <v>102074165</v>
      </c>
      <c r="E103" s="942">
        <v>140536531</v>
      </c>
      <c r="F103" s="942"/>
      <c r="G103" s="942"/>
      <c r="H103" s="943"/>
      <c r="I103" s="944"/>
      <c r="J103" s="922"/>
      <c r="K103" s="922"/>
      <c r="L103" s="922"/>
      <c r="M103" s="922"/>
      <c r="N103" s="922"/>
      <c r="O103" s="922"/>
      <c r="P103" s="922"/>
      <c r="Q103" s="922"/>
      <c r="R103" s="922"/>
      <c r="S103" s="922"/>
      <c r="T103" s="922"/>
      <c r="U103" s="930"/>
      <c r="V103" s="930"/>
    </row>
    <row r="104" spans="1:22" s="925" customFormat="1" ht="25.5">
      <c r="A104" s="939" t="s">
        <v>540</v>
      </c>
      <c r="B104" s="939"/>
      <c r="C104" s="940" t="s">
        <v>541</v>
      </c>
      <c r="D104" s="941">
        <v>731002165</v>
      </c>
      <c r="E104" s="928">
        <v>929292937</v>
      </c>
      <c r="F104" s="942"/>
      <c r="G104" s="942"/>
      <c r="H104" s="928"/>
      <c r="I104" s="950"/>
      <c r="J104" s="922"/>
      <c r="K104" s="922"/>
      <c r="L104" s="922"/>
      <c r="M104" s="922"/>
      <c r="N104" s="922"/>
      <c r="O104" s="922"/>
      <c r="P104" s="922"/>
      <c r="Q104" s="922"/>
      <c r="R104" s="922"/>
      <c r="S104" s="922"/>
      <c r="T104" s="922"/>
      <c r="U104" s="930"/>
      <c r="V104" s="930"/>
    </row>
    <row r="105" spans="1:22" s="925" customFormat="1" ht="12.75">
      <c r="A105" s="939" t="s">
        <v>542</v>
      </c>
      <c r="B105" s="939"/>
      <c r="C105" s="940" t="s">
        <v>543</v>
      </c>
      <c r="D105" s="941">
        <v>1007664469</v>
      </c>
      <c r="E105" s="942">
        <v>1605108990</v>
      </c>
      <c r="F105" s="942"/>
      <c r="G105" s="942"/>
      <c r="H105" s="943"/>
      <c r="I105" s="944"/>
      <c r="J105" s="922"/>
      <c r="K105" s="922"/>
      <c r="L105" s="922"/>
      <c r="M105" s="922"/>
      <c r="N105" s="922"/>
      <c r="O105" s="922"/>
      <c r="P105" s="922"/>
      <c r="Q105" s="922"/>
      <c r="R105" s="922"/>
      <c r="S105" s="922"/>
      <c r="T105" s="922"/>
      <c r="U105" s="930"/>
      <c r="V105" s="930"/>
    </row>
    <row r="106" spans="1:22" s="925" customFormat="1" ht="12.75">
      <c r="A106" s="939" t="s">
        <v>544</v>
      </c>
      <c r="B106" s="939"/>
      <c r="C106" s="940" t="s">
        <v>545</v>
      </c>
      <c r="D106" s="941">
        <v>5447748</v>
      </c>
      <c r="E106" s="942">
        <v>23948972</v>
      </c>
      <c r="F106" s="942"/>
      <c r="G106" s="942"/>
      <c r="H106" s="943"/>
      <c r="I106" s="944"/>
      <c r="J106" s="922"/>
      <c r="K106" s="922"/>
      <c r="L106" s="922"/>
      <c r="M106" s="922"/>
      <c r="N106" s="922"/>
      <c r="O106" s="922"/>
      <c r="P106" s="922"/>
      <c r="Q106" s="922"/>
      <c r="R106" s="922"/>
      <c r="S106" s="922"/>
      <c r="T106" s="922"/>
      <c r="U106" s="930"/>
      <c r="V106" s="930"/>
    </row>
    <row r="107" spans="1:22" s="925" customFormat="1" ht="12.75">
      <c r="A107" s="939" t="s">
        <v>546</v>
      </c>
      <c r="B107" s="939"/>
      <c r="C107" s="940" t="s">
        <v>547</v>
      </c>
      <c r="D107" s="941">
        <v>69017992</v>
      </c>
      <c r="E107" s="942">
        <v>252964054</v>
      </c>
      <c r="F107" s="942"/>
      <c r="G107" s="942"/>
      <c r="H107" s="943"/>
      <c r="I107" s="944"/>
      <c r="J107" s="922"/>
      <c r="K107" s="922"/>
      <c r="L107" s="922"/>
      <c r="M107" s="922"/>
      <c r="N107" s="922"/>
      <c r="O107" s="922"/>
      <c r="P107" s="922"/>
      <c r="Q107" s="922"/>
      <c r="R107" s="922"/>
      <c r="S107" s="922"/>
      <c r="T107" s="922"/>
      <c r="U107" s="930"/>
      <c r="V107" s="930"/>
    </row>
    <row r="108" spans="1:22" s="925" customFormat="1" ht="12.75">
      <c r="A108" s="939" t="s">
        <v>548</v>
      </c>
      <c r="B108" s="939"/>
      <c r="C108" s="940" t="s">
        <v>549</v>
      </c>
      <c r="D108" s="941">
        <v>2258074308</v>
      </c>
      <c r="E108" s="928">
        <v>3367780022</v>
      </c>
      <c r="F108" s="942"/>
      <c r="G108" s="942"/>
      <c r="H108" s="928"/>
      <c r="I108" s="950"/>
      <c r="J108" s="922"/>
      <c r="K108" s="922"/>
      <c r="L108" s="922"/>
      <c r="M108" s="922"/>
      <c r="N108" s="922"/>
      <c r="O108" s="922"/>
      <c r="P108" s="922"/>
      <c r="Q108" s="922"/>
      <c r="R108" s="922"/>
      <c r="S108" s="922"/>
      <c r="T108" s="922"/>
      <c r="U108" s="930"/>
      <c r="V108" s="930"/>
    </row>
    <row r="109" spans="1:22" s="925" customFormat="1" ht="12.75">
      <c r="A109" s="939" t="s">
        <v>550</v>
      </c>
      <c r="B109" s="939"/>
      <c r="C109" s="940" t="s">
        <v>551</v>
      </c>
      <c r="D109" s="941">
        <v>19841526</v>
      </c>
      <c r="E109" s="928">
        <v>21190975</v>
      </c>
      <c r="F109" s="928"/>
      <c r="G109" s="928"/>
      <c r="H109" s="928"/>
      <c r="I109" s="950"/>
      <c r="J109" s="922"/>
      <c r="K109" s="922"/>
      <c r="L109" s="922"/>
      <c r="M109" s="922"/>
      <c r="N109" s="922"/>
      <c r="O109" s="922"/>
      <c r="P109" s="922"/>
      <c r="Q109" s="922"/>
      <c r="R109" s="922"/>
      <c r="S109" s="922"/>
      <c r="T109" s="922"/>
      <c r="U109" s="930"/>
      <c r="V109" s="930"/>
    </row>
    <row r="110" spans="1:22" s="925" customFormat="1" ht="12.75">
      <c r="A110" s="939" t="s">
        <v>552</v>
      </c>
      <c r="B110" s="939"/>
      <c r="C110" s="940" t="s">
        <v>553</v>
      </c>
      <c r="D110" s="941">
        <v>37417350</v>
      </c>
      <c r="E110" s="928">
        <v>38545635</v>
      </c>
      <c r="F110" s="942"/>
      <c r="G110" s="942"/>
      <c r="H110" s="928"/>
      <c r="I110" s="950"/>
      <c r="J110" s="922"/>
      <c r="K110" s="922"/>
      <c r="L110" s="922"/>
      <c r="M110" s="922"/>
      <c r="N110" s="922"/>
      <c r="O110" s="922"/>
      <c r="P110" s="922"/>
      <c r="Q110" s="922"/>
      <c r="R110" s="922"/>
      <c r="S110" s="922"/>
      <c r="T110" s="922"/>
      <c r="U110" s="930"/>
      <c r="V110" s="930"/>
    </row>
    <row r="111" spans="1:22" s="925" customFormat="1" ht="12.75">
      <c r="A111" s="939" t="s">
        <v>554</v>
      </c>
      <c r="B111" s="939"/>
      <c r="C111" s="940" t="s">
        <v>555</v>
      </c>
      <c r="D111" s="941">
        <v>7551836</v>
      </c>
      <c r="E111" s="942">
        <v>7637888</v>
      </c>
      <c r="F111" s="942"/>
      <c r="G111" s="942"/>
      <c r="H111" s="943"/>
      <c r="I111" s="944"/>
      <c r="J111" s="922"/>
      <c r="K111" s="922"/>
      <c r="L111" s="922"/>
      <c r="M111" s="922"/>
      <c r="N111" s="922"/>
      <c r="O111" s="922"/>
      <c r="P111" s="922"/>
      <c r="Q111" s="922"/>
      <c r="R111" s="922"/>
      <c r="S111" s="922"/>
      <c r="T111" s="922"/>
      <c r="U111" s="930"/>
      <c r="V111" s="930"/>
    </row>
    <row r="112" spans="1:22" s="925" customFormat="1" ht="12.75">
      <c r="A112" s="936" t="s">
        <v>557</v>
      </c>
      <c r="B112" s="936"/>
      <c r="C112" s="931" t="s">
        <v>556</v>
      </c>
      <c r="D112" s="937">
        <f>SUM(D113:D115)</f>
        <v>1122006458</v>
      </c>
      <c r="E112" s="937">
        <f>SUM(E113:E115)</f>
        <v>0</v>
      </c>
      <c r="F112" s="937">
        <f>SUM(F113:F115)</f>
        <v>0</v>
      </c>
      <c r="G112" s="937">
        <f>SUM(G113:G115)</f>
        <v>0</v>
      </c>
      <c r="H112" s="938"/>
      <c r="I112" s="935"/>
      <c r="J112" s="922"/>
      <c r="K112" s="922"/>
      <c r="L112" s="922"/>
      <c r="M112" s="922"/>
      <c r="N112" s="922"/>
      <c r="O112" s="922"/>
      <c r="P112" s="922"/>
      <c r="Q112" s="922"/>
      <c r="R112" s="922"/>
      <c r="S112" s="922"/>
      <c r="T112" s="922"/>
      <c r="U112" s="930"/>
      <c r="V112" s="930"/>
    </row>
    <row r="113" spans="1:22" s="925" customFormat="1" ht="12.75">
      <c r="A113" s="939" t="s">
        <v>558</v>
      </c>
      <c r="B113" s="939"/>
      <c r="C113" s="940" t="s">
        <v>559</v>
      </c>
      <c r="D113" s="941">
        <v>114806458</v>
      </c>
      <c r="E113" s="928"/>
      <c r="F113" s="928"/>
      <c r="G113" s="928"/>
      <c r="H113" s="928"/>
      <c r="I113" s="950"/>
      <c r="J113" s="922"/>
      <c r="K113" s="922"/>
      <c r="L113" s="922"/>
      <c r="M113" s="922"/>
      <c r="N113" s="922"/>
      <c r="O113" s="922"/>
      <c r="P113" s="922"/>
      <c r="Q113" s="922"/>
      <c r="R113" s="922"/>
      <c r="S113" s="922"/>
      <c r="T113" s="922"/>
      <c r="U113" s="930"/>
      <c r="V113" s="930"/>
    </row>
    <row r="114" spans="1:22" s="925" customFormat="1" ht="12.75">
      <c r="A114" s="939" t="s">
        <v>560</v>
      </c>
      <c r="B114" s="939"/>
      <c r="C114" s="940" t="s">
        <v>561</v>
      </c>
      <c r="D114" s="941">
        <v>7200000</v>
      </c>
      <c r="E114" s="928"/>
      <c r="F114" s="928"/>
      <c r="G114" s="928"/>
      <c r="H114" s="928"/>
      <c r="I114" s="950"/>
      <c r="J114" s="922"/>
      <c r="K114" s="922"/>
      <c r="L114" s="922"/>
      <c r="M114" s="922"/>
      <c r="N114" s="922"/>
      <c r="O114" s="922"/>
      <c r="P114" s="922"/>
      <c r="Q114" s="922"/>
      <c r="R114" s="922"/>
      <c r="S114" s="922"/>
      <c r="T114" s="922"/>
      <c r="U114" s="930"/>
      <c r="V114" s="930"/>
    </row>
    <row r="115" spans="1:22" s="925" customFormat="1" ht="12.75">
      <c r="A115" s="939" t="s">
        <v>562</v>
      </c>
      <c r="B115" s="939"/>
      <c r="C115" s="940" t="s">
        <v>563</v>
      </c>
      <c r="D115" s="941">
        <v>1000000000</v>
      </c>
      <c r="E115" s="928"/>
      <c r="F115" s="928"/>
      <c r="G115" s="928"/>
      <c r="H115" s="928"/>
      <c r="I115" s="950"/>
      <c r="J115" s="922"/>
      <c r="K115" s="922"/>
      <c r="L115" s="922"/>
      <c r="M115" s="922"/>
      <c r="N115" s="922"/>
      <c r="O115" s="922"/>
      <c r="P115" s="922"/>
      <c r="Q115" s="922"/>
      <c r="R115" s="922"/>
      <c r="S115" s="922"/>
      <c r="T115" s="922"/>
      <c r="U115" s="930"/>
      <c r="V115" s="930"/>
    </row>
    <row r="116" spans="1:22" s="925" customFormat="1" ht="12.75">
      <c r="A116" s="936" t="s">
        <v>564</v>
      </c>
      <c r="B116" s="936"/>
      <c r="C116" s="931" t="s">
        <v>565</v>
      </c>
      <c r="D116" s="937">
        <f>SUM(D117:D121)</f>
        <v>6659632656</v>
      </c>
      <c r="E116" s="937">
        <f>SUM(E117:E121)</f>
        <v>11923971319</v>
      </c>
      <c r="F116" s="937">
        <f>SUM(F117:F121)</f>
        <v>0</v>
      </c>
      <c r="G116" s="937">
        <f>SUM(G117:G121)</f>
        <v>0</v>
      </c>
      <c r="H116" s="938"/>
      <c r="I116" s="935"/>
      <c r="J116" s="922"/>
      <c r="K116" s="922"/>
      <c r="L116" s="922"/>
      <c r="M116" s="922"/>
      <c r="N116" s="922"/>
      <c r="O116" s="922"/>
      <c r="P116" s="922"/>
      <c r="Q116" s="922"/>
      <c r="R116" s="922"/>
      <c r="S116" s="922"/>
      <c r="T116" s="922"/>
      <c r="U116" s="930"/>
      <c r="V116" s="930"/>
    </row>
    <row r="117" spans="1:24" s="925" customFormat="1" ht="12.75">
      <c r="A117" s="939" t="s">
        <v>566</v>
      </c>
      <c r="B117" s="939"/>
      <c r="C117" s="940" t="s">
        <v>567</v>
      </c>
      <c r="D117" s="941">
        <v>5266125325</v>
      </c>
      <c r="E117" s="942">
        <f>8471314233+23006667</f>
        <v>8494320900</v>
      </c>
      <c r="F117" s="942"/>
      <c r="G117" s="942"/>
      <c r="H117" s="943"/>
      <c r="I117" s="944"/>
      <c r="J117" s="922"/>
      <c r="K117" s="922"/>
      <c r="L117" s="922"/>
      <c r="M117" s="922"/>
      <c r="N117" s="922"/>
      <c r="O117" s="922"/>
      <c r="P117" s="922"/>
      <c r="Q117" s="922"/>
      <c r="R117" s="922"/>
      <c r="S117" s="922"/>
      <c r="T117" s="922"/>
      <c r="U117" s="930"/>
      <c r="V117" s="930"/>
      <c r="X117" s="926"/>
    </row>
    <row r="118" spans="1:24" s="925" customFormat="1" ht="12.75">
      <c r="A118" s="939" t="s">
        <v>568</v>
      </c>
      <c r="B118" s="939"/>
      <c r="C118" s="940" t="s">
        <v>569</v>
      </c>
      <c r="D118" s="941">
        <v>510782959</v>
      </c>
      <c r="E118" s="942">
        <v>1779265529</v>
      </c>
      <c r="F118" s="942"/>
      <c r="G118" s="942"/>
      <c r="H118" s="943"/>
      <c r="I118" s="944"/>
      <c r="J118" s="922"/>
      <c r="K118" s="922"/>
      <c r="L118" s="922"/>
      <c r="M118" s="922"/>
      <c r="N118" s="922"/>
      <c r="O118" s="922"/>
      <c r="P118" s="922"/>
      <c r="Q118" s="922"/>
      <c r="R118" s="922"/>
      <c r="S118" s="922"/>
      <c r="T118" s="922"/>
      <c r="U118" s="930"/>
      <c r="V118" s="930"/>
      <c r="X118" s="926"/>
    </row>
    <row r="119" spans="1:24" s="925" customFormat="1" ht="25.5">
      <c r="A119" s="939" t="s">
        <v>570</v>
      </c>
      <c r="B119" s="939"/>
      <c r="C119" s="940" t="s">
        <v>573</v>
      </c>
      <c r="D119" s="941">
        <v>342242001</v>
      </c>
      <c r="E119" s="942">
        <v>1079527709</v>
      </c>
      <c r="F119" s="942"/>
      <c r="G119" s="942"/>
      <c r="H119" s="943"/>
      <c r="I119" s="944"/>
      <c r="J119" s="922"/>
      <c r="K119" s="922"/>
      <c r="L119" s="922"/>
      <c r="M119" s="922"/>
      <c r="N119" s="922"/>
      <c r="O119" s="922"/>
      <c r="P119" s="922"/>
      <c r="Q119" s="922"/>
      <c r="R119" s="922"/>
      <c r="S119" s="922"/>
      <c r="T119" s="922"/>
      <c r="U119" s="930"/>
      <c r="V119" s="930"/>
      <c r="X119" s="926"/>
    </row>
    <row r="120" spans="1:24" s="925" customFormat="1" ht="12.75">
      <c r="A120" s="939" t="s">
        <v>571</v>
      </c>
      <c r="B120" s="939"/>
      <c r="C120" s="940" t="s">
        <v>572</v>
      </c>
      <c r="D120" s="941">
        <v>319460960</v>
      </c>
      <c r="E120" s="942">
        <v>250898646</v>
      </c>
      <c r="F120" s="942"/>
      <c r="G120" s="942"/>
      <c r="H120" s="943"/>
      <c r="I120" s="944"/>
      <c r="J120" s="922"/>
      <c r="K120" s="922"/>
      <c r="L120" s="922"/>
      <c r="M120" s="922"/>
      <c r="N120" s="922"/>
      <c r="O120" s="922"/>
      <c r="P120" s="922"/>
      <c r="Q120" s="922"/>
      <c r="R120" s="922"/>
      <c r="S120" s="922"/>
      <c r="T120" s="922"/>
      <c r="U120" s="930"/>
      <c r="V120" s="930"/>
      <c r="X120" s="926"/>
    </row>
    <row r="121" spans="1:24" s="925" customFormat="1" ht="12.75">
      <c r="A121" s="939" t="s">
        <v>574</v>
      </c>
      <c r="B121" s="939"/>
      <c r="C121" s="940" t="s">
        <v>575</v>
      </c>
      <c r="D121" s="941">
        <v>221021411</v>
      </c>
      <c r="E121" s="942">
        <v>319958535</v>
      </c>
      <c r="F121" s="942"/>
      <c r="G121" s="942"/>
      <c r="H121" s="943"/>
      <c r="I121" s="944"/>
      <c r="J121" s="922"/>
      <c r="K121" s="922"/>
      <c r="L121" s="922"/>
      <c r="M121" s="922"/>
      <c r="N121" s="922"/>
      <c r="O121" s="922"/>
      <c r="P121" s="922"/>
      <c r="Q121" s="922"/>
      <c r="R121" s="922"/>
      <c r="S121" s="922"/>
      <c r="T121" s="922"/>
      <c r="U121" s="930"/>
      <c r="V121" s="930"/>
      <c r="X121" s="926"/>
    </row>
    <row r="122" spans="1:24" s="925" customFormat="1" ht="12.75">
      <c r="A122" s="936" t="s">
        <v>576</v>
      </c>
      <c r="B122" s="936"/>
      <c r="C122" s="931" t="s">
        <v>577</v>
      </c>
      <c r="D122" s="937">
        <f>SUM(D123)</f>
        <v>20405619</v>
      </c>
      <c r="E122" s="937">
        <f>SUM(E123)</f>
        <v>0</v>
      </c>
      <c r="F122" s="937">
        <f>SUM(F123)</f>
        <v>0</v>
      </c>
      <c r="G122" s="937">
        <f>SUM(G123)</f>
        <v>0</v>
      </c>
      <c r="H122" s="938"/>
      <c r="I122" s="935"/>
      <c r="J122" s="922"/>
      <c r="K122" s="922"/>
      <c r="L122" s="922"/>
      <c r="M122" s="922"/>
      <c r="N122" s="922"/>
      <c r="O122" s="922"/>
      <c r="P122" s="922"/>
      <c r="Q122" s="922"/>
      <c r="R122" s="922"/>
      <c r="S122" s="922"/>
      <c r="T122" s="922"/>
      <c r="U122" s="930"/>
      <c r="V122" s="930"/>
      <c r="X122" s="926"/>
    </row>
    <row r="123" spans="1:24" s="925" customFormat="1" ht="12.75">
      <c r="A123" s="939" t="s">
        <v>578</v>
      </c>
      <c r="B123" s="939"/>
      <c r="C123" s="940" t="s">
        <v>579</v>
      </c>
      <c r="D123" s="941">
        <v>20405619</v>
      </c>
      <c r="E123" s="928"/>
      <c r="F123" s="928"/>
      <c r="G123" s="928"/>
      <c r="H123" s="928"/>
      <c r="I123" s="950"/>
      <c r="J123" s="922"/>
      <c r="K123" s="922"/>
      <c r="L123" s="922"/>
      <c r="M123" s="922"/>
      <c r="N123" s="922"/>
      <c r="O123" s="922"/>
      <c r="P123" s="922"/>
      <c r="Q123" s="922"/>
      <c r="R123" s="922"/>
      <c r="S123" s="922"/>
      <c r="T123" s="922"/>
      <c r="U123" s="930"/>
      <c r="V123" s="930"/>
      <c r="X123" s="926"/>
    </row>
    <row r="124" spans="1:24" s="925" customFormat="1" ht="12.75">
      <c r="A124" s="936" t="s">
        <v>580</v>
      </c>
      <c r="B124" s="936"/>
      <c r="C124" s="931" t="s">
        <v>581</v>
      </c>
      <c r="D124" s="937">
        <v>105092505</v>
      </c>
      <c r="E124" s="942">
        <v>118333016</v>
      </c>
      <c r="F124" s="942"/>
      <c r="G124" s="942"/>
      <c r="H124" s="943"/>
      <c r="I124" s="944"/>
      <c r="J124" s="922"/>
      <c r="K124" s="922"/>
      <c r="L124" s="922"/>
      <c r="M124" s="922"/>
      <c r="N124" s="922"/>
      <c r="O124" s="922"/>
      <c r="P124" s="922"/>
      <c r="Q124" s="922"/>
      <c r="R124" s="922"/>
      <c r="S124" s="922"/>
      <c r="T124" s="922"/>
      <c r="U124" s="930"/>
      <c r="V124" s="930"/>
      <c r="X124" s="926"/>
    </row>
    <row r="125" spans="1:24" s="925" customFormat="1" ht="12.75">
      <c r="A125" s="939" t="s">
        <v>582</v>
      </c>
      <c r="B125" s="939"/>
      <c r="C125" s="931" t="s">
        <v>583</v>
      </c>
      <c r="D125" s="937">
        <v>239642821</v>
      </c>
      <c r="E125" s="938"/>
      <c r="F125" s="938"/>
      <c r="G125" s="938"/>
      <c r="H125" s="938"/>
      <c r="I125" s="955"/>
      <c r="J125" s="922"/>
      <c r="K125" s="922"/>
      <c r="L125" s="922"/>
      <c r="M125" s="922"/>
      <c r="N125" s="922"/>
      <c r="O125" s="922"/>
      <c r="P125" s="922"/>
      <c r="Q125" s="922"/>
      <c r="R125" s="922"/>
      <c r="S125" s="922"/>
      <c r="T125" s="922"/>
      <c r="U125" s="930"/>
      <c r="V125" s="930"/>
      <c r="X125" s="926"/>
    </row>
    <row r="126" spans="1:24" s="925" customFormat="1" ht="12.75">
      <c r="A126" s="939"/>
      <c r="B126" s="939"/>
      <c r="C126" s="931"/>
      <c r="D126" s="937"/>
      <c r="E126" s="928"/>
      <c r="F126" s="928"/>
      <c r="G126" s="928"/>
      <c r="H126" s="928"/>
      <c r="I126" s="950"/>
      <c r="J126" s="922"/>
      <c r="K126" s="922"/>
      <c r="L126" s="922"/>
      <c r="M126" s="922"/>
      <c r="N126" s="922"/>
      <c r="O126" s="922"/>
      <c r="P126" s="922"/>
      <c r="Q126" s="922"/>
      <c r="R126" s="922"/>
      <c r="S126" s="922"/>
      <c r="T126" s="922"/>
      <c r="U126" s="930"/>
      <c r="V126" s="930"/>
      <c r="X126" s="926"/>
    </row>
    <row r="127" spans="1:24" s="927" customFormat="1" ht="12.75">
      <c r="A127" s="936" t="s">
        <v>14</v>
      </c>
      <c r="B127" s="936"/>
      <c r="C127" s="931" t="s">
        <v>13</v>
      </c>
      <c r="D127" s="937">
        <f aca="true" t="shared" si="3" ref="D127:H128">+D128</f>
        <v>5182278255</v>
      </c>
      <c r="E127" s="937">
        <f t="shared" si="3"/>
        <v>4737480050.83</v>
      </c>
      <c r="F127" s="937">
        <f t="shared" si="3"/>
        <v>7611991247</v>
      </c>
      <c r="G127" s="937">
        <f t="shared" si="3"/>
        <v>9910608968</v>
      </c>
      <c r="H127" s="938">
        <f t="shared" si="3"/>
        <v>10214915000</v>
      </c>
      <c r="I127" s="935"/>
      <c r="J127" s="922"/>
      <c r="K127" s="922"/>
      <c r="L127" s="922"/>
      <c r="M127" s="922"/>
      <c r="N127" s="922"/>
      <c r="O127" s="922"/>
      <c r="P127" s="922"/>
      <c r="Q127" s="922"/>
      <c r="R127" s="922"/>
      <c r="S127" s="922"/>
      <c r="T127" s="922"/>
      <c r="U127" s="957"/>
      <c r="V127" s="957"/>
      <c r="X127" s="958"/>
    </row>
    <row r="128" spans="1:24" s="927" customFormat="1" ht="12.75">
      <c r="A128" s="936" t="s">
        <v>12</v>
      </c>
      <c r="B128" s="936"/>
      <c r="C128" s="959" t="s">
        <v>11</v>
      </c>
      <c r="D128" s="937">
        <f t="shared" si="3"/>
        <v>5182278255</v>
      </c>
      <c r="E128" s="937">
        <f t="shared" si="3"/>
        <v>4737480050.83</v>
      </c>
      <c r="F128" s="937">
        <f t="shared" si="3"/>
        <v>7611991247</v>
      </c>
      <c r="G128" s="937">
        <f t="shared" si="3"/>
        <v>9910608968</v>
      </c>
      <c r="H128" s="938">
        <f t="shared" si="3"/>
        <v>10214915000</v>
      </c>
      <c r="I128" s="935"/>
      <c r="J128" s="922"/>
      <c r="K128" s="922"/>
      <c r="L128" s="922"/>
      <c r="M128" s="922"/>
      <c r="N128" s="922"/>
      <c r="O128" s="922"/>
      <c r="P128" s="922"/>
      <c r="Q128" s="922"/>
      <c r="R128" s="922"/>
      <c r="S128" s="922"/>
      <c r="T128" s="922"/>
      <c r="U128" s="957"/>
      <c r="V128" s="957"/>
      <c r="X128" s="958"/>
    </row>
    <row r="129" spans="1:24" s="927" customFormat="1" ht="12.75">
      <c r="A129" s="936" t="s">
        <v>10</v>
      </c>
      <c r="B129" s="936"/>
      <c r="C129" s="931" t="s">
        <v>9</v>
      </c>
      <c r="D129" s="937">
        <f>SUM(D130:D136)</f>
        <v>5182278255</v>
      </c>
      <c r="E129" s="937">
        <f>SUM(E130:E136)</f>
        <v>4737480050.83</v>
      </c>
      <c r="F129" s="937">
        <f>SUM(F130:F136)</f>
        <v>7611991247</v>
      </c>
      <c r="G129" s="937">
        <f>SUM(G130:G136)</f>
        <v>9910608968</v>
      </c>
      <c r="H129" s="938">
        <f>SUM(H130:H136)</f>
        <v>10214915000</v>
      </c>
      <c r="I129" s="935"/>
      <c r="J129" s="922"/>
      <c r="K129" s="922"/>
      <c r="L129" s="922"/>
      <c r="M129" s="922"/>
      <c r="N129" s="922"/>
      <c r="O129" s="922"/>
      <c r="P129" s="922"/>
      <c r="Q129" s="922"/>
      <c r="R129" s="922"/>
      <c r="S129" s="922"/>
      <c r="T129" s="922"/>
      <c r="U129" s="957"/>
      <c r="V129" s="957"/>
      <c r="X129" s="958"/>
    </row>
    <row r="130" spans="1:24" s="927" customFormat="1" ht="12.75">
      <c r="A130" s="939" t="s">
        <v>8</v>
      </c>
      <c r="B130" s="939">
        <v>70</v>
      </c>
      <c r="C130" s="940" t="s">
        <v>585</v>
      </c>
      <c r="D130" s="941">
        <v>2779404662</v>
      </c>
      <c r="E130" s="942">
        <v>2804647566.93</v>
      </c>
      <c r="F130" s="942">
        <v>3092789182</v>
      </c>
      <c r="G130" s="942">
        <v>4276508898</v>
      </c>
      <c r="H130" s="1071">
        <v>4400000000</v>
      </c>
      <c r="I130" s="950">
        <f>+H130</f>
        <v>4400000000</v>
      </c>
      <c r="J130" s="922"/>
      <c r="K130" s="922"/>
      <c r="L130" s="922"/>
      <c r="M130" s="922"/>
      <c r="N130" s="922"/>
      <c r="O130" s="922"/>
      <c r="P130" s="922"/>
      <c r="Q130" s="922"/>
      <c r="R130" s="922"/>
      <c r="S130" s="922"/>
      <c r="T130" s="922"/>
      <c r="U130" s="957"/>
      <c r="V130" s="957"/>
      <c r="X130" s="958"/>
    </row>
    <row r="131" spans="1:24" s="927" customFormat="1" ht="12.75">
      <c r="A131" s="939"/>
      <c r="B131" s="939"/>
      <c r="C131" s="940" t="s">
        <v>586</v>
      </c>
      <c r="D131" s="941"/>
      <c r="E131" s="928"/>
      <c r="F131" s="928"/>
      <c r="G131" s="928"/>
      <c r="H131" s="928"/>
      <c r="I131" s="950"/>
      <c r="J131" s="922"/>
      <c r="K131" s="922"/>
      <c r="L131" s="922"/>
      <c r="M131" s="922"/>
      <c r="N131" s="922"/>
      <c r="O131" s="922"/>
      <c r="P131" s="922"/>
      <c r="Q131" s="922"/>
      <c r="R131" s="922"/>
      <c r="S131" s="922"/>
      <c r="T131" s="922"/>
      <c r="U131" s="957"/>
      <c r="V131" s="957"/>
      <c r="X131" s="958"/>
    </row>
    <row r="132" spans="1:24" s="927" customFormat="1" ht="12.75">
      <c r="A132" s="939" t="s">
        <v>7</v>
      </c>
      <c r="B132" s="939">
        <v>71</v>
      </c>
      <c r="C132" s="940" t="s">
        <v>6</v>
      </c>
      <c r="D132" s="941">
        <v>245873593</v>
      </c>
      <c r="E132" s="942">
        <v>280602027</v>
      </c>
      <c r="F132" s="942">
        <v>307953082</v>
      </c>
      <c r="G132" s="942">
        <v>295063973</v>
      </c>
      <c r="H132" s="1071">
        <v>303915000</v>
      </c>
      <c r="I132" s="950">
        <f>+H132</f>
        <v>303915000</v>
      </c>
      <c r="J132" s="922"/>
      <c r="K132" s="922"/>
      <c r="L132" s="922"/>
      <c r="M132" s="922"/>
      <c r="N132" s="922"/>
      <c r="O132" s="922"/>
      <c r="P132" s="922"/>
      <c r="Q132" s="922"/>
      <c r="R132" s="922"/>
      <c r="S132" s="922"/>
      <c r="T132" s="922"/>
      <c r="U132" s="957"/>
      <c r="V132" s="957"/>
      <c r="X132" s="958"/>
    </row>
    <row r="133" spans="1:24" s="927" customFormat="1" ht="12.75">
      <c r="A133" s="939" t="s">
        <v>5</v>
      </c>
      <c r="B133" s="939">
        <v>51</v>
      </c>
      <c r="C133" s="940" t="s">
        <v>4</v>
      </c>
      <c r="D133" s="941">
        <v>2000000000</v>
      </c>
      <c r="E133" s="942">
        <v>1503311415.97</v>
      </c>
      <c r="F133" s="942">
        <v>3906801834</v>
      </c>
      <c r="G133" s="942">
        <v>5057378879</v>
      </c>
      <c r="H133" s="1071">
        <v>5200000000</v>
      </c>
      <c r="I133" s="950">
        <f>+H133</f>
        <v>5200000000</v>
      </c>
      <c r="J133" s="922"/>
      <c r="K133" s="922"/>
      <c r="L133" s="922"/>
      <c r="M133" s="922"/>
      <c r="N133" s="922"/>
      <c r="O133" s="922"/>
      <c r="P133" s="922"/>
      <c r="Q133" s="922"/>
      <c r="R133" s="922"/>
      <c r="S133" s="922"/>
      <c r="T133" s="922"/>
      <c r="U133" s="957"/>
      <c r="V133" s="957"/>
      <c r="X133" s="958"/>
    </row>
    <row r="134" spans="1:24" s="927" customFormat="1" ht="12.75">
      <c r="A134" s="939" t="s">
        <v>3</v>
      </c>
      <c r="B134" s="939">
        <v>50</v>
      </c>
      <c r="C134" s="940" t="s">
        <v>2</v>
      </c>
      <c r="D134" s="941">
        <v>50000000</v>
      </c>
      <c r="E134" s="942">
        <v>51626685.08</v>
      </c>
      <c r="F134" s="942">
        <v>51012993</v>
      </c>
      <c r="G134" s="942">
        <v>54444397</v>
      </c>
      <c r="H134" s="1071">
        <v>55000000</v>
      </c>
      <c r="I134" s="950">
        <f>+H134</f>
        <v>55000000</v>
      </c>
      <c r="J134" s="922"/>
      <c r="K134" s="922"/>
      <c r="L134" s="922"/>
      <c r="M134" s="922"/>
      <c r="N134" s="922"/>
      <c r="O134" s="922"/>
      <c r="P134" s="922"/>
      <c r="Q134" s="922"/>
      <c r="R134" s="922"/>
      <c r="S134" s="922"/>
      <c r="T134" s="922"/>
      <c r="U134" s="957"/>
      <c r="V134" s="957"/>
      <c r="X134" s="958"/>
    </row>
    <row r="135" spans="1:24" s="927" customFormat="1" ht="12.75">
      <c r="A135" s="939"/>
      <c r="B135" s="939">
        <v>300</v>
      </c>
      <c r="C135" s="940" t="s">
        <v>1627</v>
      </c>
      <c r="D135" s="941"/>
      <c r="E135" s="942"/>
      <c r="F135" s="942">
        <v>220961623</v>
      </c>
      <c r="G135" s="942">
        <v>226353086</v>
      </c>
      <c r="H135" s="1071">
        <v>226000000</v>
      </c>
      <c r="I135" s="950">
        <f>+H135</f>
        <v>226000000</v>
      </c>
      <c r="J135" s="922"/>
      <c r="K135" s="922"/>
      <c r="L135" s="922"/>
      <c r="M135" s="922"/>
      <c r="N135" s="922"/>
      <c r="O135" s="922"/>
      <c r="P135" s="922"/>
      <c r="Q135" s="922"/>
      <c r="R135" s="922"/>
      <c r="S135" s="922"/>
      <c r="T135" s="922"/>
      <c r="U135" s="957"/>
      <c r="V135" s="957"/>
      <c r="X135" s="958"/>
    </row>
    <row r="136" spans="1:24" s="927" customFormat="1" ht="12.75">
      <c r="A136" s="939" t="s">
        <v>1</v>
      </c>
      <c r="B136" s="939">
        <v>98</v>
      </c>
      <c r="C136" s="940" t="s">
        <v>0</v>
      </c>
      <c r="D136" s="941">
        <v>107000000</v>
      </c>
      <c r="E136" s="942">
        <v>97292355.85</v>
      </c>
      <c r="F136" s="942">
        <v>32472533</v>
      </c>
      <c r="G136" s="942">
        <v>859735</v>
      </c>
      <c r="H136" s="1071">
        <v>30000000</v>
      </c>
      <c r="I136" s="950">
        <f>+H136</f>
        <v>30000000</v>
      </c>
      <c r="J136" s="922"/>
      <c r="K136" s="922"/>
      <c r="L136" s="922"/>
      <c r="M136" s="922"/>
      <c r="N136" s="922"/>
      <c r="O136" s="922"/>
      <c r="P136" s="922"/>
      <c r="Q136" s="922"/>
      <c r="R136" s="922"/>
      <c r="S136" s="922"/>
      <c r="T136" s="922"/>
      <c r="U136" s="957"/>
      <c r="V136" s="957"/>
      <c r="X136" s="958"/>
    </row>
    <row r="137" spans="1:24" s="925" customFormat="1" ht="12.75">
      <c r="A137" s="925" t="s">
        <v>378</v>
      </c>
      <c r="C137" s="926"/>
      <c r="D137" s="927"/>
      <c r="E137" s="927"/>
      <c r="F137" s="950"/>
      <c r="G137" s="950"/>
      <c r="H137" s="927"/>
      <c r="I137" s="927">
        <f>SUM(I1:I136)</f>
        <v>24901846698.09</v>
      </c>
      <c r="J137" s="922"/>
      <c r="K137" s="922"/>
      <c r="L137" s="922"/>
      <c r="M137" s="922"/>
      <c r="N137" s="922"/>
      <c r="O137" s="922"/>
      <c r="P137" s="922"/>
      <c r="Q137" s="922"/>
      <c r="R137" s="922"/>
      <c r="S137" s="922"/>
      <c r="T137" s="922"/>
      <c r="U137" s="930"/>
      <c r="V137" s="930"/>
      <c r="X137" s="927">
        <f>SUM(X1:X136)</f>
        <v>16569501460</v>
      </c>
    </row>
    <row r="138" spans="3:24" s="925" customFormat="1" ht="12.75">
      <c r="C138" s="926"/>
      <c r="D138" s="927"/>
      <c r="E138" s="927"/>
      <c r="F138" s="950"/>
      <c r="G138" s="950"/>
      <c r="H138" s="927"/>
      <c r="I138" s="927">
        <f>+H7-I137</f>
        <v>16569501459.999996</v>
      </c>
      <c r="J138" s="922"/>
      <c r="K138" s="922"/>
      <c r="L138" s="922"/>
      <c r="M138" s="922"/>
      <c r="N138" s="922"/>
      <c r="O138" s="922"/>
      <c r="P138" s="922"/>
      <c r="Q138" s="922"/>
      <c r="R138" s="922"/>
      <c r="S138" s="922"/>
      <c r="T138" s="922"/>
      <c r="U138" s="930"/>
      <c r="V138" s="930"/>
      <c r="X138" s="926">
        <f>+'ICLD 2014'!E8</f>
        <v>16362801260</v>
      </c>
    </row>
    <row r="139" spans="3:24" s="925" customFormat="1" ht="12.75">
      <c r="C139" s="926"/>
      <c r="D139" s="927"/>
      <c r="E139" s="927"/>
      <c r="F139" s="950"/>
      <c r="G139" s="950"/>
      <c r="H139" s="927"/>
      <c r="I139" s="927"/>
      <c r="J139" s="922"/>
      <c r="K139" s="922"/>
      <c r="L139" s="922"/>
      <c r="M139" s="922"/>
      <c r="N139" s="922"/>
      <c r="O139" s="922"/>
      <c r="P139" s="922"/>
      <c r="Q139" s="922"/>
      <c r="R139" s="922"/>
      <c r="S139" s="922"/>
      <c r="T139" s="922"/>
      <c r="U139" s="930"/>
      <c r="V139" s="930"/>
      <c r="X139" s="926">
        <f>+X138-X137</f>
        <v>-206700200</v>
      </c>
    </row>
    <row r="140" spans="3:24" s="925" customFormat="1" ht="12.75">
      <c r="C140" s="926"/>
      <c r="D140" s="927"/>
      <c r="E140" s="927"/>
      <c r="F140" s="950"/>
      <c r="G140" s="950"/>
      <c r="H140" s="927"/>
      <c r="I140" s="927"/>
      <c r="J140" s="922"/>
      <c r="K140" s="922"/>
      <c r="L140" s="922"/>
      <c r="M140" s="922"/>
      <c r="N140" s="922"/>
      <c r="O140" s="922"/>
      <c r="P140" s="922"/>
      <c r="Q140" s="922"/>
      <c r="R140" s="922"/>
      <c r="S140" s="922"/>
      <c r="T140" s="922"/>
      <c r="U140" s="930"/>
      <c r="V140" s="930"/>
      <c r="X140" s="926"/>
    </row>
    <row r="141" spans="3:24" s="925" customFormat="1" ht="12.75">
      <c r="C141" s="926"/>
      <c r="D141" s="927"/>
      <c r="E141" s="927"/>
      <c r="F141" s="950"/>
      <c r="G141" s="950"/>
      <c r="H141" s="927"/>
      <c r="I141" s="927"/>
      <c r="J141" s="922"/>
      <c r="K141" s="922"/>
      <c r="L141" s="922"/>
      <c r="M141" s="922"/>
      <c r="N141" s="922"/>
      <c r="O141" s="922"/>
      <c r="P141" s="922"/>
      <c r="Q141" s="922"/>
      <c r="R141" s="922"/>
      <c r="S141" s="922"/>
      <c r="T141" s="922"/>
      <c r="U141" s="930"/>
      <c r="V141" s="930"/>
      <c r="X141" s="926"/>
    </row>
    <row r="142" spans="3:24" s="925" customFormat="1" ht="12.75">
      <c r="C142" s="926"/>
      <c r="D142" s="927"/>
      <c r="E142" s="927"/>
      <c r="F142" s="950"/>
      <c r="G142" s="950"/>
      <c r="H142" s="927"/>
      <c r="I142" s="927"/>
      <c r="J142" s="922"/>
      <c r="K142" s="922"/>
      <c r="L142" s="922"/>
      <c r="M142" s="922"/>
      <c r="N142" s="922"/>
      <c r="O142" s="922"/>
      <c r="P142" s="922"/>
      <c r="Q142" s="922"/>
      <c r="R142" s="922"/>
      <c r="S142" s="922"/>
      <c r="T142" s="922"/>
      <c r="U142" s="930"/>
      <c r="V142" s="930"/>
      <c r="X142" s="926"/>
    </row>
    <row r="143" spans="3:24" s="925" customFormat="1" ht="12.75">
      <c r="C143" s="926"/>
      <c r="D143" s="927"/>
      <c r="E143" s="927"/>
      <c r="F143" s="950"/>
      <c r="G143" s="950"/>
      <c r="H143" s="927"/>
      <c r="I143" s="927"/>
      <c r="J143" s="922"/>
      <c r="K143" s="922"/>
      <c r="L143" s="922"/>
      <c r="M143" s="922"/>
      <c r="N143" s="922"/>
      <c r="O143" s="922"/>
      <c r="P143" s="922"/>
      <c r="Q143" s="922"/>
      <c r="R143" s="922"/>
      <c r="S143" s="922"/>
      <c r="T143" s="922"/>
      <c r="U143" s="930"/>
      <c r="V143" s="930"/>
      <c r="X143" s="926"/>
    </row>
    <row r="144" spans="3:24" s="925" customFormat="1" ht="12.75">
      <c r="C144" s="926"/>
      <c r="D144" s="927"/>
      <c r="E144" s="927"/>
      <c r="F144" s="950"/>
      <c r="G144" s="950"/>
      <c r="H144" s="927"/>
      <c r="I144" s="927"/>
      <c r="J144" s="922"/>
      <c r="K144" s="922"/>
      <c r="L144" s="922"/>
      <c r="M144" s="922"/>
      <c r="N144" s="922"/>
      <c r="O144" s="922"/>
      <c r="P144" s="922"/>
      <c r="Q144" s="922"/>
      <c r="R144" s="922"/>
      <c r="S144" s="922"/>
      <c r="T144" s="922"/>
      <c r="U144" s="930"/>
      <c r="V144" s="930"/>
      <c r="X144" s="926"/>
    </row>
    <row r="145" spans="3:24" s="925" customFormat="1" ht="12.75">
      <c r="C145" s="926"/>
      <c r="D145" s="927"/>
      <c r="E145" s="927"/>
      <c r="F145" s="950"/>
      <c r="G145" s="950"/>
      <c r="H145" s="927"/>
      <c r="I145" s="927"/>
      <c r="J145" s="922"/>
      <c r="K145" s="922"/>
      <c r="L145" s="922"/>
      <c r="M145" s="922"/>
      <c r="N145" s="922"/>
      <c r="O145" s="922"/>
      <c r="P145" s="922"/>
      <c r="Q145" s="922"/>
      <c r="R145" s="922"/>
      <c r="S145" s="922"/>
      <c r="T145" s="922"/>
      <c r="U145" s="930"/>
      <c r="V145" s="930"/>
      <c r="X145" s="926"/>
    </row>
    <row r="146" spans="3:24" s="925" customFormat="1" ht="12.75">
      <c r="C146" s="926"/>
      <c r="D146" s="927"/>
      <c r="E146" s="927"/>
      <c r="F146" s="950"/>
      <c r="G146" s="950"/>
      <c r="H146" s="927"/>
      <c r="I146" s="927"/>
      <c r="J146" s="922"/>
      <c r="K146" s="922"/>
      <c r="L146" s="922"/>
      <c r="M146" s="922"/>
      <c r="N146" s="922"/>
      <c r="O146" s="922"/>
      <c r="P146" s="922"/>
      <c r="Q146" s="922"/>
      <c r="R146" s="922"/>
      <c r="S146" s="922"/>
      <c r="T146" s="922"/>
      <c r="U146" s="930"/>
      <c r="V146" s="930"/>
      <c r="X146" s="926"/>
    </row>
    <row r="147" spans="3:24" s="925" customFormat="1" ht="12.75">
      <c r="C147" s="926"/>
      <c r="D147" s="927"/>
      <c r="E147" s="927"/>
      <c r="F147" s="950"/>
      <c r="G147" s="950"/>
      <c r="H147" s="927"/>
      <c r="I147" s="927"/>
      <c r="J147" s="922"/>
      <c r="K147" s="922"/>
      <c r="L147" s="922"/>
      <c r="M147" s="922"/>
      <c r="N147" s="922"/>
      <c r="O147" s="922"/>
      <c r="P147" s="922"/>
      <c r="Q147" s="922"/>
      <c r="R147" s="922"/>
      <c r="S147" s="922"/>
      <c r="T147" s="922"/>
      <c r="U147" s="930"/>
      <c r="V147" s="930"/>
      <c r="X147" s="926"/>
    </row>
    <row r="148" spans="3:24" s="925" customFormat="1" ht="12.75">
      <c r="C148" s="926"/>
      <c r="D148" s="927"/>
      <c r="E148" s="927"/>
      <c r="F148" s="950"/>
      <c r="G148" s="950"/>
      <c r="H148" s="927"/>
      <c r="I148" s="927"/>
      <c r="J148" s="922"/>
      <c r="K148" s="922"/>
      <c r="L148" s="922"/>
      <c r="M148" s="922"/>
      <c r="N148" s="922"/>
      <c r="O148" s="922"/>
      <c r="P148" s="922"/>
      <c r="Q148" s="922"/>
      <c r="R148" s="922"/>
      <c r="S148" s="922"/>
      <c r="T148" s="922"/>
      <c r="U148" s="930"/>
      <c r="V148" s="930"/>
      <c r="X148" s="926"/>
    </row>
    <row r="149" spans="3:24" s="925" customFormat="1" ht="12.75">
      <c r="C149" s="926"/>
      <c r="D149" s="927"/>
      <c r="E149" s="927"/>
      <c r="F149" s="950"/>
      <c r="G149" s="950"/>
      <c r="H149" s="927"/>
      <c r="I149" s="927"/>
      <c r="J149" s="922"/>
      <c r="K149" s="922"/>
      <c r="L149" s="922"/>
      <c r="M149" s="922"/>
      <c r="N149" s="922"/>
      <c r="O149" s="922"/>
      <c r="P149" s="922"/>
      <c r="Q149" s="922"/>
      <c r="R149" s="922"/>
      <c r="S149" s="922"/>
      <c r="T149" s="922"/>
      <c r="U149" s="930"/>
      <c r="V149" s="930"/>
      <c r="X149" s="926"/>
    </row>
    <row r="150" spans="6:7" s="925" customFormat="1" ht="12.75">
      <c r="F150" s="950"/>
      <c r="G150" s="950"/>
    </row>
    <row r="151" spans="6:7" s="925" customFormat="1" ht="12.75">
      <c r="F151" s="950"/>
      <c r="G151" s="950"/>
    </row>
    <row r="152" spans="6:7" s="925" customFormat="1" ht="12.75">
      <c r="F152" s="950"/>
      <c r="G152" s="950"/>
    </row>
    <row r="153" spans="6:7" s="925" customFormat="1" ht="12.75">
      <c r="F153" s="950"/>
      <c r="G153" s="950"/>
    </row>
    <row r="154" spans="6:7" s="925" customFormat="1" ht="12.75">
      <c r="F154" s="950"/>
      <c r="G154" s="950"/>
    </row>
    <row r="155" spans="6:7" s="925" customFormat="1" ht="12.75">
      <c r="F155" s="950"/>
      <c r="G155" s="950"/>
    </row>
    <row r="156" spans="6:7" s="925" customFormat="1" ht="12.75">
      <c r="F156" s="950"/>
      <c r="G156" s="950"/>
    </row>
    <row r="157" spans="6:7" s="925" customFormat="1" ht="12.75">
      <c r="F157" s="950"/>
      <c r="G157" s="950"/>
    </row>
    <row r="158" spans="6:7" s="925" customFormat="1" ht="12.75">
      <c r="F158" s="950"/>
      <c r="G158" s="950"/>
    </row>
    <row r="159" spans="6:7" s="925" customFormat="1" ht="12.75">
      <c r="F159" s="950"/>
      <c r="G159" s="950"/>
    </row>
    <row r="160" spans="6:7" s="925" customFormat="1" ht="12.75">
      <c r="F160" s="950"/>
      <c r="G160" s="950"/>
    </row>
    <row r="161" spans="6:7" s="925" customFormat="1" ht="12.75">
      <c r="F161" s="950"/>
      <c r="G161" s="950"/>
    </row>
    <row r="162" spans="6:7" s="925" customFormat="1" ht="12.75">
      <c r="F162" s="950"/>
      <c r="G162" s="950"/>
    </row>
    <row r="163" spans="6:7" s="925" customFormat="1" ht="12.75">
      <c r="F163" s="950"/>
      <c r="G163" s="950"/>
    </row>
    <row r="164" spans="6:7" s="925" customFormat="1" ht="12.75">
      <c r="F164" s="950"/>
      <c r="G164" s="950"/>
    </row>
    <row r="165" spans="6:7" s="925" customFormat="1" ht="12.75">
      <c r="F165" s="950"/>
      <c r="G165" s="950"/>
    </row>
    <row r="166" spans="6:7" s="925" customFormat="1" ht="12.75">
      <c r="F166" s="950"/>
      <c r="G166" s="950"/>
    </row>
    <row r="167" spans="6:7" s="925" customFormat="1" ht="12.75">
      <c r="F167" s="950"/>
      <c r="G167" s="950"/>
    </row>
    <row r="168" spans="6:7" s="925" customFormat="1" ht="12.75">
      <c r="F168" s="950"/>
      <c r="G168" s="950"/>
    </row>
    <row r="169" spans="6:7" s="925" customFormat="1" ht="12.75">
      <c r="F169" s="950"/>
      <c r="G169" s="950"/>
    </row>
    <row r="170" spans="6:7" s="925" customFormat="1" ht="12.75">
      <c r="F170" s="950"/>
      <c r="G170" s="950"/>
    </row>
    <row r="171" spans="6:7" s="925" customFormat="1" ht="12.75">
      <c r="F171" s="950"/>
      <c r="G171" s="950"/>
    </row>
    <row r="172" spans="6:7" s="925" customFormat="1" ht="12.75">
      <c r="F172" s="950"/>
      <c r="G172" s="950"/>
    </row>
    <row r="173" spans="6:7" s="925" customFormat="1" ht="12.75">
      <c r="F173" s="950"/>
      <c r="G173" s="950"/>
    </row>
    <row r="174" spans="6:7" s="925" customFormat="1" ht="12.75">
      <c r="F174" s="950"/>
      <c r="G174" s="950"/>
    </row>
    <row r="175" spans="6:7" s="925" customFormat="1" ht="12.75">
      <c r="F175" s="950"/>
      <c r="G175" s="950"/>
    </row>
    <row r="176" spans="3:24" ht="12.75">
      <c r="C176" s="1056"/>
      <c r="D176" s="1056"/>
      <c r="E176" s="1056"/>
      <c r="H176" s="1056"/>
      <c r="I176" s="1056"/>
      <c r="J176" s="1056"/>
      <c r="K176" s="1056"/>
      <c r="L176" s="1056"/>
      <c r="M176" s="1056"/>
      <c r="N176" s="1056"/>
      <c r="O176" s="1056"/>
      <c r="P176" s="1056"/>
      <c r="Q176" s="1056"/>
      <c r="R176" s="1056"/>
      <c r="S176" s="1056"/>
      <c r="T176" s="1056"/>
      <c r="U176" s="1056"/>
      <c r="V176" s="1056"/>
      <c r="X176" s="1056"/>
    </row>
  </sheetData>
  <sheetProtection/>
  <autoFilter ref="A8:H125"/>
  <mergeCells count="6">
    <mergeCell ref="A1:E1"/>
    <mergeCell ref="A2:E2"/>
    <mergeCell ref="A3:E3"/>
    <mergeCell ref="A4:E4"/>
    <mergeCell ref="A6:A7"/>
    <mergeCell ref="B6:B7"/>
  </mergeCells>
  <printOptions/>
  <pageMargins left="0.45" right="0.45" top="0.75" bottom="0.75" header="0.3" footer="0.3"/>
  <pageSetup horizontalDpi="300" verticalDpi="300" orientation="portrait" paperSize="9" scale="65" r:id="rId3"/>
  <legacyDrawing r:id="rId2"/>
</worksheet>
</file>

<file path=xl/worksheets/sheet10.xml><?xml version="1.0" encoding="utf-8"?>
<worksheet xmlns="http://schemas.openxmlformats.org/spreadsheetml/2006/main" xmlns:r="http://schemas.openxmlformats.org/officeDocument/2006/relationships">
  <sheetPr>
    <tabColor indexed="11"/>
  </sheetPr>
  <dimension ref="A4:AD30"/>
  <sheetViews>
    <sheetView zoomScale="75" zoomScaleNormal="75" zoomScalePageLayoutView="0" workbookViewId="0" topLeftCell="A1">
      <selection activeCell="J10" sqref="J10"/>
    </sheetView>
  </sheetViews>
  <sheetFormatPr defaultColWidth="11.421875" defaultRowHeight="15"/>
  <cols>
    <col min="1" max="1" width="24.28125" style="4" customWidth="1"/>
    <col min="2" max="2" width="17.140625" style="235" hidden="1" customWidth="1"/>
    <col min="3" max="4" width="15.421875" style="235" hidden="1" customWidth="1"/>
    <col min="5" max="5" width="16.28125" style="235" customWidth="1"/>
    <col min="6" max="7" width="15.7109375" style="235" customWidth="1"/>
    <col min="8" max="8" width="15.28125" style="235" customWidth="1"/>
    <col min="9" max="9" width="14.140625" style="235" customWidth="1"/>
    <col min="10" max="10" width="14.7109375" style="235" customWidth="1"/>
    <col min="11" max="11" width="14.421875" style="235" customWidth="1"/>
    <col min="12" max="12" width="14.140625" style="235" customWidth="1"/>
    <col min="13" max="13" width="14.421875" style="235" customWidth="1"/>
    <col min="14" max="14" width="14.140625" style="235" customWidth="1"/>
    <col min="15" max="15" width="14.57421875" style="235" customWidth="1"/>
    <col min="16" max="16" width="14.421875" style="235" bestFit="1" customWidth="1"/>
    <col min="17" max="28" width="11.421875" style="235" customWidth="1"/>
    <col min="29" max="16384" width="11.421875" style="4" customWidth="1"/>
  </cols>
  <sheetData>
    <row r="4" spans="1:17" ht="18">
      <c r="A4" s="557" t="s">
        <v>256</v>
      </c>
      <c r="B4" s="557"/>
      <c r="C4" s="557"/>
      <c r="D4" s="557"/>
      <c r="E4" s="557"/>
      <c r="F4" s="557"/>
      <c r="G4" s="557"/>
      <c r="H4" s="557"/>
      <c r="I4" s="557"/>
      <c r="J4" s="557"/>
      <c r="K4" s="557"/>
      <c r="L4" s="557"/>
      <c r="M4" s="557"/>
      <c r="N4" s="557"/>
      <c r="O4" s="557"/>
      <c r="P4" s="557"/>
      <c r="Q4" s="557"/>
    </row>
    <row r="5" spans="1:17" ht="18">
      <c r="A5" s="557" t="s">
        <v>396</v>
      </c>
      <c r="B5" s="557"/>
      <c r="C5" s="557"/>
      <c r="D5" s="557"/>
      <c r="E5" s="557"/>
      <c r="F5" s="557"/>
      <c r="G5" s="557"/>
      <c r="H5" s="557"/>
      <c r="I5" s="557"/>
      <c r="J5" s="557"/>
      <c r="K5" s="557"/>
      <c r="L5" s="557"/>
      <c r="M5" s="557"/>
      <c r="N5" s="557"/>
      <c r="O5" s="557"/>
      <c r="P5" s="557"/>
      <c r="Q5" s="557"/>
    </row>
    <row r="6" spans="1:16" ht="20.25">
      <c r="A6" s="558" t="s">
        <v>617</v>
      </c>
      <c r="B6" s="558"/>
      <c r="C6" s="558"/>
      <c r="D6" s="558"/>
      <c r="E6" s="558"/>
      <c r="F6" s="558"/>
      <c r="G6" s="558"/>
      <c r="H6" s="558"/>
      <c r="I6" s="558"/>
      <c r="J6" s="558"/>
      <c r="K6" s="558"/>
      <c r="L6" s="558"/>
      <c r="M6" s="558"/>
      <c r="N6" s="558"/>
      <c r="O6" s="558"/>
      <c r="P6" s="558"/>
    </row>
    <row r="7" spans="1:16" ht="15.75" customHeight="1">
      <c r="A7" s="1434"/>
      <c r="B7" s="1434"/>
      <c r="C7" s="1434"/>
      <c r="D7" s="1434"/>
      <c r="E7" s="1434"/>
      <c r="F7" s="1434"/>
      <c r="G7" s="1434"/>
      <c r="H7" s="1434"/>
      <c r="I7" s="1434"/>
      <c r="J7" s="1434"/>
      <c r="K7" s="1434"/>
      <c r="L7" s="1434"/>
      <c r="M7" s="1434"/>
      <c r="N7" s="1434"/>
      <c r="O7" s="316"/>
      <c r="P7" s="316"/>
    </row>
    <row r="8" spans="1:30" ht="15.75" customHeight="1">
      <c r="A8" s="1435"/>
      <c r="B8" s="1435"/>
      <c r="C8" s="1435"/>
      <c r="D8" s="1435"/>
      <c r="E8" s="1435"/>
      <c r="F8" s="1435"/>
      <c r="G8" s="1435"/>
      <c r="H8" s="1435"/>
      <c r="I8" s="1435"/>
      <c r="J8" s="1435"/>
      <c r="K8" s="1435"/>
      <c r="L8" s="1435"/>
      <c r="M8" s="1435"/>
      <c r="N8" s="1435"/>
      <c r="O8" s="1435"/>
      <c r="P8" s="1435"/>
      <c r="Q8" s="1435"/>
      <c r="R8" s="1435"/>
      <c r="S8" s="1435"/>
      <c r="T8" s="1435"/>
      <c r="U8" s="1435"/>
      <c r="V8" s="1435"/>
      <c r="W8" s="1435"/>
      <c r="X8" s="1435"/>
      <c r="Y8" s="1435"/>
      <c r="Z8" s="1435"/>
      <c r="AA8" s="1435"/>
      <c r="AB8" s="1435"/>
      <c r="AC8" s="1435"/>
      <c r="AD8" s="1435"/>
    </row>
    <row r="9" spans="1:16" ht="15.75">
      <c r="A9" s="236"/>
      <c r="B9" s="237"/>
      <c r="C9" s="237"/>
      <c r="D9" s="237"/>
      <c r="E9" s="237"/>
      <c r="F9" s="237"/>
      <c r="G9" s="237"/>
      <c r="H9" s="237"/>
      <c r="I9" s="237"/>
      <c r="J9" s="237"/>
      <c r="K9" s="237"/>
      <c r="L9" s="237"/>
      <c r="M9" s="237"/>
      <c r="N9" s="237"/>
      <c r="O9" s="237"/>
      <c r="P9" s="237"/>
    </row>
    <row r="10" spans="1:16" ht="34.5" customHeight="1">
      <c r="A10" s="238" t="s">
        <v>259</v>
      </c>
      <c r="B10" s="239">
        <v>2009</v>
      </c>
      <c r="C10" s="239">
        <f>+B10+1</f>
        <v>2010</v>
      </c>
      <c r="D10" s="239">
        <f aca="true" t="shared" si="0" ref="D10:L10">+C10+1</f>
        <v>2011</v>
      </c>
      <c r="E10" s="239">
        <f>+D10+2</f>
        <v>2013</v>
      </c>
      <c r="F10" s="239">
        <f t="shared" si="0"/>
        <v>2014</v>
      </c>
      <c r="G10" s="239">
        <f t="shared" si="0"/>
        <v>2015</v>
      </c>
      <c r="H10" s="239">
        <f t="shared" si="0"/>
        <v>2016</v>
      </c>
      <c r="I10" s="239">
        <f t="shared" si="0"/>
        <v>2017</v>
      </c>
      <c r="J10" s="239">
        <f t="shared" si="0"/>
        <v>2018</v>
      </c>
      <c r="K10" s="239">
        <f t="shared" si="0"/>
        <v>2019</v>
      </c>
      <c r="L10" s="239">
        <f t="shared" si="0"/>
        <v>2020</v>
      </c>
      <c r="M10" s="239">
        <f>+L10+1</f>
        <v>2021</v>
      </c>
      <c r="N10" s="239">
        <f>+M10+1</f>
        <v>2022</v>
      </c>
      <c r="O10" s="239">
        <f>+N10+1</f>
        <v>2023</v>
      </c>
      <c r="P10" s="560">
        <f>+O10+1</f>
        <v>2024</v>
      </c>
    </row>
    <row r="11" spans="1:16" ht="34.5" customHeight="1">
      <c r="A11" s="559" t="s">
        <v>389</v>
      </c>
      <c r="B11" s="240" t="e">
        <f>+'INGRESOS PROYECTADOS MARCO FISC'!#REF!</f>
        <v>#REF!</v>
      </c>
      <c r="C11" s="240">
        <f>+'INGRESOS PROYECTADOS MARCO FISC'!C7</f>
        <v>263908038487</v>
      </c>
      <c r="D11" s="240">
        <f>+'INGRESOS PROYECTADOS MARCO FISC'!D7</f>
        <v>318447900467</v>
      </c>
      <c r="E11" s="240">
        <f>+'INGRESOS PROYECTADOS MARCO FISC'!E7</f>
        <v>333362423919.58997</v>
      </c>
      <c r="F11" s="240">
        <f>+'INGRESOS PROYECTADOS MARCO FISC'!F7</f>
        <v>41471348158.09</v>
      </c>
      <c r="G11" s="240">
        <f>+'INGRESOS PROYECTADOS MARCO FISC'!G7</f>
        <v>42874468602.8327</v>
      </c>
      <c r="H11" s="240">
        <f>+'INGRESOS PROYECTADOS MARCO FISC'!H7</f>
        <v>44160702660.91768</v>
      </c>
      <c r="I11" s="240">
        <f>+'INGRESOS PROYECTADOS MARCO FISC'!I7</f>
        <v>45485523740.74522</v>
      </c>
      <c r="J11" s="240">
        <f>+'INGRESOS PROYECTADOS MARCO FISC'!J7</f>
        <v>46850089452.96757</v>
      </c>
      <c r="K11" s="240">
        <f>+'INGRESOS PROYECTADOS MARCO FISC'!K7</f>
        <v>48255592136.556595</v>
      </c>
      <c r="L11" s="240">
        <f>+'INGRESOS PROYECTADOS MARCO FISC'!L7</f>
        <v>49703259900.6533</v>
      </c>
      <c r="M11" s="240">
        <f>+'INGRESOS PROYECTADOS MARCO FISC'!M7</f>
        <v>51176446913.22496</v>
      </c>
      <c r="N11" s="240">
        <f>+'INGRESOS PROYECTADOS MARCO FISC'!N7</f>
        <v>52711740320.62172</v>
      </c>
      <c r="O11" s="240">
        <f>+'INGRESOS PROYECTADOS MARCO FISC'!O7</f>
        <v>54291969040.46431</v>
      </c>
      <c r="P11" s="561">
        <f>+'INGRESOS PROYECTADOS MARCO FISC'!P7</f>
        <v>55920728111.67823</v>
      </c>
    </row>
    <row r="12" spans="1:16" ht="34.5" customHeight="1">
      <c r="A12" s="559" t="s">
        <v>390</v>
      </c>
      <c r="B12" s="240">
        <f>+'MARCO GASTOS'!B13</f>
        <v>4487608426</v>
      </c>
      <c r="C12" s="240">
        <f>+'MARCO GASTOS'!C13</f>
        <v>7943854340</v>
      </c>
      <c r="D12" s="240" t="e">
        <f>+'MARCO GASTOS'!D13</f>
        <v>#REF!</v>
      </c>
      <c r="E12" s="240">
        <f>+'MARCO GASTOS'!E13</f>
        <v>8804418508.61</v>
      </c>
      <c r="F12" s="240">
        <f>+'MARCO GASTOS'!F13</f>
        <v>9833972835.55432</v>
      </c>
      <c r="G12" s="240">
        <f>+'MARCO GASTOS'!G13</f>
        <v>9833972835.55432</v>
      </c>
      <c r="H12" s="240">
        <f>+'MARCO GASTOS'!H13</f>
        <v>9892092020.620949</v>
      </c>
      <c r="I12" s="240">
        <f>+'MARCO GASTOS'!I13</f>
        <v>10188854781.239578</v>
      </c>
      <c r="J12" s="240">
        <f>+'MARCO GASTOS'!J13</f>
        <v>10494520424.676764</v>
      </c>
      <c r="K12" s="240">
        <f>+'MARCO GASTOS'!K13</f>
        <v>10809356037.41707</v>
      </c>
      <c r="L12" s="240">
        <f>+'MARCO GASTOS'!L13</f>
        <v>11133636718.539581</v>
      </c>
      <c r="M12" s="240">
        <f>+'MARCO GASTOS'!M13</f>
        <v>11467645820.095766</v>
      </c>
      <c r="N12" s="240">
        <f>+'MARCO GASTOS'!N13</f>
        <v>11811675194.698645</v>
      </c>
      <c r="O12" s="240">
        <f>+'MARCO GASTOS'!O13</f>
        <v>12166025450.539602</v>
      </c>
      <c r="P12" s="561">
        <f>+'MARCO GASTOS'!P13</f>
        <v>12531006214.055786</v>
      </c>
    </row>
    <row r="13" spans="1:16" ht="34.5" customHeight="1">
      <c r="A13" s="559" t="s">
        <v>391</v>
      </c>
      <c r="B13" s="240">
        <f>+'MARCO GASTOS'!B20</f>
        <v>173293533114</v>
      </c>
      <c r="C13" s="240">
        <f>+'MARCO GASTOS'!C20</f>
        <v>255964184147</v>
      </c>
      <c r="D13" s="240" t="e">
        <f>+'MARCO GASTOS'!D20</f>
        <v>#REF!</v>
      </c>
      <c r="E13" s="240">
        <f>+'MARCO GASTOS'!E20</f>
        <v>324558005411</v>
      </c>
      <c r="F13" s="240">
        <f>+'MARCO GASTOS'!F20</f>
        <v>31637375322.535675</v>
      </c>
      <c r="G13" s="240">
        <f>+'MARCO GASTOS'!G20</f>
        <v>33040495767.27838</v>
      </c>
      <c r="H13" s="240">
        <f>+'MARCO GASTOS'!H20</f>
        <v>34268610640.29673</v>
      </c>
      <c r="I13" s="240">
        <f>+'MARCO GASTOS'!I20</f>
        <v>35296668959.50564</v>
      </c>
      <c r="J13" s="240">
        <f>+'MARCO GASTOS'!J20</f>
        <v>36355569028.2908</v>
      </c>
      <c r="K13" s="240">
        <f>+'MARCO GASTOS'!K20</f>
        <v>37446236099.13953</v>
      </c>
      <c r="L13" s="240">
        <f>+'MARCO GASTOS'!L20</f>
        <v>38569623182.113716</v>
      </c>
      <c r="M13" s="240">
        <f>+'MARCO GASTOS'!M20</f>
        <v>39708801093.129196</v>
      </c>
      <c r="N13" s="240">
        <f>+'MARCO GASTOS'!N20</f>
        <v>40900065125.92307</v>
      </c>
      <c r="O13" s="240">
        <f>+'MARCO GASTOS'!O20</f>
        <v>42125943589.924706</v>
      </c>
      <c r="P13" s="561">
        <f>+'MARCO GASTOS'!P20</f>
        <v>43389721897.622444</v>
      </c>
    </row>
    <row r="14" spans="1:28" s="274" customFormat="1" ht="34.5" customHeight="1">
      <c r="A14" s="279" t="s">
        <v>392</v>
      </c>
      <c r="B14" s="280" t="e">
        <f aca="true" t="shared" si="1" ref="B14:N14">+B11-B12-B13</f>
        <v>#REF!</v>
      </c>
      <c r="C14" s="280">
        <f t="shared" si="1"/>
        <v>0</v>
      </c>
      <c r="D14" s="280" t="e">
        <f t="shared" si="1"/>
        <v>#REF!</v>
      </c>
      <c r="E14" s="488">
        <f>+E11-E12-E13+EVEN(0)</f>
        <v>-0.02001953125</v>
      </c>
      <c r="F14" s="487">
        <f t="shared" si="1"/>
        <v>0</v>
      </c>
      <c r="G14" s="280">
        <f t="shared" si="1"/>
        <v>0</v>
      </c>
      <c r="H14" s="280">
        <f t="shared" si="1"/>
        <v>0</v>
      </c>
      <c r="I14" s="280">
        <f t="shared" si="1"/>
        <v>0</v>
      </c>
      <c r="J14" s="280">
        <f t="shared" si="1"/>
        <v>0</v>
      </c>
      <c r="K14" s="280">
        <f t="shared" si="1"/>
        <v>0</v>
      </c>
      <c r="L14" s="280">
        <f t="shared" si="1"/>
        <v>0</v>
      </c>
      <c r="M14" s="280">
        <f>+M11-M12-M13</f>
        <v>0</v>
      </c>
      <c r="N14" s="280">
        <f t="shared" si="1"/>
        <v>0</v>
      </c>
      <c r="O14" s="280">
        <f>+O11-O12-O13</f>
        <v>0</v>
      </c>
      <c r="P14" s="562">
        <f>+P11-P12-P13</f>
        <v>0</v>
      </c>
      <c r="Q14" s="281"/>
      <c r="R14" s="281"/>
      <c r="S14" s="281"/>
      <c r="T14" s="281"/>
      <c r="U14" s="281"/>
      <c r="V14" s="281"/>
      <c r="W14" s="281"/>
      <c r="X14" s="281"/>
      <c r="Y14" s="281"/>
      <c r="Z14" s="281"/>
      <c r="AA14" s="281"/>
      <c r="AB14" s="281"/>
    </row>
    <row r="15" spans="1:16" ht="12.75">
      <c r="A15" s="241" t="s">
        <v>393</v>
      </c>
      <c r="B15" s="242">
        <v>1</v>
      </c>
      <c r="C15" s="242">
        <v>1</v>
      </c>
      <c r="D15" s="242">
        <v>1</v>
      </c>
      <c r="E15" s="242">
        <v>1</v>
      </c>
      <c r="F15" s="242">
        <v>1</v>
      </c>
      <c r="G15" s="242">
        <v>1</v>
      </c>
      <c r="H15" s="242">
        <v>1</v>
      </c>
      <c r="I15" s="242">
        <v>1</v>
      </c>
      <c r="J15" s="242">
        <v>1</v>
      </c>
      <c r="K15" s="242">
        <v>1</v>
      </c>
      <c r="L15" s="242">
        <v>1</v>
      </c>
      <c r="M15" s="242">
        <v>1</v>
      </c>
      <c r="N15" s="242">
        <v>1</v>
      </c>
      <c r="O15" s="242">
        <v>1</v>
      </c>
      <c r="P15" s="242">
        <v>1</v>
      </c>
    </row>
    <row r="16" spans="1:16" ht="12.75">
      <c r="A16" s="3"/>
      <c r="B16" s="242"/>
      <c r="C16" s="242"/>
      <c r="D16" s="242"/>
      <c r="E16" s="242"/>
      <c r="F16" s="242"/>
      <c r="G16" s="242"/>
      <c r="H16" s="242"/>
      <c r="I16" s="242"/>
      <c r="J16" s="242"/>
      <c r="K16" s="242"/>
      <c r="L16" s="242"/>
      <c r="M16" s="242"/>
      <c r="N16" s="242"/>
      <c r="O16" s="242"/>
      <c r="P16" s="242"/>
    </row>
    <row r="17" spans="1:16" ht="25.5" hidden="1">
      <c r="A17" s="243" t="s">
        <v>394</v>
      </c>
      <c r="B17" s="242" t="e">
        <f>+B14/#REF!</f>
        <v>#REF!</v>
      </c>
      <c r="C17" s="242" t="e">
        <f>+C14/#REF!</f>
        <v>#REF!</v>
      </c>
      <c r="D17" s="242" t="e">
        <f>+D14/#REF!</f>
        <v>#REF!</v>
      </c>
      <c r="E17" s="242" t="e">
        <f>+E14/#REF!</f>
        <v>#REF!</v>
      </c>
      <c r="F17" s="242" t="e">
        <f>+F14/#REF!</f>
        <v>#REF!</v>
      </c>
      <c r="G17" s="242" t="e">
        <f>+G14/#REF!</f>
        <v>#REF!</v>
      </c>
      <c r="H17" s="242" t="e">
        <f>+H14/#REF!</f>
        <v>#REF!</v>
      </c>
      <c r="I17" s="242" t="e">
        <f>+I14/#REF!</f>
        <v>#REF!</v>
      </c>
      <c r="J17" s="242" t="e">
        <f>+J14/#REF!</f>
        <v>#REF!</v>
      </c>
      <c r="K17" s="242" t="e">
        <f>+K14/#REF!</f>
        <v>#REF!</v>
      </c>
      <c r="L17" s="242" t="e">
        <f>+L14/#REF!</f>
        <v>#REF!</v>
      </c>
      <c r="M17" s="242" t="e">
        <f>+M14/#REF!</f>
        <v>#REF!</v>
      </c>
      <c r="N17" s="242" t="e">
        <f>+N14/#REF!</f>
        <v>#REF!</v>
      </c>
      <c r="O17" s="242" t="e">
        <f>+O14/#REF!</f>
        <v>#REF!</v>
      </c>
      <c r="P17" s="242" t="e">
        <f>+P14/#REF!</f>
        <v>#REF!</v>
      </c>
    </row>
    <row r="18" spans="1:16" ht="12.75">
      <c r="A18" s="3"/>
      <c r="B18" s="242"/>
      <c r="C18" s="242"/>
      <c r="D18" s="242"/>
      <c r="E18" s="242"/>
      <c r="F18" s="242"/>
      <c r="G18" s="242"/>
      <c r="H18" s="242"/>
      <c r="I18" s="242"/>
      <c r="J18" s="242"/>
      <c r="K18" s="242"/>
      <c r="L18" s="242"/>
      <c r="M18" s="242"/>
      <c r="N18" s="242"/>
      <c r="O18" s="242"/>
      <c r="P18" s="242"/>
    </row>
    <row r="19" spans="1:16" ht="12.75">
      <c r="A19" s="3"/>
      <c r="B19" s="242"/>
      <c r="C19" s="242"/>
      <c r="D19" s="242"/>
      <c r="E19" s="242"/>
      <c r="F19" s="242"/>
      <c r="G19" s="242"/>
      <c r="H19" s="242"/>
      <c r="I19" s="242"/>
      <c r="J19" s="242"/>
      <c r="K19" s="242"/>
      <c r="L19" s="242"/>
      <c r="M19" s="242"/>
      <c r="N19" s="242"/>
      <c r="O19" s="242"/>
      <c r="P19" s="242"/>
    </row>
    <row r="20" spans="1:28" s="285" customFormat="1" ht="12.75">
      <c r="A20" s="282" t="s">
        <v>395</v>
      </c>
      <c r="B20" s="283" t="e">
        <f>(B14/B15)</f>
        <v>#REF!</v>
      </c>
      <c r="C20" s="283">
        <f>(C14/C15)</f>
        <v>0</v>
      </c>
      <c r="D20" s="283" t="e">
        <f>(D14/D15)</f>
        <v>#REF!</v>
      </c>
      <c r="E20" s="283">
        <v>0</v>
      </c>
      <c r="F20" s="283">
        <f>(F14/F15)</f>
        <v>0</v>
      </c>
      <c r="G20" s="283">
        <f aca="true" t="shared" si="2" ref="G20:N20">(G14/G15)</f>
        <v>0</v>
      </c>
      <c r="H20" s="283">
        <f t="shared" si="2"/>
        <v>0</v>
      </c>
      <c r="I20" s="283">
        <f t="shared" si="2"/>
        <v>0</v>
      </c>
      <c r="J20" s="283">
        <f t="shared" si="2"/>
        <v>0</v>
      </c>
      <c r="K20" s="283">
        <f t="shared" si="2"/>
        <v>0</v>
      </c>
      <c r="L20" s="283">
        <f t="shared" si="2"/>
        <v>0</v>
      </c>
      <c r="M20" s="283">
        <f>(M14/M15)</f>
        <v>0</v>
      </c>
      <c r="N20" s="283">
        <f t="shared" si="2"/>
        <v>0</v>
      </c>
      <c r="O20" s="283">
        <f>(O14/O15)</f>
        <v>0</v>
      </c>
      <c r="P20" s="283">
        <f>(P14/P15)</f>
        <v>0</v>
      </c>
      <c r="Q20" s="284"/>
      <c r="R20" s="284"/>
      <c r="S20" s="284"/>
      <c r="T20" s="284"/>
      <c r="U20" s="284"/>
      <c r="V20" s="284"/>
      <c r="W20" s="284"/>
      <c r="X20" s="284"/>
      <c r="Y20" s="284"/>
      <c r="Z20" s="284"/>
      <c r="AA20" s="284"/>
      <c r="AB20" s="284"/>
    </row>
    <row r="21" ht="12.75">
      <c r="A21" s="4" t="s">
        <v>378</v>
      </c>
    </row>
    <row r="28" spans="1:12" ht="13.5" thickBot="1">
      <c r="A28" s="481"/>
      <c r="B28" s="480"/>
      <c r="C28" s="480"/>
      <c r="D28" s="480"/>
      <c r="E28" s="480"/>
      <c r="J28" s="480"/>
      <c r="K28" s="480"/>
      <c r="L28" s="480"/>
    </row>
    <row r="29" spans="1:14" ht="18">
      <c r="A29" s="556" t="s">
        <v>1600</v>
      </c>
      <c r="B29" s="555"/>
      <c r="J29" s="554" t="s">
        <v>1599</v>
      </c>
      <c r="K29" s="555"/>
      <c r="L29" s="555"/>
      <c r="M29" s="555"/>
      <c r="N29" s="555"/>
    </row>
    <row r="30" spans="1:14" ht="18">
      <c r="A30" s="555" t="s">
        <v>1602</v>
      </c>
      <c r="B30" s="555"/>
      <c r="J30" s="34" t="s">
        <v>1601</v>
      </c>
      <c r="K30" s="555"/>
      <c r="L30" s="555"/>
      <c r="M30" s="555"/>
      <c r="N30" s="555"/>
    </row>
  </sheetData>
  <sheetProtection/>
  <mergeCells count="2">
    <mergeCell ref="A7:N7"/>
    <mergeCell ref="A8:AD8"/>
  </mergeCells>
  <printOptions/>
  <pageMargins left="0.5" right="0" top="1" bottom="1" header="0" footer="0"/>
  <pageSetup horizontalDpi="300" verticalDpi="300" orientation="landscape" paperSize="5" scale="78" r:id="rId1"/>
</worksheet>
</file>

<file path=xl/worksheets/sheet11.xml><?xml version="1.0" encoding="utf-8"?>
<worksheet xmlns="http://schemas.openxmlformats.org/spreadsheetml/2006/main" xmlns:r="http://schemas.openxmlformats.org/officeDocument/2006/relationships">
  <dimension ref="A1:BP336"/>
  <sheetViews>
    <sheetView zoomScale="85" zoomScaleNormal="85" workbookViewId="0" topLeftCell="B1">
      <pane xSplit="10" ySplit="6" topLeftCell="X318" activePane="bottomRight" state="frozen"/>
      <selection pane="topLeft" activeCell="B1" sqref="B1"/>
      <selection pane="topRight" activeCell="L1" sqref="L1"/>
      <selection pane="bottomLeft" activeCell="B7" sqref="B7"/>
      <selection pane="bottomRight" activeCell="AL317" sqref="AL317:AL319"/>
    </sheetView>
  </sheetViews>
  <sheetFormatPr defaultColWidth="11.421875" defaultRowHeight="15"/>
  <cols>
    <col min="1" max="1" width="0" style="412" hidden="1" customWidth="1"/>
    <col min="2" max="2" width="8.28125" style="412" customWidth="1"/>
    <col min="3" max="3" width="22.28125" style="412" hidden="1" customWidth="1"/>
    <col min="4" max="4" width="7.7109375" style="412" customWidth="1"/>
    <col min="5" max="5" width="57.421875" style="412" hidden="1" customWidth="1"/>
    <col min="6" max="6" width="42.57421875" style="412" hidden="1" customWidth="1"/>
    <col min="7" max="7" width="13.421875" style="412" hidden="1" customWidth="1"/>
    <col min="8" max="8" width="13.28125" style="412" hidden="1" customWidth="1"/>
    <col min="9" max="9" width="24.7109375" style="412" hidden="1" customWidth="1"/>
    <col min="10" max="10" width="5.57421875" style="412" customWidth="1"/>
    <col min="11" max="11" width="27.00390625" style="412" hidden="1" customWidth="1"/>
    <col min="12" max="12" width="21.57421875" style="412" hidden="1" customWidth="1"/>
    <col min="13" max="13" width="0" style="412" hidden="1" customWidth="1"/>
    <col min="14" max="14" width="13.421875" style="412" hidden="1" customWidth="1"/>
    <col min="15" max="17" width="11.421875" style="412" hidden="1" customWidth="1"/>
    <col min="18" max="22" width="11.421875" style="252" hidden="1" customWidth="1"/>
    <col min="23" max="23" width="13.00390625" style="412" hidden="1" customWidth="1"/>
    <col min="24" max="24" width="27.421875" style="442" customWidth="1"/>
    <col min="25" max="25" width="13.140625" style="467" hidden="1" customWidth="1"/>
    <col min="26" max="28" width="11.57421875" style="467" hidden="1" customWidth="1"/>
    <col min="29" max="29" width="14.421875" style="467" hidden="1" customWidth="1"/>
    <col min="30" max="30" width="11.57421875" style="467" hidden="1" customWidth="1"/>
    <col min="31" max="31" width="13.7109375" style="467" hidden="1" customWidth="1"/>
    <col min="32" max="32" width="11.57421875" style="467" hidden="1" customWidth="1"/>
    <col min="33" max="33" width="14.7109375" style="467" hidden="1" customWidth="1"/>
    <col min="34" max="35" width="11.57421875" style="467" hidden="1" customWidth="1"/>
    <col min="36" max="36" width="14.00390625" style="467" hidden="1" customWidth="1"/>
    <col min="37" max="37" width="13.00390625" style="467" hidden="1" customWidth="1"/>
    <col min="38" max="38" width="15.8515625" style="467" customWidth="1"/>
    <col min="39" max="39" width="17.28125" style="467" hidden="1" customWidth="1"/>
    <col min="40" max="40" width="11.57421875" style="467" hidden="1" customWidth="1"/>
    <col min="41" max="41" width="13.140625" style="467" hidden="1" customWidth="1"/>
    <col min="42" max="42" width="11.57421875" style="467" hidden="1" customWidth="1"/>
    <col min="43" max="43" width="13.7109375" style="467" hidden="1" customWidth="1"/>
    <col min="44" max="44" width="14.28125" style="467" hidden="1" customWidth="1"/>
    <col min="45" max="45" width="11.57421875" style="467" hidden="1" customWidth="1"/>
    <col min="46" max="46" width="15.140625" style="467" hidden="1" customWidth="1"/>
    <col min="47" max="49" width="11.57421875" style="467" hidden="1" customWidth="1"/>
    <col min="50" max="50" width="15.8515625" style="467" hidden="1" customWidth="1"/>
    <col min="51" max="52" width="11.57421875" style="467" hidden="1" customWidth="1"/>
    <col min="53" max="53" width="4.00390625" style="467" hidden="1" customWidth="1"/>
    <col min="54" max="54" width="11.57421875" style="467" hidden="1" customWidth="1"/>
    <col min="55" max="55" width="4.8515625" style="467" hidden="1" customWidth="1"/>
    <col min="56" max="56" width="11.57421875" style="467" hidden="1" customWidth="1"/>
    <col min="57" max="57" width="10.8515625" style="467" hidden="1" customWidth="1"/>
    <col min="58" max="58" width="11.57421875" style="467" hidden="1" customWidth="1"/>
    <col min="59" max="59" width="13.140625" style="467" hidden="1" customWidth="1"/>
    <col min="60" max="60" width="13.421875" style="467" hidden="1" customWidth="1"/>
    <col min="61" max="61" width="10.7109375" style="467" hidden="1" customWidth="1"/>
    <col min="62" max="62" width="5.421875" style="467" hidden="1" customWidth="1"/>
    <col min="63" max="63" width="5.140625" style="467" hidden="1" customWidth="1"/>
    <col min="64" max="64" width="7.57421875" style="467" hidden="1" customWidth="1"/>
    <col min="65" max="65" width="12.7109375" style="467" hidden="1" customWidth="1"/>
    <col min="66" max="66" width="19.8515625" style="467" customWidth="1"/>
    <col min="67" max="67" width="18.421875" style="412" hidden="1" customWidth="1"/>
    <col min="68" max="68" width="16.8515625" style="412" bestFit="1" customWidth="1"/>
    <col min="69" max="16384" width="11.421875" style="412" customWidth="1"/>
  </cols>
  <sheetData>
    <row r="1" spans="1:29" ht="57.75" customHeight="1">
      <c r="A1" s="1589" t="s">
        <v>618</v>
      </c>
      <c r="B1" s="1589"/>
      <c r="C1" s="1589"/>
      <c r="D1" s="1589"/>
      <c r="E1" s="1589"/>
      <c r="F1" s="1589"/>
      <c r="G1" s="1589"/>
      <c r="H1" s="1589"/>
      <c r="I1" s="1589"/>
      <c r="J1" s="1589"/>
      <c r="K1" s="1589"/>
      <c r="L1" s="1589"/>
      <c r="M1" s="1589"/>
      <c r="N1" s="1589"/>
      <c r="O1" s="1589"/>
      <c r="P1" s="1589"/>
      <c r="Q1" s="1589"/>
      <c r="R1" s="1589"/>
      <c r="S1" s="1589"/>
      <c r="T1" s="1589"/>
      <c r="U1" s="1589"/>
      <c r="V1" s="1589"/>
      <c r="W1" s="1589"/>
      <c r="AC1" s="640"/>
    </row>
    <row r="2" spans="1:66" ht="30" customHeight="1">
      <c r="A2" s="1406" t="s">
        <v>619</v>
      </c>
      <c r="B2" s="1409" t="s">
        <v>620</v>
      </c>
      <c r="C2" s="1406" t="s">
        <v>621</v>
      </c>
      <c r="D2" s="1411" t="s">
        <v>622</v>
      </c>
      <c r="E2" s="1409" t="s">
        <v>623</v>
      </c>
      <c r="F2" s="1409" t="s">
        <v>624</v>
      </c>
      <c r="G2" s="1409"/>
      <c r="H2" s="1409"/>
      <c r="I2" s="1406" t="s">
        <v>625</v>
      </c>
      <c r="J2" s="1406" t="s">
        <v>626</v>
      </c>
      <c r="K2" s="1406" t="s">
        <v>627</v>
      </c>
      <c r="L2" s="1409" t="s">
        <v>628</v>
      </c>
      <c r="M2" s="1407" t="s">
        <v>629</v>
      </c>
      <c r="N2" s="1409" t="s">
        <v>630</v>
      </c>
      <c r="O2" s="1409"/>
      <c r="P2" s="1409"/>
      <c r="Q2" s="1409"/>
      <c r="R2" s="1584" t="s">
        <v>631</v>
      </c>
      <c r="S2" s="1585"/>
      <c r="T2" s="1585"/>
      <c r="U2" s="1585"/>
      <c r="V2" s="1586"/>
      <c r="W2" s="1409" t="s">
        <v>632</v>
      </c>
      <c r="X2" s="1587" t="s">
        <v>1429</v>
      </c>
      <c r="Y2" s="1580" t="s">
        <v>1430</v>
      </c>
      <c r="Z2" s="1580"/>
      <c r="AA2" s="1580"/>
      <c r="AB2" s="1580"/>
      <c r="AC2" s="1580"/>
      <c r="AD2" s="1580"/>
      <c r="AE2" s="1580"/>
      <c r="AF2" s="1580"/>
      <c r="AG2" s="1580"/>
      <c r="AH2" s="1580"/>
      <c r="AI2" s="1580"/>
      <c r="AJ2" s="1580"/>
      <c r="AK2" s="1581" t="s">
        <v>1431</v>
      </c>
      <c r="AL2" s="1582"/>
      <c r="AM2" s="679" t="s">
        <v>1432</v>
      </c>
      <c r="AN2" s="681"/>
      <c r="AO2" s="680"/>
      <c r="AP2" s="681"/>
      <c r="AQ2" s="1581" t="s">
        <v>1433</v>
      </c>
      <c r="AR2" s="1582"/>
      <c r="AS2" s="1581" t="s">
        <v>1434</v>
      </c>
      <c r="AT2" s="1583"/>
      <c r="AU2" s="1583"/>
      <c r="AV2" s="1583"/>
      <c r="AW2" s="1583"/>
      <c r="AX2" s="1583"/>
      <c r="AY2" s="1583"/>
      <c r="AZ2" s="1583"/>
      <c r="BA2" s="1583"/>
      <c r="BB2" s="1582"/>
      <c r="BC2" s="1581" t="s">
        <v>1435</v>
      </c>
      <c r="BD2" s="1583"/>
      <c r="BE2" s="1583"/>
      <c r="BF2" s="1583"/>
      <c r="BG2" s="1582"/>
      <c r="BH2" s="1581"/>
      <c r="BI2" s="1583"/>
      <c r="BJ2" s="1583"/>
      <c r="BK2" s="1583"/>
      <c r="BL2" s="1583"/>
      <c r="BM2" s="1582"/>
      <c r="BN2" s="1370" t="s">
        <v>1436</v>
      </c>
    </row>
    <row r="3" spans="1:66" ht="56.25" customHeight="1" thickBot="1">
      <c r="A3" s="1406"/>
      <c r="B3" s="1409"/>
      <c r="C3" s="1406"/>
      <c r="D3" s="1411"/>
      <c r="E3" s="1409"/>
      <c r="F3" s="670" t="s">
        <v>633</v>
      </c>
      <c r="G3" s="670" t="s">
        <v>634</v>
      </c>
      <c r="H3" s="670" t="s">
        <v>635</v>
      </c>
      <c r="I3" s="1406"/>
      <c r="J3" s="1406"/>
      <c r="K3" s="1406"/>
      <c r="L3" s="1409"/>
      <c r="M3" s="1408"/>
      <c r="N3" s="670" t="s">
        <v>636</v>
      </c>
      <c r="O3" s="670" t="s">
        <v>637</v>
      </c>
      <c r="P3" s="670" t="s">
        <v>638</v>
      </c>
      <c r="Q3" s="670" t="s">
        <v>639</v>
      </c>
      <c r="R3" s="409">
        <v>2012</v>
      </c>
      <c r="S3" s="409">
        <v>2013</v>
      </c>
      <c r="T3" s="409">
        <v>2014</v>
      </c>
      <c r="U3" s="409">
        <v>2015</v>
      </c>
      <c r="V3" s="409" t="s">
        <v>640</v>
      </c>
      <c r="W3" s="1409"/>
      <c r="X3" s="1588"/>
      <c r="Y3" s="415" t="s">
        <v>1437</v>
      </c>
      <c r="Z3" s="415" t="s">
        <v>1461</v>
      </c>
      <c r="AA3" s="415" t="s">
        <v>1438</v>
      </c>
      <c r="AB3" s="415" t="s">
        <v>2</v>
      </c>
      <c r="AC3" s="415" t="s">
        <v>4</v>
      </c>
      <c r="AD3" s="644" t="s">
        <v>1439</v>
      </c>
      <c r="AE3" s="644" t="s">
        <v>1440</v>
      </c>
      <c r="AF3" s="415" t="s">
        <v>1441</v>
      </c>
      <c r="AG3" s="415" t="s">
        <v>1442</v>
      </c>
      <c r="AH3" s="415" t="s">
        <v>1443</v>
      </c>
      <c r="AI3" s="415" t="s">
        <v>1444</v>
      </c>
      <c r="AJ3" s="415" t="s">
        <v>1445</v>
      </c>
      <c r="AK3" s="415" t="s">
        <v>1446</v>
      </c>
      <c r="AL3" s="415" t="s">
        <v>255</v>
      </c>
      <c r="AM3" s="415" t="s">
        <v>1497</v>
      </c>
      <c r="AN3" s="415" t="s">
        <v>1498</v>
      </c>
      <c r="AO3" s="415" t="s">
        <v>1447</v>
      </c>
      <c r="AP3" s="415" t="s">
        <v>1448</v>
      </c>
      <c r="AQ3" s="415" t="s">
        <v>23</v>
      </c>
      <c r="AR3" s="415" t="s">
        <v>25</v>
      </c>
      <c r="AS3" s="415" t="s">
        <v>1449</v>
      </c>
      <c r="AT3" s="415" t="s">
        <v>1497</v>
      </c>
      <c r="AU3" s="415" t="s">
        <v>28</v>
      </c>
      <c r="AV3" s="415" t="s">
        <v>6</v>
      </c>
      <c r="AW3" s="415" t="s">
        <v>25</v>
      </c>
      <c r="AX3" s="415" t="s">
        <v>23</v>
      </c>
      <c r="AY3" s="415" t="s">
        <v>21</v>
      </c>
      <c r="AZ3" s="415" t="s">
        <v>19</v>
      </c>
      <c r="BA3" s="415" t="s">
        <v>1450</v>
      </c>
      <c r="BB3" s="415" t="s">
        <v>1456</v>
      </c>
      <c r="BC3" s="415" t="s">
        <v>118</v>
      </c>
      <c r="BD3" s="415" t="s">
        <v>1451</v>
      </c>
      <c r="BE3" s="415" t="s">
        <v>1452</v>
      </c>
      <c r="BF3" s="644" t="s">
        <v>1455</v>
      </c>
      <c r="BG3" s="415" t="s">
        <v>1453</v>
      </c>
      <c r="BH3" s="415" t="s">
        <v>1457</v>
      </c>
      <c r="BI3" s="415" t="s">
        <v>1458</v>
      </c>
      <c r="BJ3" s="415" t="s">
        <v>1496</v>
      </c>
      <c r="BK3" s="415" t="s">
        <v>1459</v>
      </c>
      <c r="BL3" s="415"/>
      <c r="BM3" s="644" t="s">
        <v>1454</v>
      </c>
      <c r="BN3" s="1579"/>
    </row>
    <row r="4" spans="1:67" ht="21.75" thickBot="1">
      <c r="A4" s="413"/>
      <c r="B4" s="670"/>
      <c r="C4" s="413"/>
      <c r="D4" s="671"/>
      <c r="E4" s="670"/>
      <c r="F4" s="670"/>
      <c r="G4" s="670"/>
      <c r="H4" s="670"/>
      <c r="I4" s="671"/>
      <c r="J4" s="671"/>
      <c r="K4" s="671"/>
      <c r="L4" s="670"/>
      <c r="M4" s="673"/>
      <c r="N4" s="670"/>
      <c r="O4" s="670"/>
      <c r="P4" s="670"/>
      <c r="Q4" s="670"/>
      <c r="R4" s="409"/>
      <c r="S4" s="409"/>
      <c r="T4" s="409"/>
      <c r="U4" s="409"/>
      <c r="V4" s="409"/>
      <c r="W4" s="414"/>
      <c r="X4" s="436" t="s">
        <v>498</v>
      </c>
      <c r="Y4" s="416">
        <f>+'INGRESOS 2014'!G130</f>
        <v>4276508898</v>
      </c>
      <c r="Z4" s="416">
        <f>+'INGRESOS 2014'!G136</f>
        <v>859735</v>
      </c>
      <c r="AA4" s="416">
        <f>+'INGRESOS 2014'!G132</f>
        <v>295063973</v>
      </c>
      <c r="AB4" s="416">
        <f>+'INGRESOS 2014'!G134</f>
        <v>54444397</v>
      </c>
      <c r="AC4" s="416">
        <f>+'INGRESOS 2014'!G133</f>
        <v>5057378879</v>
      </c>
      <c r="AD4" s="416">
        <f>+'INGRESOS 2014'!G63</f>
        <v>844780936</v>
      </c>
      <c r="AE4" s="416">
        <f>+'INGRESOS 2014'!G64</f>
        <v>550036000</v>
      </c>
      <c r="AF4" s="416">
        <f>+'INGRESOS 2014'!G72</f>
        <v>217793702</v>
      </c>
      <c r="AG4" s="416">
        <f>+'INGRESOS 2014'!G69</f>
        <v>927633659</v>
      </c>
      <c r="AH4" s="416">
        <f>+'INGRESOS 2014'!G67</f>
        <v>104519208</v>
      </c>
      <c r="AI4" s="416">
        <f>+'INGRESOS 2014'!G68</f>
        <v>78389407</v>
      </c>
      <c r="AJ4" s="416">
        <f>+'INGRESOS 2014'!G70</f>
        <v>1875368503</v>
      </c>
      <c r="AK4" s="416"/>
      <c r="AL4" s="416" t="e">
        <f>+'FUNCIONAMIENTO 2014'!#REF!</f>
        <v>#REF!</v>
      </c>
      <c r="AM4" s="416">
        <f>+'INGRESOS 2014'!G55+'INGRESOS 2014'!G56+'INGRESOS 2014'!G57</f>
        <v>0</v>
      </c>
      <c r="AN4" s="416">
        <f>+'INGRESOS 2014'!G71</f>
        <v>0</v>
      </c>
      <c r="AO4" s="416"/>
      <c r="AP4" s="416">
        <f>+'INGRESOS 2014'!G24</f>
        <v>337000000</v>
      </c>
      <c r="AQ4" s="416">
        <f>+'INGRESOS 2014'!G31-'FUNCIONAMIENTO 2014'!F106</f>
        <v>1511877155.2</v>
      </c>
      <c r="AR4" s="416">
        <f>+'INGRESOS 2014'!G30-'FUNCIONAMIENTO 2014'!F104</f>
        <v>755835064.8</v>
      </c>
      <c r="AS4" s="416">
        <f>+'INGRESOS 2014'!G81</f>
        <v>166034929</v>
      </c>
      <c r="AT4" s="416">
        <f>+'INGRESOS 2014'!G84</f>
        <v>0</v>
      </c>
      <c r="AU4" s="416">
        <f>+'INGRESOS 2014'!G85</f>
        <v>113085547</v>
      </c>
      <c r="AV4" s="416">
        <f>+'INGRESOS 2014'!G86</f>
        <v>55193848</v>
      </c>
      <c r="AW4" s="416">
        <f>+'INGRESOS 2014'!G87</f>
        <v>1119856</v>
      </c>
      <c r="AX4" s="416">
        <f>+'INGRESOS 2014'!G88</f>
        <v>13916986</v>
      </c>
      <c r="AY4" s="416">
        <f>+'INGRESOS 2014'!G89</f>
        <v>18024204</v>
      </c>
      <c r="AZ4" s="416">
        <f>+'INGRESOS 2014'!G91</f>
        <v>1040336</v>
      </c>
      <c r="BA4" s="416"/>
      <c r="BB4" s="416">
        <f>+'INGRESOS 2014'!G94</f>
        <v>0</v>
      </c>
      <c r="BC4" s="416"/>
      <c r="BD4" s="416">
        <f>+'INGRESOS 2014'!G51</f>
        <v>0</v>
      </c>
      <c r="BE4" s="416">
        <f>+'INGRESOS 2014'!G75</f>
        <v>0</v>
      </c>
      <c r="BF4" s="417">
        <f>+'INGRESOS 2014'!G78+'INGRESOS 2014'!G79</f>
        <v>261302784</v>
      </c>
      <c r="BG4" s="416">
        <f>+'INGRESOS 2014'!G44</f>
        <v>1257671658</v>
      </c>
      <c r="BH4" s="416"/>
      <c r="BI4" s="416"/>
      <c r="BJ4" s="416"/>
      <c r="BK4" s="416"/>
      <c r="BL4" s="416"/>
      <c r="BM4" s="417">
        <f>+'FUNCIONAMIENTO 2014'!F5</f>
        <v>9441010697.513254</v>
      </c>
      <c r="BN4" s="418" t="e">
        <f>SUM(Y4:BM4)</f>
        <v>#REF!</v>
      </c>
      <c r="BO4" s="434" t="e">
        <f>+'INGRESOS 2014'!G7-BN4</f>
        <v>#REF!</v>
      </c>
    </row>
    <row r="5" spans="1:67" ht="15">
      <c r="A5" s="413"/>
      <c r="B5" s="670"/>
      <c r="C5" s="413"/>
      <c r="D5" s="671"/>
      <c r="E5" s="670"/>
      <c r="F5" s="670"/>
      <c r="G5" s="670"/>
      <c r="H5" s="670"/>
      <c r="I5" s="671"/>
      <c r="J5" s="671"/>
      <c r="K5" s="671"/>
      <c r="L5" s="670"/>
      <c r="M5" s="673"/>
      <c r="N5" s="670"/>
      <c r="O5" s="670"/>
      <c r="P5" s="670"/>
      <c r="Q5" s="670"/>
      <c r="R5" s="409"/>
      <c r="S5" s="409"/>
      <c r="T5" s="409"/>
      <c r="U5" s="409"/>
      <c r="V5" s="409"/>
      <c r="W5" s="414"/>
      <c r="X5" s="437" t="s">
        <v>1460</v>
      </c>
      <c r="Y5" s="411">
        <f>+Y334</f>
        <v>2888786994</v>
      </c>
      <c r="Z5" s="411">
        <f aca="true" t="shared" si="0" ref="Z5:BM5">+Z334</f>
        <v>50000000</v>
      </c>
      <c r="AA5" s="411">
        <f t="shared" si="0"/>
        <v>291135708</v>
      </c>
      <c r="AB5" s="411">
        <f t="shared" si="0"/>
        <v>53175486</v>
      </c>
      <c r="AC5" s="411">
        <f t="shared" si="0"/>
        <v>1548410758</v>
      </c>
      <c r="AD5" s="411">
        <f t="shared" si="0"/>
        <v>772592212</v>
      </c>
      <c r="AE5" s="416">
        <f t="shared" si="0"/>
        <v>534186840</v>
      </c>
      <c r="AF5" s="411">
        <f t="shared" si="0"/>
        <v>217793702</v>
      </c>
      <c r="AG5" s="411">
        <f t="shared" si="0"/>
        <v>900856837</v>
      </c>
      <c r="AH5" s="411">
        <f t="shared" si="0"/>
        <v>103803097</v>
      </c>
      <c r="AI5" s="411">
        <f t="shared" si="0"/>
        <v>77852324</v>
      </c>
      <c r="AJ5" s="411">
        <f t="shared" si="0"/>
        <v>1725263741</v>
      </c>
      <c r="AK5" s="411">
        <f t="shared" si="0"/>
        <v>0</v>
      </c>
      <c r="AL5" s="411">
        <f t="shared" si="0"/>
        <v>5000854781</v>
      </c>
      <c r="AM5" s="411">
        <f t="shared" si="0"/>
        <v>199153123421</v>
      </c>
      <c r="AN5" s="411">
        <f t="shared" si="0"/>
        <v>70856481</v>
      </c>
      <c r="AO5" s="411">
        <f t="shared" si="0"/>
        <v>0</v>
      </c>
      <c r="AP5" s="411">
        <f t="shared" si="0"/>
        <v>200000000</v>
      </c>
      <c r="AQ5" s="411">
        <f t="shared" si="0"/>
        <v>3133140579</v>
      </c>
      <c r="AR5" s="411">
        <f t="shared" si="0"/>
        <v>1440000000</v>
      </c>
      <c r="AS5" s="411">
        <f t="shared" si="0"/>
        <v>20000000</v>
      </c>
      <c r="AT5" s="411">
        <f t="shared" si="0"/>
        <v>30000000</v>
      </c>
      <c r="AU5" s="411">
        <f t="shared" si="0"/>
        <v>30000000</v>
      </c>
      <c r="AV5" s="411">
        <f t="shared" si="0"/>
        <v>2000000</v>
      </c>
      <c r="AW5" s="411">
        <f t="shared" si="0"/>
        <v>30000000</v>
      </c>
      <c r="AX5" s="411">
        <f t="shared" si="0"/>
        <v>15000000</v>
      </c>
      <c r="AY5" s="411">
        <f t="shared" si="0"/>
        <v>30000000</v>
      </c>
      <c r="AZ5" s="411">
        <f t="shared" si="0"/>
        <v>5000000</v>
      </c>
      <c r="BA5" s="411">
        <f t="shared" si="0"/>
        <v>0</v>
      </c>
      <c r="BB5" s="411">
        <f t="shared" si="0"/>
        <v>30000000</v>
      </c>
      <c r="BC5" s="411">
        <f t="shared" si="0"/>
        <v>0</v>
      </c>
      <c r="BD5" s="411">
        <f t="shared" si="0"/>
        <v>2000000</v>
      </c>
      <c r="BE5" s="411">
        <f t="shared" si="0"/>
        <v>5015326</v>
      </c>
      <c r="BF5" s="411">
        <f t="shared" si="0"/>
        <v>309920825</v>
      </c>
      <c r="BG5" s="411">
        <f t="shared" si="0"/>
        <v>3046738223</v>
      </c>
      <c r="BH5" s="411">
        <f t="shared" si="0"/>
        <v>0</v>
      </c>
      <c r="BI5" s="411">
        <f t="shared" si="0"/>
        <v>0</v>
      </c>
      <c r="BJ5" s="411">
        <f t="shared" si="0"/>
        <v>0</v>
      </c>
      <c r="BK5" s="411">
        <f t="shared" si="0"/>
        <v>0</v>
      </c>
      <c r="BL5" s="411">
        <f t="shared" si="0"/>
        <v>0</v>
      </c>
      <c r="BM5" s="411">
        <f t="shared" si="0"/>
        <v>0</v>
      </c>
      <c r="BN5" s="418">
        <f>SUM(Y5:BM5)</f>
        <v>221717507335</v>
      </c>
      <c r="BO5" s="435" t="e">
        <f>+BN4-BN5</f>
        <v>#REF!</v>
      </c>
    </row>
    <row r="6" spans="1:66" ht="15">
      <c r="A6" s="413"/>
      <c r="B6" s="670"/>
      <c r="C6" s="413"/>
      <c r="D6" s="671"/>
      <c r="E6" s="670"/>
      <c r="F6" s="670"/>
      <c r="G6" s="670"/>
      <c r="H6" s="670"/>
      <c r="I6" s="671"/>
      <c r="J6" s="671"/>
      <c r="K6" s="671"/>
      <c r="L6" s="670"/>
      <c r="M6" s="673"/>
      <c r="N6" s="670"/>
      <c r="O6" s="670"/>
      <c r="P6" s="670"/>
      <c r="Q6" s="670"/>
      <c r="R6" s="409"/>
      <c r="S6" s="409"/>
      <c r="T6" s="409"/>
      <c r="U6" s="409"/>
      <c r="V6" s="409"/>
      <c r="W6" s="414"/>
      <c r="X6" s="438" t="s">
        <v>1494</v>
      </c>
      <c r="Y6" s="433">
        <f>+Y4-Y5</f>
        <v>1387721904</v>
      </c>
      <c r="Z6" s="433">
        <f aca="true" t="shared" si="1" ref="Z6:BN6">+Z4-Z5</f>
        <v>-49140265</v>
      </c>
      <c r="AA6" s="433">
        <f t="shared" si="1"/>
        <v>3928265</v>
      </c>
      <c r="AB6" s="433">
        <f t="shared" si="1"/>
        <v>1268911</v>
      </c>
      <c r="AC6" s="433">
        <f t="shared" si="1"/>
        <v>3508968121</v>
      </c>
      <c r="AD6" s="433">
        <f t="shared" si="1"/>
        <v>72188724</v>
      </c>
      <c r="AE6" s="433">
        <f t="shared" si="1"/>
        <v>15849160</v>
      </c>
      <c r="AF6" s="433">
        <f t="shared" si="1"/>
        <v>0</v>
      </c>
      <c r="AG6" s="433">
        <f t="shared" si="1"/>
        <v>26776822</v>
      </c>
      <c r="AH6" s="433">
        <f t="shared" si="1"/>
        <v>716111</v>
      </c>
      <c r="AI6" s="433">
        <f t="shared" si="1"/>
        <v>537083</v>
      </c>
      <c r="AJ6" s="433">
        <f t="shared" si="1"/>
        <v>150104762</v>
      </c>
      <c r="AK6" s="433">
        <f t="shared" si="1"/>
        <v>0</v>
      </c>
      <c r="AL6" s="433" t="e">
        <f t="shared" si="1"/>
        <v>#REF!</v>
      </c>
      <c r="AM6" s="433">
        <f t="shared" si="1"/>
        <v>-199153123421</v>
      </c>
      <c r="AN6" s="433">
        <f t="shared" si="1"/>
        <v>-70856481</v>
      </c>
      <c r="AO6" s="433">
        <f t="shared" si="1"/>
        <v>0</v>
      </c>
      <c r="AP6" s="433">
        <f t="shared" si="1"/>
        <v>137000000</v>
      </c>
      <c r="AQ6" s="433">
        <f t="shared" si="1"/>
        <v>-1621263423.8</v>
      </c>
      <c r="AR6" s="433">
        <f t="shared" si="1"/>
        <v>-684164935.2</v>
      </c>
      <c r="AS6" s="433">
        <f t="shared" si="1"/>
        <v>146034929</v>
      </c>
      <c r="AT6" s="433">
        <f t="shared" si="1"/>
        <v>-30000000</v>
      </c>
      <c r="AU6" s="433">
        <f t="shared" si="1"/>
        <v>83085547</v>
      </c>
      <c r="AV6" s="433">
        <f t="shared" si="1"/>
        <v>53193848</v>
      </c>
      <c r="AW6" s="433">
        <f t="shared" si="1"/>
        <v>-28880144</v>
      </c>
      <c r="AX6" s="433">
        <f t="shared" si="1"/>
        <v>-1083014</v>
      </c>
      <c r="AY6" s="433">
        <f t="shared" si="1"/>
        <v>-11975796</v>
      </c>
      <c r="AZ6" s="433">
        <f t="shared" si="1"/>
        <v>-3959664</v>
      </c>
      <c r="BA6" s="433">
        <f t="shared" si="1"/>
        <v>0</v>
      </c>
      <c r="BB6" s="433">
        <f t="shared" si="1"/>
        <v>-30000000</v>
      </c>
      <c r="BC6" s="433">
        <f t="shared" si="1"/>
        <v>0</v>
      </c>
      <c r="BD6" s="433">
        <f t="shared" si="1"/>
        <v>-2000000</v>
      </c>
      <c r="BE6" s="433">
        <f t="shared" si="1"/>
        <v>-5015326</v>
      </c>
      <c r="BF6" s="433">
        <f t="shared" si="1"/>
        <v>-48618041</v>
      </c>
      <c r="BG6" s="433">
        <f t="shared" si="1"/>
        <v>-1789066565</v>
      </c>
      <c r="BH6" s="433">
        <f t="shared" si="1"/>
        <v>0</v>
      </c>
      <c r="BI6" s="433">
        <f t="shared" si="1"/>
        <v>0</v>
      </c>
      <c r="BJ6" s="433">
        <f t="shared" si="1"/>
        <v>0</v>
      </c>
      <c r="BK6" s="433">
        <f t="shared" si="1"/>
        <v>0</v>
      </c>
      <c r="BL6" s="433">
        <f t="shared" si="1"/>
        <v>0</v>
      </c>
      <c r="BM6" s="433">
        <f t="shared" si="1"/>
        <v>9441010697.513254</v>
      </c>
      <c r="BN6" s="433" t="e">
        <f t="shared" si="1"/>
        <v>#REF!</v>
      </c>
    </row>
    <row r="7" spans="1:66" ht="56.25" customHeight="1">
      <c r="A7" s="1376">
        <v>20</v>
      </c>
      <c r="B7" s="1375" t="s">
        <v>641</v>
      </c>
      <c r="C7" s="1376">
        <v>30</v>
      </c>
      <c r="D7" s="1375" t="s">
        <v>642</v>
      </c>
      <c r="E7" s="1367" t="s">
        <v>643</v>
      </c>
      <c r="F7" s="1367" t="s">
        <v>644</v>
      </c>
      <c r="G7" s="1568">
        <v>0.8432</v>
      </c>
      <c r="H7" s="1452">
        <v>1</v>
      </c>
      <c r="I7" s="364"/>
      <c r="J7" s="364"/>
      <c r="K7" s="657">
        <v>5</v>
      </c>
      <c r="L7" s="658" t="s">
        <v>645</v>
      </c>
      <c r="M7" s="657" t="s">
        <v>646</v>
      </c>
      <c r="N7" s="649">
        <v>1500</v>
      </c>
      <c r="O7" s="649">
        <v>700</v>
      </c>
      <c r="P7" s="649">
        <v>600</v>
      </c>
      <c r="Q7" s="649">
        <v>328</v>
      </c>
      <c r="R7" s="1460">
        <v>43996433</v>
      </c>
      <c r="S7" s="1460">
        <v>14845415</v>
      </c>
      <c r="T7" s="1460">
        <v>11691278</v>
      </c>
      <c r="U7" s="1460">
        <v>18244516</v>
      </c>
      <c r="V7" s="1460">
        <v>88777642</v>
      </c>
      <c r="W7" s="374" t="s">
        <v>647</v>
      </c>
      <c r="X7" s="440" t="s">
        <v>1502</v>
      </c>
      <c r="Y7" s="460">
        <v>2888786994</v>
      </c>
      <c r="Z7" s="460">
        <v>50000000</v>
      </c>
      <c r="AA7" s="460"/>
      <c r="AB7" s="460">
        <v>53175486</v>
      </c>
      <c r="AC7" s="460">
        <v>1548410758</v>
      </c>
      <c r="AD7" s="460"/>
      <c r="AE7" s="460"/>
      <c r="AF7" s="460"/>
      <c r="AG7" s="460"/>
      <c r="AH7" s="460"/>
      <c r="AI7" s="460"/>
      <c r="AJ7" s="460"/>
      <c r="AK7" s="460"/>
      <c r="AL7" s="460"/>
      <c r="AM7" s="460"/>
      <c r="AN7" s="460"/>
      <c r="AO7" s="460"/>
      <c r="AP7" s="460"/>
      <c r="AQ7" s="460"/>
      <c r="AR7" s="460"/>
      <c r="AS7" s="460"/>
      <c r="AT7" s="460"/>
      <c r="AU7" s="460">
        <v>30000000</v>
      </c>
      <c r="AV7" s="460"/>
      <c r="AW7" s="460"/>
      <c r="AX7" s="460"/>
      <c r="AY7" s="460"/>
      <c r="AZ7" s="460"/>
      <c r="BA7" s="460"/>
      <c r="BB7" s="460"/>
      <c r="BC7" s="460"/>
      <c r="BD7" s="460"/>
      <c r="BE7" s="460"/>
      <c r="BF7" s="460"/>
      <c r="BG7" s="460"/>
      <c r="BH7" s="460"/>
      <c r="BI7" s="460"/>
      <c r="BJ7" s="460"/>
      <c r="BK7" s="460"/>
      <c r="BL7" s="460"/>
      <c r="BM7" s="460"/>
      <c r="BN7" s="460">
        <f>SUM(Y7:BM7)</f>
        <v>4570373238</v>
      </c>
    </row>
    <row r="8" spans="1:66" ht="80.25" customHeight="1">
      <c r="A8" s="1377"/>
      <c r="B8" s="1375"/>
      <c r="C8" s="1377"/>
      <c r="D8" s="1375"/>
      <c r="E8" s="1367"/>
      <c r="F8" s="1367"/>
      <c r="G8" s="1568"/>
      <c r="H8" s="1452"/>
      <c r="I8" s="364"/>
      <c r="J8" s="1575"/>
      <c r="K8" s="657">
        <v>5</v>
      </c>
      <c r="L8" s="658" t="s">
        <v>648</v>
      </c>
      <c r="M8" s="657" t="s">
        <v>649</v>
      </c>
      <c r="N8" s="657"/>
      <c r="O8" s="657">
        <v>1</v>
      </c>
      <c r="P8" s="657"/>
      <c r="Q8" s="657"/>
      <c r="R8" s="1460"/>
      <c r="S8" s="1460"/>
      <c r="T8" s="1460"/>
      <c r="U8" s="1460"/>
      <c r="V8" s="1460"/>
      <c r="W8" s="374" t="s">
        <v>647</v>
      </c>
      <c r="X8" s="1559" t="s">
        <v>1499</v>
      </c>
      <c r="Y8" s="1561"/>
      <c r="Z8" s="1561"/>
      <c r="AA8" s="1561">
        <v>291135708</v>
      </c>
      <c r="AB8" s="1561"/>
      <c r="AC8" s="1561"/>
      <c r="AD8" s="1561"/>
      <c r="AE8" s="1561"/>
      <c r="AF8" s="1561"/>
      <c r="AG8" s="1561"/>
      <c r="AH8" s="1561"/>
      <c r="AI8" s="1561"/>
      <c r="AJ8" s="1561"/>
      <c r="AK8" s="1445"/>
      <c r="AL8" s="1561"/>
      <c r="AM8" s="1561"/>
      <c r="AN8" s="1561"/>
      <c r="AO8" s="1445"/>
      <c r="AP8" s="1561"/>
      <c r="AQ8" s="1561"/>
      <c r="AR8" s="1561"/>
      <c r="AS8" s="1561"/>
      <c r="AT8" s="1561"/>
      <c r="AU8" s="1561"/>
      <c r="AV8" s="1561">
        <v>2000000</v>
      </c>
      <c r="AW8" s="1561"/>
      <c r="AX8" s="1561"/>
      <c r="AY8" s="1561"/>
      <c r="AZ8" s="1561"/>
      <c r="BA8" s="1445"/>
      <c r="BB8" s="1561"/>
      <c r="BC8" s="1561"/>
      <c r="BD8" s="1561"/>
      <c r="BE8" s="1561"/>
      <c r="BF8" s="1561"/>
      <c r="BG8" s="1561"/>
      <c r="BH8" s="1561"/>
      <c r="BI8" s="1561"/>
      <c r="BJ8" s="1561"/>
      <c r="BK8" s="1561"/>
      <c r="BL8" s="1561"/>
      <c r="BM8" s="1561"/>
      <c r="BN8" s="1521">
        <f aca="true" t="shared" si="2" ref="BN8:BN31">SUM(Y8:BM8)</f>
        <v>293135708</v>
      </c>
    </row>
    <row r="9" spans="1:66" ht="56.25" customHeight="1">
      <c r="A9" s="1377"/>
      <c r="B9" s="1375"/>
      <c r="C9" s="1377"/>
      <c r="D9" s="1375"/>
      <c r="E9" s="1367"/>
      <c r="F9" s="1367"/>
      <c r="G9" s="1568"/>
      <c r="H9" s="1452"/>
      <c r="I9" s="364"/>
      <c r="J9" s="1578"/>
      <c r="K9" s="657">
        <v>20</v>
      </c>
      <c r="L9" s="658" t="s">
        <v>650</v>
      </c>
      <c r="M9" s="657" t="s">
        <v>651</v>
      </c>
      <c r="N9" s="657">
        <v>1</v>
      </c>
      <c r="O9" s="657">
        <v>1</v>
      </c>
      <c r="P9" s="657">
        <v>1</v>
      </c>
      <c r="Q9" s="657">
        <v>1</v>
      </c>
      <c r="R9" s="1460"/>
      <c r="S9" s="1460"/>
      <c r="T9" s="1460"/>
      <c r="U9" s="1460"/>
      <c r="V9" s="1460"/>
      <c r="W9" s="374" t="s">
        <v>647</v>
      </c>
      <c r="X9" s="1559"/>
      <c r="Y9" s="1561"/>
      <c r="Z9" s="1561"/>
      <c r="AA9" s="1561"/>
      <c r="AB9" s="1561"/>
      <c r="AC9" s="1561"/>
      <c r="AD9" s="1561"/>
      <c r="AE9" s="1561"/>
      <c r="AF9" s="1561"/>
      <c r="AG9" s="1561"/>
      <c r="AH9" s="1561"/>
      <c r="AI9" s="1561"/>
      <c r="AJ9" s="1561"/>
      <c r="AK9" s="1363"/>
      <c r="AL9" s="1561"/>
      <c r="AM9" s="1561"/>
      <c r="AN9" s="1561"/>
      <c r="AO9" s="1363"/>
      <c r="AP9" s="1561"/>
      <c r="AQ9" s="1561"/>
      <c r="AR9" s="1561"/>
      <c r="AS9" s="1561"/>
      <c r="AT9" s="1561"/>
      <c r="AU9" s="1561"/>
      <c r="AV9" s="1561"/>
      <c r="AW9" s="1561"/>
      <c r="AX9" s="1561"/>
      <c r="AY9" s="1561"/>
      <c r="AZ9" s="1561"/>
      <c r="BA9" s="1363"/>
      <c r="BB9" s="1561"/>
      <c r="BC9" s="1561"/>
      <c r="BD9" s="1561"/>
      <c r="BE9" s="1561"/>
      <c r="BF9" s="1561"/>
      <c r="BG9" s="1561"/>
      <c r="BH9" s="1561"/>
      <c r="BI9" s="1561"/>
      <c r="BJ9" s="1561"/>
      <c r="BK9" s="1561"/>
      <c r="BL9" s="1561"/>
      <c r="BM9" s="1561"/>
      <c r="BN9" s="1522"/>
    </row>
    <row r="10" spans="1:66" ht="124.5" customHeight="1">
      <c r="A10" s="1377"/>
      <c r="B10" s="1375"/>
      <c r="C10" s="1377"/>
      <c r="D10" s="1375"/>
      <c r="E10" s="657" t="s">
        <v>652</v>
      </c>
      <c r="F10" s="657" t="s">
        <v>653</v>
      </c>
      <c r="G10" s="657" t="s">
        <v>654</v>
      </c>
      <c r="H10" s="662">
        <v>1</v>
      </c>
      <c r="I10" s="364"/>
      <c r="J10" s="364"/>
      <c r="K10" s="657">
        <v>5</v>
      </c>
      <c r="L10" s="658" t="s">
        <v>655</v>
      </c>
      <c r="M10" s="657" t="s">
        <v>656</v>
      </c>
      <c r="N10" s="657"/>
      <c r="O10" s="657">
        <v>1</v>
      </c>
      <c r="P10" s="657">
        <v>1</v>
      </c>
      <c r="Q10" s="657">
        <v>1</v>
      </c>
      <c r="R10" s="1460"/>
      <c r="S10" s="1460"/>
      <c r="T10" s="1460"/>
      <c r="U10" s="1460"/>
      <c r="V10" s="1460"/>
      <c r="W10" s="374" t="s">
        <v>647</v>
      </c>
      <c r="X10" s="440" t="s">
        <v>1503</v>
      </c>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f t="shared" si="2"/>
        <v>0</v>
      </c>
    </row>
    <row r="11" spans="1:66" ht="71.25" customHeight="1">
      <c r="A11" s="1377"/>
      <c r="B11" s="1375"/>
      <c r="C11" s="1377"/>
      <c r="D11" s="1375"/>
      <c r="E11" s="1367" t="s">
        <v>657</v>
      </c>
      <c r="F11" s="1367" t="s">
        <v>658</v>
      </c>
      <c r="G11" s="1367" t="s">
        <v>659</v>
      </c>
      <c r="H11" s="1367" t="s">
        <v>660</v>
      </c>
      <c r="I11" s="364"/>
      <c r="J11" s="1575"/>
      <c r="K11" s="657">
        <v>5</v>
      </c>
      <c r="L11" s="658" t="s">
        <v>661</v>
      </c>
      <c r="M11" s="657" t="s">
        <v>662</v>
      </c>
      <c r="N11" s="657" t="s">
        <v>663</v>
      </c>
      <c r="O11" s="657" t="s">
        <v>663</v>
      </c>
      <c r="P11" s="657" t="s">
        <v>663</v>
      </c>
      <c r="Q11" s="657" t="s">
        <v>663</v>
      </c>
      <c r="R11" s="1460"/>
      <c r="S11" s="1460"/>
      <c r="T11" s="1460"/>
      <c r="U11" s="1460"/>
      <c r="V11" s="1460"/>
      <c r="W11" s="374" t="s">
        <v>647</v>
      </c>
      <c r="X11" s="1559" t="s">
        <v>1504</v>
      </c>
      <c r="Y11" s="1557"/>
      <c r="Z11" s="1557"/>
      <c r="AA11" s="1557"/>
      <c r="AB11" s="1557"/>
      <c r="AC11" s="1557"/>
      <c r="AD11" s="1557"/>
      <c r="AE11" s="1557"/>
      <c r="AF11" s="1557"/>
      <c r="AG11" s="1557"/>
      <c r="AH11" s="1557"/>
      <c r="AI11" s="1557"/>
      <c r="AJ11" s="1557"/>
      <c r="AK11" s="1445"/>
      <c r="AL11" s="1557"/>
      <c r="AM11" s="1557">
        <v>0</v>
      </c>
      <c r="AN11" s="1557"/>
      <c r="AO11" s="1445"/>
      <c r="AP11" s="1557"/>
      <c r="AQ11" s="1557"/>
      <c r="AR11" s="1557"/>
      <c r="AS11" s="1557"/>
      <c r="AT11" s="1557"/>
      <c r="AU11" s="1557"/>
      <c r="AV11" s="1557"/>
      <c r="AW11" s="1557"/>
      <c r="AX11" s="1557"/>
      <c r="AY11" s="1557"/>
      <c r="AZ11" s="1557"/>
      <c r="BA11" s="1445"/>
      <c r="BB11" s="1557"/>
      <c r="BC11" s="1557"/>
      <c r="BD11" s="1557"/>
      <c r="BE11" s="1557"/>
      <c r="BF11" s="1557"/>
      <c r="BG11" s="1557"/>
      <c r="BH11" s="1557"/>
      <c r="BI11" s="1557"/>
      <c r="BJ11" s="1557"/>
      <c r="BK11" s="1557"/>
      <c r="BL11" s="1557"/>
      <c r="BM11" s="1557"/>
      <c r="BN11" s="1557">
        <f t="shared" si="2"/>
        <v>0</v>
      </c>
    </row>
    <row r="12" spans="1:66" ht="77.25" customHeight="1">
      <c r="A12" s="1377"/>
      <c r="B12" s="1375"/>
      <c r="C12" s="1377"/>
      <c r="D12" s="1375"/>
      <c r="E12" s="1367"/>
      <c r="F12" s="1367"/>
      <c r="G12" s="1367"/>
      <c r="H12" s="1367"/>
      <c r="I12" s="364"/>
      <c r="J12" s="1576"/>
      <c r="K12" s="657">
        <v>1</v>
      </c>
      <c r="L12" s="658" t="s">
        <v>664</v>
      </c>
      <c r="M12" s="657" t="s">
        <v>665</v>
      </c>
      <c r="N12" s="662">
        <v>0.95</v>
      </c>
      <c r="O12" s="662">
        <v>0.95</v>
      </c>
      <c r="P12" s="662">
        <v>0.95</v>
      </c>
      <c r="Q12" s="662">
        <v>0.95</v>
      </c>
      <c r="R12" s="1460"/>
      <c r="S12" s="1460"/>
      <c r="T12" s="1460"/>
      <c r="U12" s="1460"/>
      <c r="V12" s="1460"/>
      <c r="W12" s="374" t="s">
        <v>647</v>
      </c>
      <c r="X12" s="1559"/>
      <c r="Y12" s="1557"/>
      <c r="Z12" s="1557"/>
      <c r="AA12" s="1557"/>
      <c r="AB12" s="1557"/>
      <c r="AC12" s="1557"/>
      <c r="AD12" s="1557"/>
      <c r="AE12" s="1557"/>
      <c r="AF12" s="1557"/>
      <c r="AG12" s="1557"/>
      <c r="AH12" s="1557"/>
      <c r="AI12" s="1557"/>
      <c r="AJ12" s="1557"/>
      <c r="AK12" s="1446"/>
      <c r="AL12" s="1557"/>
      <c r="AM12" s="1557"/>
      <c r="AN12" s="1557"/>
      <c r="AO12" s="1446"/>
      <c r="AP12" s="1557"/>
      <c r="AQ12" s="1557"/>
      <c r="AR12" s="1557"/>
      <c r="AS12" s="1557"/>
      <c r="AT12" s="1557"/>
      <c r="AU12" s="1557"/>
      <c r="AV12" s="1557"/>
      <c r="AW12" s="1557"/>
      <c r="AX12" s="1557"/>
      <c r="AY12" s="1557"/>
      <c r="AZ12" s="1557"/>
      <c r="BA12" s="1446"/>
      <c r="BB12" s="1557"/>
      <c r="BC12" s="1557"/>
      <c r="BD12" s="1557"/>
      <c r="BE12" s="1557"/>
      <c r="BF12" s="1557"/>
      <c r="BG12" s="1557"/>
      <c r="BH12" s="1557"/>
      <c r="BI12" s="1557"/>
      <c r="BJ12" s="1557"/>
      <c r="BK12" s="1557"/>
      <c r="BL12" s="1557"/>
      <c r="BM12" s="1557"/>
      <c r="BN12" s="1557"/>
    </row>
    <row r="13" spans="1:66" ht="56.25" customHeight="1">
      <c r="A13" s="1377"/>
      <c r="B13" s="1375"/>
      <c r="C13" s="1377"/>
      <c r="D13" s="1375"/>
      <c r="E13" s="1367"/>
      <c r="F13" s="1367"/>
      <c r="G13" s="1367"/>
      <c r="H13" s="1367"/>
      <c r="I13" s="365"/>
      <c r="J13" s="1577"/>
      <c r="K13" s="666">
        <v>1</v>
      </c>
      <c r="L13" s="658" t="s">
        <v>666</v>
      </c>
      <c r="M13" s="657" t="s">
        <v>667</v>
      </c>
      <c r="N13" s="367"/>
      <c r="O13" s="657"/>
      <c r="P13" s="657"/>
      <c r="Q13" s="657" t="s">
        <v>668</v>
      </c>
      <c r="R13" s="1460"/>
      <c r="S13" s="1460"/>
      <c r="T13" s="1460"/>
      <c r="U13" s="1460"/>
      <c r="V13" s="1460"/>
      <c r="W13" s="374" t="s">
        <v>647</v>
      </c>
      <c r="X13" s="1559"/>
      <c r="Y13" s="1557"/>
      <c r="Z13" s="1557"/>
      <c r="AA13" s="1557"/>
      <c r="AB13" s="1557"/>
      <c r="AC13" s="1557"/>
      <c r="AD13" s="1557"/>
      <c r="AE13" s="1557"/>
      <c r="AF13" s="1557"/>
      <c r="AG13" s="1557"/>
      <c r="AH13" s="1557"/>
      <c r="AI13" s="1557"/>
      <c r="AJ13" s="1557"/>
      <c r="AK13" s="1363"/>
      <c r="AL13" s="1557"/>
      <c r="AM13" s="1557"/>
      <c r="AN13" s="1557"/>
      <c r="AO13" s="1363"/>
      <c r="AP13" s="1557"/>
      <c r="AQ13" s="1557"/>
      <c r="AR13" s="1557"/>
      <c r="AS13" s="1557"/>
      <c r="AT13" s="1557"/>
      <c r="AU13" s="1557"/>
      <c r="AV13" s="1557"/>
      <c r="AW13" s="1557"/>
      <c r="AX13" s="1557"/>
      <c r="AY13" s="1557"/>
      <c r="AZ13" s="1557"/>
      <c r="BA13" s="1363"/>
      <c r="BB13" s="1557"/>
      <c r="BC13" s="1557"/>
      <c r="BD13" s="1557"/>
      <c r="BE13" s="1557"/>
      <c r="BF13" s="1557"/>
      <c r="BG13" s="1557"/>
      <c r="BH13" s="1557"/>
      <c r="BI13" s="1557"/>
      <c r="BJ13" s="1557"/>
      <c r="BK13" s="1557"/>
      <c r="BL13" s="1557"/>
      <c r="BM13" s="1557"/>
      <c r="BN13" s="1557"/>
    </row>
    <row r="14" spans="1:66" ht="125.25" customHeight="1">
      <c r="A14" s="1377"/>
      <c r="B14" s="1375"/>
      <c r="C14" s="1377"/>
      <c r="D14" s="1375"/>
      <c r="E14" s="1367"/>
      <c r="F14" s="1367"/>
      <c r="G14" s="1367"/>
      <c r="H14" s="1367"/>
      <c r="I14" s="365"/>
      <c r="J14" s="1466"/>
      <c r="K14" s="666">
        <v>1</v>
      </c>
      <c r="L14" s="658" t="s">
        <v>669</v>
      </c>
      <c r="M14" s="657" t="s">
        <v>670</v>
      </c>
      <c r="N14" s="367"/>
      <c r="O14" s="662">
        <v>0.5</v>
      </c>
      <c r="P14" s="366">
        <v>0.5</v>
      </c>
      <c r="Q14" s="367"/>
      <c r="R14" s="1460"/>
      <c r="S14" s="1460"/>
      <c r="T14" s="1460"/>
      <c r="U14" s="1460"/>
      <c r="V14" s="1460"/>
      <c r="W14" s="374" t="s">
        <v>647</v>
      </c>
      <c r="X14" s="1566" t="s">
        <v>1506</v>
      </c>
      <c r="Y14" s="1561"/>
      <c r="Z14" s="1561"/>
      <c r="AA14" s="1561"/>
      <c r="AB14" s="1561"/>
      <c r="AC14" s="1561"/>
      <c r="AD14" s="1561"/>
      <c r="AE14" s="1561"/>
      <c r="AF14" s="1561"/>
      <c r="AG14" s="1561"/>
      <c r="AH14" s="1561"/>
      <c r="AI14" s="1561"/>
      <c r="AJ14" s="1561"/>
      <c r="AK14" s="1445"/>
      <c r="AL14" s="1561"/>
      <c r="AM14" s="1561">
        <v>0</v>
      </c>
      <c r="AN14" s="1561"/>
      <c r="AO14" s="1445"/>
      <c r="AP14" s="1561"/>
      <c r="AQ14" s="1561"/>
      <c r="AR14" s="1561"/>
      <c r="AS14" s="1561"/>
      <c r="AT14" s="1561"/>
      <c r="AU14" s="1561"/>
      <c r="AV14" s="1561"/>
      <c r="AW14" s="1561"/>
      <c r="AX14" s="1561"/>
      <c r="AY14" s="1561"/>
      <c r="AZ14" s="1561"/>
      <c r="BA14" s="1445"/>
      <c r="BB14" s="1561"/>
      <c r="BC14" s="1561"/>
      <c r="BD14" s="1561"/>
      <c r="BE14" s="1561"/>
      <c r="BF14" s="1561"/>
      <c r="BG14" s="1561"/>
      <c r="BH14" s="1561"/>
      <c r="BI14" s="1561"/>
      <c r="BJ14" s="1561"/>
      <c r="BK14" s="1561"/>
      <c r="BL14" s="1561"/>
      <c r="BM14" s="1561"/>
      <c r="BN14" s="1561">
        <f t="shared" si="2"/>
        <v>0</v>
      </c>
    </row>
    <row r="15" spans="1:66" ht="62.25" customHeight="1">
      <c r="A15" s="1377"/>
      <c r="B15" s="1375"/>
      <c r="C15" s="1377"/>
      <c r="D15" s="1375"/>
      <c r="E15" s="1367"/>
      <c r="F15" s="1367"/>
      <c r="G15" s="1367"/>
      <c r="H15" s="1367"/>
      <c r="I15" s="365"/>
      <c r="J15" s="1467"/>
      <c r="K15" s="666">
        <v>1</v>
      </c>
      <c r="L15" s="658" t="s">
        <v>671</v>
      </c>
      <c r="M15" s="657" t="s">
        <v>672</v>
      </c>
      <c r="N15" s="367"/>
      <c r="O15" s="366">
        <v>0.5</v>
      </c>
      <c r="P15" s="366">
        <v>0.5</v>
      </c>
      <c r="Q15" s="657"/>
      <c r="R15" s="1460"/>
      <c r="S15" s="1460"/>
      <c r="T15" s="1460"/>
      <c r="U15" s="1460"/>
      <c r="V15" s="1460"/>
      <c r="W15" s="374" t="s">
        <v>647</v>
      </c>
      <c r="X15" s="1566"/>
      <c r="Y15" s="1561"/>
      <c r="Z15" s="1561"/>
      <c r="AA15" s="1561"/>
      <c r="AB15" s="1561"/>
      <c r="AC15" s="1561"/>
      <c r="AD15" s="1561"/>
      <c r="AE15" s="1561"/>
      <c r="AF15" s="1561"/>
      <c r="AG15" s="1561"/>
      <c r="AH15" s="1561"/>
      <c r="AI15" s="1561"/>
      <c r="AJ15" s="1561"/>
      <c r="AK15" s="1446"/>
      <c r="AL15" s="1561"/>
      <c r="AM15" s="1561"/>
      <c r="AN15" s="1561"/>
      <c r="AO15" s="1446"/>
      <c r="AP15" s="1561"/>
      <c r="AQ15" s="1561"/>
      <c r="AR15" s="1561"/>
      <c r="AS15" s="1561"/>
      <c r="AT15" s="1561"/>
      <c r="AU15" s="1561"/>
      <c r="AV15" s="1561"/>
      <c r="AW15" s="1561"/>
      <c r="AX15" s="1561"/>
      <c r="AY15" s="1561"/>
      <c r="AZ15" s="1561"/>
      <c r="BA15" s="1446"/>
      <c r="BB15" s="1561"/>
      <c r="BC15" s="1561"/>
      <c r="BD15" s="1561"/>
      <c r="BE15" s="1561"/>
      <c r="BF15" s="1561"/>
      <c r="BG15" s="1561"/>
      <c r="BH15" s="1561"/>
      <c r="BI15" s="1561"/>
      <c r="BJ15" s="1561"/>
      <c r="BK15" s="1561"/>
      <c r="BL15" s="1561"/>
      <c r="BM15" s="1561"/>
      <c r="BN15" s="1561">
        <f t="shared" si="2"/>
        <v>0</v>
      </c>
    </row>
    <row r="16" spans="1:66" ht="139.5" customHeight="1">
      <c r="A16" s="1377"/>
      <c r="B16" s="1375"/>
      <c r="C16" s="1377"/>
      <c r="D16" s="1375"/>
      <c r="E16" s="1367"/>
      <c r="F16" s="1367"/>
      <c r="G16" s="1367"/>
      <c r="H16" s="1367"/>
      <c r="I16" s="365"/>
      <c r="J16" s="1467"/>
      <c r="K16" s="666">
        <v>1</v>
      </c>
      <c r="L16" s="658" t="s">
        <v>673</v>
      </c>
      <c r="M16" s="657" t="s">
        <v>674</v>
      </c>
      <c r="N16" s="367"/>
      <c r="O16" s="367">
        <v>1</v>
      </c>
      <c r="P16" s="657"/>
      <c r="Q16" s="367"/>
      <c r="R16" s="1460"/>
      <c r="S16" s="1460"/>
      <c r="T16" s="1460"/>
      <c r="U16" s="1460"/>
      <c r="V16" s="1460"/>
      <c r="W16" s="374" t="s">
        <v>647</v>
      </c>
      <c r="X16" s="1566"/>
      <c r="Y16" s="1561"/>
      <c r="Z16" s="1561"/>
      <c r="AA16" s="1561"/>
      <c r="AB16" s="1561"/>
      <c r="AC16" s="1561"/>
      <c r="AD16" s="1561"/>
      <c r="AE16" s="1561"/>
      <c r="AF16" s="1561"/>
      <c r="AG16" s="1561"/>
      <c r="AH16" s="1561"/>
      <c r="AI16" s="1561"/>
      <c r="AJ16" s="1561"/>
      <c r="AK16" s="1446"/>
      <c r="AL16" s="1561"/>
      <c r="AM16" s="1561"/>
      <c r="AN16" s="1561"/>
      <c r="AO16" s="1446"/>
      <c r="AP16" s="1561"/>
      <c r="AQ16" s="1561"/>
      <c r="AR16" s="1561"/>
      <c r="AS16" s="1561"/>
      <c r="AT16" s="1561"/>
      <c r="AU16" s="1561"/>
      <c r="AV16" s="1561"/>
      <c r="AW16" s="1561"/>
      <c r="AX16" s="1561"/>
      <c r="AY16" s="1561"/>
      <c r="AZ16" s="1561"/>
      <c r="BA16" s="1446"/>
      <c r="BB16" s="1561"/>
      <c r="BC16" s="1561"/>
      <c r="BD16" s="1561"/>
      <c r="BE16" s="1561"/>
      <c r="BF16" s="1561"/>
      <c r="BG16" s="1561"/>
      <c r="BH16" s="1561"/>
      <c r="BI16" s="1561"/>
      <c r="BJ16" s="1561"/>
      <c r="BK16" s="1561"/>
      <c r="BL16" s="1561"/>
      <c r="BM16" s="1561"/>
      <c r="BN16" s="1561">
        <f t="shared" si="2"/>
        <v>0</v>
      </c>
    </row>
    <row r="17" spans="1:66" ht="84.75" customHeight="1">
      <c r="A17" s="1377"/>
      <c r="B17" s="1375"/>
      <c r="C17" s="1377"/>
      <c r="D17" s="1375"/>
      <c r="E17" s="1367" t="s">
        <v>675</v>
      </c>
      <c r="F17" s="1367" t="s">
        <v>676</v>
      </c>
      <c r="G17" s="1452">
        <v>0.34</v>
      </c>
      <c r="H17" s="1452">
        <v>0.32</v>
      </c>
      <c r="I17" s="365"/>
      <c r="J17" s="1467"/>
      <c r="K17" s="666">
        <v>1</v>
      </c>
      <c r="L17" s="658" t="s">
        <v>677</v>
      </c>
      <c r="M17" s="657" t="s">
        <v>678</v>
      </c>
      <c r="N17" s="367"/>
      <c r="O17" s="367" t="s">
        <v>679</v>
      </c>
      <c r="P17" s="657" t="s">
        <v>679</v>
      </c>
      <c r="Q17" s="662">
        <v>0.01</v>
      </c>
      <c r="R17" s="1460"/>
      <c r="S17" s="1460"/>
      <c r="T17" s="1460"/>
      <c r="U17" s="1460"/>
      <c r="V17" s="1460"/>
      <c r="W17" s="374" t="s">
        <v>647</v>
      </c>
      <c r="X17" s="1566"/>
      <c r="Y17" s="1561"/>
      <c r="Z17" s="1561"/>
      <c r="AA17" s="1561"/>
      <c r="AB17" s="1561"/>
      <c r="AC17" s="1561"/>
      <c r="AD17" s="1561"/>
      <c r="AE17" s="1561"/>
      <c r="AF17" s="1561"/>
      <c r="AG17" s="1561"/>
      <c r="AH17" s="1561"/>
      <c r="AI17" s="1561"/>
      <c r="AJ17" s="1561"/>
      <c r="AK17" s="1446"/>
      <c r="AL17" s="1561"/>
      <c r="AM17" s="1561"/>
      <c r="AN17" s="1561"/>
      <c r="AO17" s="1446"/>
      <c r="AP17" s="1561"/>
      <c r="AQ17" s="1561"/>
      <c r="AR17" s="1561"/>
      <c r="AS17" s="1561"/>
      <c r="AT17" s="1561"/>
      <c r="AU17" s="1561"/>
      <c r="AV17" s="1561"/>
      <c r="AW17" s="1561"/>
      <c r="AX17" s="1561"/>
      <c r="AY17" s="1561"/>
      <c r="AZ17" s="1561"/>
      <c r="BA17" s="1446"/>
      <c r="BB17" s="1561"/>
      <c r="BC17" s="1561"/>
      <c r="BD17" s="1561"/>
      <c r="BE17" s="1561"/>
      <c r="BF17" s="1561"/>
      <c r="BG17" s="1561"/>
      <c r="BH17" s="1561"/>
      <c r="BI17" s="1561"/>
      <c r="BJ17" s="1561"/>
      <c r="BK17" s="1561"/>
      <c r="BL17" s="1561"/>
      <c r="BM17" s="1561"/>
      <c r="BN17" s="1561">
        <f t="shared" si="2"/>
        <v>0</v>
      </c>
    </row>
    <row r="18" spans="1:66" ht="94.5" customHeight="1">
      <c r="A18" s="1377"/>
      <c r="B18" s="1375"/>
      <c r="C18" s="1377"/>
      <c r="D18" s="1375"/>
      <c r="E18" s="1367"/>
      <c r="F18" s="1367"/>
      <c r="G18" s="1367"/>
      <c r="H18" s="1367"/>
      <c r="I18" s="365"/>
      <c r="J18" s="1467"/>
      <c r="K18" s="666">
        <v>1</v>
      </c>
      <c r="L18" s="658" t="s">
        <v>680</v>
      </c>
      <c r="M18" s="657" t="s">
        <v>681</v>
      </c>
      <c r="N18" s="657">
        <v>200</v>
      </c>
      <c r="O18" s="657">
        <v>200</v>
      </c>
      <c r="P18" s="657">
        <v>200</v>
      </c>
      <c r="Q18" s="657">
        <v>200</v>
      </c>
      <c r="R18" s="1460"/>
      <c r="S18" s="1460"/>
      <c r="T18" s="1460"/>
      <c r="U18" s="1460"/>
      <c r="V18" s="1460"/>
      <c r="W18" s="374" t="s">
        <v>647</v>
      </c>
      <c r="X18" s="1566"/>
      <c r="Y18" s="1561"/>
      <c r="Z18" s="1561"/>
      <c r="AA18" s="1561"/>
      <c r="AB18" s="1561"/>
      <c r="AC18" s="1561"/>
      <c r="AD18" s="1561"/>
      <c r="AE18" s="1561"/>
      <c r="AF18" s="1561"/>
      <c r="AG18" s="1561"/>
      <c r="AH18" s="1561"/>
      <c r="AI18" s="1561"/>
      <c r="AJ18" s="1561"/>
      <c r="AK18" s="1446"/>
      <c r="AL18" s="1561"/>
      <c r="AM18" s="1561"/>
      <c r="AN18" s="1561"/>
      <c r="AO18" s="1446"/>
      <c r="AP18" s="1561"/>
      <c r="AQ18" s="1561"/>
      <c r="AR18" s="1561"/>
      <c r="AS18" s="1561"/>
      <c r="AT18" s="1561"/>
      <c r="AU18" s="1561"/>
      <c r="AV18" s="1561"/>
      <c r="AW18" s="1561"/>
      <c r="AX18" s="1561"/>
      <c r="AY18" s="1561"/>
      <c r="AZ18" s="1561"/>
      <c r="BA18" s="1446"/>
      <c r="BB18" s="1561"/>
      <c r="BC18" s="1561"/>
      <c r="BD18" s="1561"/>
      <c r="BE18" s="1561"/>
      <c r="BF18" s="1561"/>
      <c r="BG18" s="1561"/>
      <c r="BH18" s="1561"/>
      <c r="BI18" s="1561"/>
      <c r="BJ18" s="1561"/>
      <c r="BK18" s="1561"/>
      <c r="BL18" s="1561"/>
      <c r="BM18" s="1561"/>
      <c r="BN18" s="1561">
        <f t="shared" si="2"/>
        <v>0</v>
      </c>
    </row>
    <row r="19" spans="1:66" ht="105.75" customHeight="1">
      <c r="A19" s="1377"/>
      <c r="B19" s="1375"/>
      <c r="C19" s="1377"/>
      <c r="D19" s="1375"/>
      <c r="E19" s="1367"/>
      <c r="F19" s="1367"/>
      <c r="G19" s="1367"/>
      <c r="H19" s="1367"/>
      <c r="I19" s="365"/>
      <c r="J19" s="1467"/>
      <c r="K19" s="666">
        <v>1</v>
      </c>
      <c r="L19" s="658" t="s">
        <v>682</v>
      </c>
      <c r="M19" s="657" t="s">
        <v>683</v>
      </c>
      <c r="N19" s="367"/>
      <c r="O19" s="366">
        <v>0.5</v>
      </c>
      <c r="P19" s="366">
        <v>0.5</v>
      </c>
      <c r="Q19" s="367"/>
      <c r="R19" s="1460"/>
      <c r="S19" s="1460"/>
      <c r="T19" s="1460"/>
      <c r="U19" s="1460"/>
      <c r="V19" s="1460"/>
      <c r="W19" s="374" t="s">
        <v>647</v>
      </c>
      <c r="X19" s="1566"/>
      <c r="Y19" s="1561"/>
      <c r="Z19" s="1561"/>
      <c r="AA19" s="1561"/>
      <c r="AB19" s="1561"/>
      <c r="AC19" s="1561"/>
      <c r="AD19" s="1561"/>
      <c r="AE19" s="1561"/>
      <c r="AF19" s="1561"/>
      <c r="AG19" s="1561"/>
      <c r="AH19" s="1561"/>
      <c r="AI19" s="1561"/>
      <c r="AJ19" s="1561"/>
      <c r="AK19" s="1446"/>
      <c r="AL19" s="1561"/>
      <c r="AM19" s="1561"/>
      <c r="AN19" s="1561"/>
      <c r="AO19" s="1446"/>
      <c r="AP19" s="1561"/>
      <c r="AQ19" s="1561"/>
      <c r="AR19" s="1561"/>
      <c r="AS19" s="1561"/>
      <c r="AT19" s="1561"/>
      <c r="AU19" s="1561"/>
      <c r="AV19" s="1561"/>
      <c r="AW19" s="1561"/>
      <c r="AX19" s="1561"/>
      <c r="AY19" s="1561"/>
      <c r="AZ19" s="1561"/>
      <c r="BA19" s="1446"/>
      <c r="BB19" s="1561"/>
      <c r="BC19" s="1561"/>
      <c r="BD19" s="1561"/>
      <c r="BE19" s="1561"/>
      <c r="BF19" s="1561"/>
      <c r="BG19" s="1561"/>
      <c r="BH19" s="1561"/>
      <c r="BI19" s="1561"/>
      <c r="BJ19" s="1561"/>
      <c r="BK19" s="1561"/>
      <c r="BL19" s="1561"/>
      <c r="BM19" s="1561"/>
      <c r="BN19" s="1561">
        <f t="shared" si="2"/>
        <v>0</v>
      </c>
    </row>
    <row r="20" spans="1:66" ht="149.25" customHeight="1">
      <c r="A20" s="1377"/>
      <c r="B20" s="1375"/>
      <c r="C20" s="1377"/>
      <c r="D20" s="1375"/>
      <c r="E20" s="1367"/>
      <c r="F20" s="1367"/>
      <c r="G20" s="1367"/>
      <c r="H20" s="1367"/>
      <c r="I20" s="365"/>
      <c r="J20" s="1467"/>
      <c r="K20" s="666">
        <v>10</v>
      </c>
      <c r="L20" s="658" t="s">
        <v>684</v>
      </c>
      <c r="M20" s="657" t="s">
        <v>685</v>
      </c>
      <c r="N20" s="367"/>
      <c r="O20" s="662">
        <v>0.5</v>
      </c>
      <c r="P20" s="662">
        <v>0.5</v>
      </c>
      <c r="Q20" s="367"/>
      <c r="R20" s="1460"/>
      <c r="S20" s="1460"/>
      <c r="T20" s="1460"/>
      <c r="U20" s="1460"/>
      <c r="V20" s="1460"/>
      <c r="W20" s="374" t="s">
        <v>647</v>
      </c>
      <c r="X20" s="1566"/>
      <c r="Y20" s="1561"/>
      <c r="Z20" s="1561"/>
      <c r="AA20" s="1561"/>
      <c r="AB20" s="1561"/>
      <c r="AC20" s="1561"/>
      <c r="AD20" s="1561"/>
      <c r="AE20" s="1561"/>
      <c r="AF20" s="1561"/>
      <c r="AG20" s="1561"/>
      <c r="AH20" s="1561"/>
      <c r="AI20" s="1561"/>
      <c r="AJ20" s="1561"/>
      <c r="AK20" s="1446"/>
      <c r="AL20" s="1561"/>
      <c r="AM20" s="1561"/>
      <c r="AN20" s="1561"/>
      <c r="AO20" s="1446"/>
      <c r="AP20" s="1561"/>
      <c r="AQ20" s="1561"/>
      <c r="AR20" s="1561"/>
      <c r="AS20" s="1561"/>
      <c r="AT20" s="1561"/>
      <c r="AU20" s="1561"/>
      <c r="AV20" s="1561"/>
      <c r="AW20" s="1561"/>
      <c r="AX20" s="1561"/>
      <c r="AY20" s="1561"/>
      <c r="AZ20" s="1561"/>
      <c r="BA20" s="1446"/>
      <c r="BB20" s="1561"/>
      <c r="BC20" s="1561"/>
      <c r="BD20" s="1561"/>
      <c r="BE20" s="1561"/>
      <c r="BF20" s="1561"/>
      <c r="BG20" s="1561"/>
      <c r="BH20" s="1561"/>
      <c r="BI20" s="1561"/>
      <c r="BJ20" s="1561"/>
      <c r="BK20" s="1561"/>
      <c r="BL20" s="1561"/>
      <c r="BM20" s="1561"/>
      <c r="BN20" s="1561">
        <f t="shared" si="2"/>
        <v>0</v>
      </c>
    </row>
    <row r="21" spans="1:66" ht="94.5" customHeight="1">
      <c r="A21" s="1377"/>
      <c r="B21" s="1375"/>
      <c r="C21" s="1377"/>
      <c r="D21" s="1375"/>
      <c r="E21" s="1367" t="s">
        <v>686</v>
      </c>
      <c r="F21" s="1367" t="s">
        <v>687</v>
      </c>
      <c r="G21" s="1452">
        <v>0</v>
      </c>
      <c r="H21" s="1367" t="s">
        <v>688</v>
      </c>
      <c r="I21" s="365"/>
      <c r="J21" s="1467"/>
      <c r="K21" s="666">
        <v>12</v>
      </c>
      <c r="L21" s="658" t="s">
        <v>689</v>
      </c>
      <c r="M21" s="657" t="s">
        <v>690</v>
      </c>
      <c r="N21" s="657" t="s">
        <v>691</v>
      </c>
      <c r="O21" s="657" t="s">
        <v>692</v>
      </c>
      <c r="P21" s="657" t="s">
        <v>693</v>
      </c>
      <c r="Q21" s="657" t="s">
        <v>694</v>
      </c>
      <c r="R21" s="1460"/>
      <c r="S21" s="1460"/>
      <c r="T21" s="1460"/>
      <c r="U21" s="1460"/>
      <c r="V21" s="1460"/>
      <c r="W21" s="374" t="s">
        <v>647</v>
      </c>
      <c r="X21" s="1566"/>
      <c r="Y21" s="1561"/>
      <c r="Z21" s="1561"/>
      <c r="AA21" s="1561"/>
      <c r="AB21" s="1561"/>
      <c r="AC21" s="1561"/>
      <c r="AD21" s="1561"/>
      <c r="AE21" s="1561"/>
      <c r="AF21" s="1561"/>
      <c r="AG21" s="1561"/>
      <c r="AH21" s="1561"/>
      <c r="AI21" s="1561"/>
      <c r="AJ21" s="1561"/>
      <c r="AK21" s="1446"/>
      <c r="AL21" s="1561"/>
      <c r="AM21" s="1561"/>
      <c r="AN21" s="1561"/>
      <c r="AO21" s="1446"/>
      <c r="AP21" s="1561"/>
      <c r="AQ21" s="1561"/>
      <c r="AR21" s="1561"/>
      <c r="AS21" s="1561"/>
      <c r="AT21" s="1561"/>
      <c r="AU21" s="1561"/>
      <c r="AV21" s="1561"/>
      <c r="AW21" s="1561"/>
      <c r="AX21" s="1561"/>
      <c r="AY21" s="1561"/>
      <c r="AZ21" s="1561"/>
      <c r="BA21" s="1446"/>
      <c r="BB21" s="1561"/>
      <c r="BC21" s="1561"/>
      <c r="BD21" s="1561"/>
      <c r="BE21" s="1561"/>
      <c r="BF21" s="1561"/>
      <c r="BG21" s="1561"/>
      <c r="BH21" s="1561"/>
      <c r="BI21" s="1561"/>
      <c r="BJ21" s="1561"/>
      <c r="BK21" s="1561"/>
      <c r="BL21" s="1561"/>
      <c r="BM21" s="1561"/>
      <c r="BN21" s="1561">
        <f t="shared" si="2"/>
        <v>0</v>
      </c>
    </row>
    <row r="22" spans="1:66" ht="107.25" customHeight="1">
      <c r="A22" s="1377"/>
      <c r="B22" s="1375"/>
      <c r="C22" s="1377"/>
      <c r="D22" s="1375"/>
      <c r="E22" s="1367"/>
      <c r="F22" s="1367"/>
      <c r="G22" s="1367"/>
      <c r="H22" s="1367"/>
      <c r="I22" s="365"/>
      <c r="J22" s="1467"/>
      <c r="K22" s="666">
        <v>1</v>
      </c>
      <c r="L22" s="658" t="s">
        <v>695</v>
      </c>
      <c r="M22" s="657" t="s">
        <v>696</v>
      </c>
      <c r="N22" s="662">
        <v>1</v>
      </c>
      <c r="O22" s="662">
        <v>1</v>
      </c>
      <c r="P22" s="662">
        <v>1</v>
      </c>
      <c r="Q22" s="662">
        <v>1</v>
      </c>
      <c r="R22" s="1460"/>
      <c r="S22" s="1460"/>
      <c r="T22" s="1460"/>
      <c r="U22" s="1460"/>
      <c r="V22" s="1460"/>
      <c r="W22" s="374" t="s">
        <v>647</v>
      </c>
      <c r="X22" s="1566"/>
      <c r="Y22" s="1561"/>
      <c r="Z22" s="1561"/>
      <c r="AA22" s="1561"/>
      <c r="AB22" s="1561"/>
      <c r="AC22" s="1561"/>
      <c r="AD22" s="1561"/>
      <c r="AE22" s="1561"/>
      <c r="AF22" s="1561"/>
      <c r="AG22" s="1561"/>
      <c r="AH22" s="1561"/>
      <c r="AI22" s="1561"/>
      <c r="AJ22" s="1561"/>
      <c r="AK22" s="1446"/>
      <c r="AL22" s="1561"/>
      <c r="AM22" s="1561"/>
      <c r="AN22" s="1561"/>
      <c r="AO22" s="1446"/>
      <c r="AP22" s="1561"/>
      <c r="AQ22" s="1561"/>
      <c r="AR22" s="1561"/>
      <c r="AS22" s="1561"/>
      <c r="AT22" s="1561"/>
      <c r="AU22" s="1561"/>
      <c r="AV22" s="1561"/>
      <c r="AW22" s="1561"/>
      <c r="AX22" s="1561"/>
      <c r="AY22" s="1561"/>
      <c r="AZ22" s="1561"/>
      <c r="BA22" s="1446"/>
      <c r="BB22" s="1561"/>
      <c r="BC22" s="1561"/>
      <c r="BD22" s="1561"/>
      <c r="BE22" s="1561"/>
      <c r="BF22" s="1561"/>
      <c r="BG22" s="1561"/>
      <c r="BH22" s="1561"/>
      <c r="BI22" s="1561"/>
      <c r="BJ22" s="1561"/>
      <c r="BK22" s="1561"/>
      <c r="BL22" s="1561"/>
      <c r="BM22" s="1561"/>
      <c r="BN22" s="1561">
        <f t="shared" si="2"/>
        <v>0</v>
      </c>
    </row>
    <row r="23" spans="1:66" ht="129" customHeight="1">
      <c r="A23" s="1377"/>
      <c r="B23" s="1375"/>
      <c r="C23" s="1377"/>
      <c r="D23" s="1375"/>
      <c r="E23" s="1367"/>
      <c r="F23" s="1367"/>
      <c r="G23" s="1367"/>
      <c r="H23" s="1367"/>
      <c r="I23" s="365"/>
      <c r="J23" s="1467"/>
      <c r="K23" s="666">
        <v>1</v>
      </c>
      <c r="L23" s="658" t="s">
        <v>697</v>
      </c>
      <c r="M23" s="657" t="s">
        <v>698</v>
      </c>
      <c r="N23" s="662">
        <v>1</v>
      </c>
      <c r="O23" s="662">
        <v>1</v>
      </c>
      <c r="P23" s="662">
        <v>1</v>
      </c>
      <c r="Q23" s="662">
        <v>1</v>
      </c>
      <c r="R23" s="1460"/>
      <c r="S23" s="1460"/>
      <c r="T23" s="1460"/>
      <c r="U23" s="1460"/>
      <c r="V23" s="1460"/>
      <c r="W23" s="374" t="s">
        <v>647</v>
      </c>
      <c r="X23" s="1566"/>
      <c r="Y23" s="1561"/>
      <c r="Z23" s="1561"/>
      <c r="AA23" s="1561"/>
      <c r="AB23" s="1561"/>
      <c r="AC23" s="1561"/>
      <c r="AD23" s="1561"/>
      <c r="AE23" s="1561"/>
      <c r="AF23" s="1561"/>
      <c r="AG23" s="1561"/>
      <c r="AH23" s="1561"/>
      <c r="AI23" s="1561"/>
      <c r="AJ23" s="1561"/>
      <c r="AK23" s="1446"/>
      <c r="AL23" s="1561"/>
      <c r="AM23" s="1561"/>
      <c r="AN23" s="1561"/>
      <c r="AO23" s="1446"/>
      <c r="AP23" s="1561"/>
      <c r="AQ23" s="1561"/>
      <c r="AR23" s="1561"/>
      <c r="AS23" s="1561"/>
      <c r="AT23" s="1561"/>
      <c r="AU23" s="1561"/>
      <c r="AV23" s="1561"/>
      <c r="AW23" s="1561"/>
      <c r="AX23" s="1561"/>
      <c r="AY23" s="1561"/>
      <c r="AZ23" s="1561"/>
      <c r="BA23" s="1446"/>
      <c r="BB23" s="1561"/>
      <c r="BC23" s="1561"/>
      <c r="BD23" s="1561"/>
      <c r="BE23" s="1561"/>
      <c r="BF23" s="1561"/>
      <c r="BG23" s="1561"/>
      <c r="BH23" s="1561"/>
      <c r="BI23" s="1561"/>
      <c r="BJ23" s="1561"/>
      <c r="BK23" s="1561"/>
      <c r="BL23" s="1561"/>
      <c r="BM23" s="1561"/>
      <c r="BN23" s="1561">
        <f t="shared" si="2"/>
        <v>0</v>
      </c>
    </row>
    <row r="24" spans="1:66" ht="146.25" customHeight="1">
      <c r="A24" s="1377"/>
      <c r="B24" s="1375"/>
      <c r="C24" s="1377"/>
      <c r="D24" s="1375"/>
      <c r="E24" s="1367"/>
      <c r="F24" s="1367"/>
      <c r="G24" s="1367"/>
      <c r="H24" s="1367"/>
      <c r="I24" s="365"/>
      <c r="J24" s="1467"/>
      <c r="K24" s="666">
        <v>1</v>
      </c>
      <c r="L24" s="658" t="s">
        <v>699</v>
      </c>
      <c r="M24" s="657" t="s">
        <v>700</v>
      </c>
      <c r="N24" s="662">
        <v>1</v>
      </c>
      <c r="O24" s="662">
        <v>1</v>
      </c>
      <c r="P24" s="662">
        <v>1</v>
      </c>
      <c r="Q24" s="662">
        <v>1</v>
      </c>
      <c r="R24" s="1460"/>
      <c r="S24" s="1460"/>
      <c r="T24" s="1460"/>
      <c r="U24" s="1460"/>
      <c r="V24" s="1460"/>
      <c r="W24" s="374" t="s">
        <v>647</v>
      </c>
      <c r="X24" s="1566"/>
      <c r="Y24" s="1561"/>
      <c r="Z24" s="1561"/>
      <c r="AA24" s="1561"/>
      <c r="AB24" s="1561"/>
      <c r="AC24" s="1561"/>
      <c r="AD24" s="1561"/>
      <c r="AE24" s="1561"/>
      <c r="AF24" s="1561"/>
      <c r="AG24" s="1561"/>
      <c r="AH24" s="1561"/>
      <c r="AI24" s="1561"/>
      <c r="AJ24" s="1561"/>
      <c r="AK24" s="1446"/>
      <c r="AL24" s="1561"/>
      <c r="AM24" s="1561"/>
      <c r="AN24" s="1561"/>
      <c r="AO24" s="1446"/>
      <c r="AP24" s="1561"/>
      <c r="AQ24" s="1561"/>
      <c r="AR24" s="1561"/>
      <c r="AS24" s="1561"/>
      <c r="AT24" s="1561"/>
      <c r="AU24" s="1561"/>
      <c r="AV24" s="1561"/>
      <c r="AW24" s="1561"/>
      <c r="AX24" s="1561"/>
      <c r="AY24" s="1561"/>
      <c r="AZ24" s="1561"/>
      <c r="BA24" s="1446"/>
      <c r="BB24" s="1561"/>
      <c r="BC24" s="1561"/>
      <c r="BD24" s="1561"/>
      <c r="BE24" s="1561"/>
      <c r="BF24" s="1561"/>
      <c r="BG24" s="1561"/>
      <c r="BH24" s="1561"/>
      <c r="BI24" s="1561"/>
      <c r="BJ24" s="1561"/>
      <c r="BK24" s="1561"/>
      <c r="BL24" s="1561"/>
      <c r="BM24" s="1561"/>
      <c r="BN24" s="1561">
        <f t="shared" si="2"/>
        <v>0</v>
      </c>
    </row>
    <row r="25" spans="1:66" ht="157.5" customHeight="1">
      <c r="A25" s="1377"/>
      <c r="B25" s="1375"/>
      <c r="C25" s="1377"/>
      <c r="D25" s="1375"/>
      <c r="E25" s="1367"/>
      <c r="F25" s="1367"/>
      <c r="G25" s="1367"/>
      <c r="H25" s="1367"/>
      <c r="I25" s="365"/>
      <c r="J25" s="1467"/>
      <c r="K25" s="666">
        <v>1</v>
      </c>
      <c r="L25" s="658" t="s">
        <v>701</v>
      </c>
      <c r="M25" s="657" t="s">
        <v>702</v>
      </c>
      <c r="N25" s="657">
        <v>6</v>
      </c>
      <c r="O25" s="657">
        <v>6</v>
      </c>
      <c r="P25" s="657">
        <v>6</v>
      </c>
      <c r="Q25" s="657">
        <v>6</v>
      </c>
      <c r="R25" s="1460"/>
      <c r="S25" s="1460"/>
      <c r="T25" s="1460"/>
      <c r="U25" s="1460"/>
      <c r="V25" s="1460"/>
      <c r="W25" s="374" t="s">
        <v>647</v>
      </c>
      <c r="X25" s="1566"/>
      <c r="Y25" s="1561"/>
      <c r="Z25" s="1561"/>
      <c r="AA25" s="1561"/>
      <c r="AB25" s="1561"/>
      <c r="AC25" s="1561"/>
      <c r="AD25" s="1561"/>
      <c r="AE25" s="1561"/>
      <c r="AF25" s="1561"/>
      <c r="AG25" s="1561"/>
      <c r="AH25" s="1561"/>
      <c r="AI25" s="1561"/>
      <c r="AJ25" s="1561"/>
      <c r="AK25" s="1446"/>
      <c r="AL25" s="1561"/>
      <c r="AM25" s="1561"/>
      <c r="AN25" s="1561"/>
      <c r="AO25" s="1446"/>
      <c r="AP25" s="1561"/>
      <c r="AQ25" s="1561"/>
      <c r="AR25" s="1561"/>
      <c r="AS25" s="1561"/>
      <c r="AT25" s="1561"/>
      <c r="AU25" s="1561"/>
      <c r="AV25" s="1561"/>
      <c r="AW25" s="1561"/>
      <c r="AX25" s="1561"/>
      <c r="AY25" s="1561"/>
      <c r="AZ25" s="1561"/>
      <c r="BA25" s="1446"/>
      <c r="BB25" s="1561"/>
      <c r="BC25" s="1561"/>
      <c r="BD25" s="1561"/>
      <c r="BE25" s="1561"/>
      <c r="BF25" s="1561"/>
      <c r="BG25" s="1561"/>
      <c r="BH25" s="1561"/>
      <c r="BI25" s="1561"/>
      <c r="BJ25" s="1561"/>
      <c r="BK25" s="1561"/>
      <c r="BL25" s="1561"/>
      <c r="BM25" s="1561"/>
      <c r="BN25" s="1561">
        <f t="shared" si="2"/>
        <v>0</v>
      </c>
    </row>
    <row r="26" spans="1:66" ht="99.75" customHeight="1">
      <c r="A26" s="1377"/>
      <c r="B26" s="1375"/>
      <c r="C26" s="1377"/>
      <c r="D26" s="1375"/>
      <c r="E26" s="1367"/>
      <c r="F26" s="1367"/>
      <c r="G26" s="1367"/>
      <c r="H26" s="1367"/>
      <c r="I26" s="365"/>
      <c r="J26" s="1467"/>
      <c r="K26" s="666">
        <v>1</v>
      </c>
      <c r="L26" s="658" t="s">
        <v>703</v>
      </c>
      <c r="M26" s="657" t="s">
        <v>704</v>
      </c>
      <c r="N26" s="366">
        <v>1</v>
      </c>
      <c r="O26" s="366">
        <v>1</v>
      </c>
      <c r="P26" s="366">
        <v>1</v>
      </c>
      <c r="Q26" s="366">
        <v>1</v>
      </c>
      <c r="R26" s="1460"/>
      <c r="S26" s="1460"/>
      <c r="T26" s="1460"/>
      <c r="U26" s="1460"/>
      <c r="V26" s="1460"/>
      <c r="W26" s="374" t="s">
        <v>647</v>
      </c>
      <c r="X26" s="1566"/>
      <c r="Y26" s="1561"/>
      <c r="Z26" s="1561"/>
      <c r="AA26" s="1561"/>
      <c r="AB26" s="1561"/>
      <c r="AC26" s="1561"/>
      <c r="AD26" s="1561"/>
      <c r="AE26" s="1561"/>
      <c r="AF26" s="1561"/>
      <c r="AG26" s="1561"/>
      <c r="AH26" s="1561"/>
      <c r="AI26" s="1561"/>
      <c r="AJ26" s="1561"/>
      <c r="AK26" s="1446"/>
      <c r="AL26" s="1561"/>
      <c r="AM26" s="1561"/>
      <c r="AN26" s="1561"/>
      <c r="AO26" s="1446"/>
      <c r="AP26" s="1561"/>
      <c r="AQ26" s="1561"/>
      <c r="AR26" s="1561"/>
      <c r="AS26" s="1561"/>
      <c r="AT26" s="1561"/>
      <c r="AU26" s="1561"/>
      <c r="AV26" s="1561"/>
      <c r="AW26" s="1561"/>
      <c r="AX26" s="1561"/>
      <c r="AY26" s="1561"/>
      <c r="AZ26" s="1561"/>
      <c r="BA26" s="1446"/>
      <c r="BB26" s="1561"/>
      <c r="BC26" s="1561"/>
      <c r="BD26" s="1561"/>
      <c r="BE26" s="1561"/>
      <c r="BF26" s="1561"/>
      <c r="BG26" s="1561"/>
      <c r="BH26" s="1561"/>
      <c r="BI26" s="1561"/>
      <c r="BJ26" s="1561"/>
      <c r="BK26" s="1561"/>
      <c r="BL26" s="1561"/>
      <c r="BM26" s="1561"/>
      <c r="BN26" s="1561">
        <f t="shared" si="2"/>
        <v>0</v>
      </c>
    </row>
    <row r="27" spans="1:66" ht="156.75" customHeight="1">
      <c r="A27" s="1377"/>
      <c r="B27" s="1375"/>
      <c r="C27" s="1377"/>
      <c r="D27" s="1375"/>
      <c r="E27" s="1367"/>
      <c r="F27" s="1367"/>
      <c r="G27" s="1367"/>
      <c r="H27" s="1367"/>
      <c r="I27" s="365"/>
      <c r="J27" s="1467"/>
      <c r="K27" s="666">
        <v>1</v>
      </c>
      <c r="L27" s="658" t="s">
        <v>705</v>
      </c>
      <c r="M27" s="657" t="s">
        <v>706</v>
      </c>
      <c r="N27" s="367"/>
      <c r="O27" s="367">
        <v>1</v>
      </c>
      <c r="P27" s="657"/>
      <c r="Q27" s="367"/>
      <c r="R27" s="1460"/>
      <c r="S27" s="1460"/>
      <c r="T27" s="1460"/>
      <c r="U27" s="1460"/>
      <c r="V27" s="1460"/>
      <c r="W27" s="374" t="s">
        <v>647</v>
      </c>
      <c r="X27" s="1566"/>
      <c r="Y27" s="1561"/>
      <c r="Z27" s="1561"/>
      <c r="AA27" s="1561"/>
      <c r="AB27" s="1561"/>
      <c r="AC27" s="1561"/>
      <c r="AD27" s="1561"/>
      <c r="AE27" s="1561"/>
      <c r="AF27" s="1561"/>
      <c r="AG27" s="1561"/>
      <c r="AH27" s="1561"/>
      <c r="AI27" s="1561"/>
      <c r="AJ27" s="1561"/>
      <c r="AK27" s="1446"/>
      <c r="AL27" s="1561"/>
      <c r="AM27" s="1561"/>
      <c r="AN27" s="1561"/>
      <c r="AO27" s="1446"/>
      <c r="AP27" s="1561"/>
      <c r="AQ27" s="1561"/>
      <c r="AR27" s="1561"/>
      <c r="AS27" s="1561"/>
      <c r="AT27" s="1561"/>
      <c r="AU27" s="1561"/>
      <c r="AV27" s="1561"/>
      <c r="AW27" s="1561"/>
      <c r="AX27" s="1561"/>
      <c r="AY27" s="1561"/>
      <c r="AZ27" s="1561"/>
      <c r="BA27" s="1446"/>
      <c r="BB27" s="1561"/>
      <c r="BC27" s="1561"/>
      <c r="BD27" s="1561"/>
      <c r="BE27" s="1561"/>
      <c r="BF27" s="1561"/>
      <c r="BG27" s="1561"/>
      <c r="BH27" s="1561"/>
      <c r="BI27" s="1561"/>
      <c r="BJ27" s="1561"/>
      <c r="BK27" s="1561"/>
      <c r="BL27" s="1561"/>
      <c r="BM27" s="1561"/>
      <c r="BN27" s="1561">
        <f t="shared" si="2"/>
        <v>0</v>
      </c>
    </row>
    <row r="28" spans="1:66" ht="56.25" customHeight="1">
      <c r="A28" s="1377"/>
      <c r="B28" s="1375"/>
      <c r="C28" s="1377"/>
      <c r="D28" s="1375"/>
      <c r="E28" s="1367"/>
      <c r="F28" s="1367"/>
      <c r="G28" s="1367"/>
      <c r="H28" s="1367"/>
      <c r="I28" s="365"/>
      <c r="J28" s="1467"/>
      <c r="K28" s="666">
        <v>1</v>
      </c>
      <c r="L28" s="658" t="s">
        <v>707</v>
      </c>
      <c r="M28" s="657" t="s">
        <v>708</v>
      </c>
      <c r="N28" s="367"/>
      <c r="O28" s="367"/>
      <c r="P28" s="657" t="s">
        <v>709</v>
      </c>
      <c r="Q28" s="367"/>
      <c r="R28" s="1460"/>
      <c r="S28" s="1460"/>
      <c r="T28" s="1460"/>
      <c r="U28" s="1460"/>
      <c r="V28" s="1460"/>
      <c r="W28" s="374" t="s">
        <v>647</v>
      </c>
      <c r="X28" s="1566"/>
      <c r="Y28" s="1561"/>
      <c r="Z28" s="1561"/>
      <c r="AA28" s="1561"/>
      <c r="AB28" s="1561"/>
      <c r="AC28" s="1561"/>
      <c r="AD28" s="1561"/>
      <c r="AE28" s="1561"/>
      <c r="AF28" s="1561"/>
      <c r="AG28" s="1561"/>
      <c r="AH28" s="1561"/>
      <c r="AI28" s="1561"/>
      <c r="AJ28" s="1561"/>
      <c r="AK28" s="1446"/>
      <c r="AL28" s="1561"/>
      <c r="AM28" s="1561"/>
      <c r="AN28" s="1561"/>
      <c r="AO28" s="1446"/>
      <c r="AP28" s="1561"/>
      <c r="AQ28" s="1561"/>
      <c r="AR28" s="1561"/>
      <c r="AS28" s="1561"/>
      <c r="AT28" s="1561"/>
      <c r="AU28" s="1561"/>
      <c r="AV28" s="1561"/>
      <c r="AW28" s="1561"/>
      <c r="AX28" s="1561"/>
      <c r="AY28" s="1561"/>
      <c r="AZ28" s="1561"/>
      <c r="BA28" s="1446"/>
      <c r="BB28" s="1561"/>
      <c r="BC28" s="1561"/>
      <c r="BD28" s="1561"/>
      <c r="BE28" s="1561"/>
      <c r="BF28" s="1561"/>
      <c r="BG28" s="1561"/>
      <c r="BH28" s="1561"/>
      <c r="BI28" s="1561"/>
      <c r="BJ28" s="1561"/>
      <c r="BK28" s="1561"/>
      <c r="BL28" s="1561"/>
      <c r="BM28" s="1561"/>
      <c r="BN28" s="1561">
        <f t="shared" si="2"/>
        <v>0</v>
      </c>
    </row>
    <row r="29" spans="1:66" ht="102.75" customHeight="1">
      <c r="A29" s="1377"/>
      <c r="B29" s="1375"/>
      <c r="C29" s="1377"/>
      <c r="D29" s="1375"/>
      <c r="E29" s="1379" t="s">
        <v>710</v>
      </c>
      <c r="F29" s="1367" t="s">
        <v>711</v>
      </c>
      <c r="G29" s="1367" t="s">
        <v>654</v>
      </c>
      <c r="H29" s="1452">
        <v>1</v>
      </c>
      <c r="I29" s="365"/>
      <c r="J29" s="1468"/>
      <c r="K29" s="666">
        <v>1</v>
      </c>
      <c r="L29" s="658" t="s">
        <v>712</v>
      </c>
      <c r="M29" s="657" t="s">
        <v>713</v>
      </c>
      <c r="N29" s="367"/>
      <c r="O29" s="367"/>
      <c r="P29" s="367"/>
      <c r="Q29" s="657">
        <v>1</v>
      </c>
      <c r="R29" s="1460"/>
      <c r="S29" s="1460"/>
      <c r="T29" s="1460"/>
      <c r="U29" s="1460"/>
      <c r="V29" s="1460"/>
      <c r="W29" s="374" t="s">
        <v>647</v>
      </c>
      <c r="X29" s="1566"/>
      <c r="Y29" s="1561"/>
      <c r="Z29" s="1561"/>
      <c r="AA29" s="1561"/>
      <c r="AB29" s="1561"/>
      <c r="AC29" s="1561"/>
      <c r="AD29" s="1561"/>
      <c r="AE29" s="1561"/>
      <c r="AF29" s="1561"/>
      <c r="AG29" s="1561"/>
      <c r="AH29" s="1561"/>
      <c r="AI29" s="1561"/>
      <c r="AJ29" s="1561"/>
      <c r="AK29" s="1363"/>
      <c r="AL29" s="1561"/>
      <c r="AM29" s="1561"/>
      <c r="AN29" s="1561"/>
      <c r="AO29" s="1363"/>
      <c r="AP29" s="1561"/>
      <c r="AQ29" s="1561"/>
      <c r="AR29" s="1561"/>
      <c r="AS29" s="1561"/>
      <c r="AT29" s="1561"/>
      <c r="AU29" s="1561"/>
      <c r="AV29" s="1561"/>
      <c r="AW29" s="1561"/>
      <c r="AX29" s="1561"/>
      <c r="AY29" s="1561"/>
      <c r="AZ29" s="1561"/>
      <c r="BA29" s="1363"/>
      <c r="BB29" s="1561"/>
      <c r="BC29" s="1561"/>
      <c r="BD29" s="1561"/>
      <c r="BE29" s="1561"/>
      <c r="BF29" s="1561"/>
      <c r="BG29" s="1561"/>
      <c r="BH29" s="1561"/>
      <c r="BI29" s="1561"/>
      <c r="BJ29" s="1561"/>
      <c r="BK29" s="1561"/>
      <c r="BL29" s="1561"/>
      <c r="BM29" s="1561"/>
      <c r="BN29" s="1561">
        <f t="shared" si="2"/>
        <v>0</v>
      </c>
    </row>
    <row r="30" spans="1:66" ht="103.5" customHeight="1">
      <c r="A30" s="1377"/>
      <c r="B30" s="1375"/>
      <c r="C30" s="1377"/>
      <c r="D30" s="1375"/>
      <c r="E30" s="1379"/>
      <c r="F30" s="1367"/>
      <c r="G30" s="1367"/>
      <c r="H30" s="1367"/>
      <c r="I30" s="365"/>
      <c r="J30" s="365"/>
      <c r="K30" s="666">
        <v>20</v>
      </c>
      <c r="L30" s="658" t="s">
        <v>714</v>
      </c>
      <c r="M30" s="657" t="s">
        <v>715</v>
      </c>
      <c r="N30" s="367"/>
      <c r="O30" s="657">
        <v>3</v>
      </c>
      <c r="P30" s="657"/>
      <c r="Q30" s="657"/>
      <c r="R30" s="1460"/>
      <c r="S30" s="1460"/>
      <c r="T30" s="1460"/>
      <c r="U30" s="1460"/>
      <c r="V30" s="1460"/>
      <c r="W30" s="374" t="s">
        <v>647</v>
      </c>
      <c r="X30" s="443" t="s">
        <v>1507</v>
      </c>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f t="shared" si="2"/>
        <v>0</v>
      </c>
    </row>
    <row r="31" spans="1:66" ht="115.5" customHeight="1">
      <c r="A31" s="1377"/>
      <c r="B31" s="1375"/>
      <c r="C31" s="1378"/>
      <c r="D31" s="1375"/>
      <c r="E31" s="1379"/>
      <c r="F31" s="1367"/>
      <c r="G31" s="1367"/>
      <c r="H31" s="1367"/>
      <c r="I31" s="365"/>
      <c r="J31" s="365"/>
      <c r="K31" s="666">
        <v>2</v>
      </c>
      <c r="L31" s="658" t="s">
        <v>716</v>
      </c>
      <c r="M31" s="657" t="s">
        <v>717</v>
      </c>
      <c r="N31" s="367">
        <v>1</v>
      </c>
      <c r="O31" s="657"/>
      <c r="P31" s="367"/>
      <c r="Q31" s="367"/>
      <c r="R31" s="1460"/>
      <c r="S31" s="1460"/>
      <c r="T31" s="1460"/>
      <c r="U31" s="1460"/>
      <c r="V31" s="1460"/>
      <c r="W31" s="374" t="s">
        <v>647</v>
      </c>
      <c r="X31" s="443" t="s">
        <v>1505</v>
      </c>
      <c r="Y31" s="460"/>
      <c r="Z31" s="460"/>
      <c r="AA31" s="460"/>
      <c r="AB31" s="460"/>
      <c r="AC31" s="460"/>
      <c r="AD31" s="460"/>
      <c r="AE31" s="460"/>
      <c r="AF31" s="460"/>
      <c r="AG31" s="460"/>
      <c r="AH31" s="460"/>
      <c r="AI31" s="460"/>
      <c r="AJ31" s="460"/>
      <c r="AK31" s="460"/>
      <c r="AL31" s="460">
        <f>100000000-50000000</f>
        <v>50000000</v>
      </c>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f t="shared" si="2"/>
        <v>50000000</v>
      </c>
    </row>
    <row r="32" spans="1:68" ht="24" customHeight="1">
      <c r="A32" s="1377"/>
      <c r="B32" s="1375"/>
      <c r="C32" s="652"/>
      <c r="D32" s="1456" t="s">
        <v>1462</v>
      </c>
      <c r="E32" s="1457"/>
      <c r="F32" s="1457"/>
      <c r="G32" s="1457"/>
      <c r="H32" s="1457"/>
      <c r="I32" s="1457"/>
      <c r="J32" s="1457"/>
      <c r="K32" s="1457"/>
      <c r="L32" s="1457"/>
      <c r="M32" s="1457"/>
      <c r="N32" s="1457"/>
      <c r="O32" s="1457"/>
      <c r="P32" s="1457"/>
      <c r="Q32" s="1457"/>
      <c r="R32" s="1457"/>
      <c r="S32" s="1457"/>
      <c r="T32" s="1457"/>
      <c r="U32" s="1457"/>
      <c r="V32" s="1457"/>
      <c r="W32" s="1457"/>
      <c r="X32" s="1458"/>
      <c r="Y32" s="462">
        <f>SUM(Y7:Y31)</f>
        <v>2888786994</v>
      </c>
      <c r="Z32" s="462">
        <f aca="true" t="shared" si="3" ref="Z32:BM32">SUM(Z7:Z31)</f>
        <v>50000000</v>
      </c>
      <c r="AA32" s="462">
        <f t="shared" si="3"/>
        <v>291135708</v>
      </c>
      <c r="AB32" s="462">
        <f t="shared" si="3"/>
        <v>53175486</v>
      </c>
      <c r="AC32" s="462">
        <f t="shared" si="3"/>
        <v>1548410758</v>
      </c>
      <c r="AD32" s="462">
        <f t="shared" si="3"/>
        <v>0</v>
      </c>
      <c r="AE32" s="462">
        <f t="shared" si="3"/>
        <v>0</v>
      </c>
      <c r="AF32" s="462">
        <f t="shared" si="3"/>
        <v>0</v>
      </c>
      <c r="AG32" s="462">
        <f t="shared" si="3"/>
        <v>0</v>
      </c>
      <c r="AH32" s="462">
        <f t="shared" si="3"/>
        <v>0</v>
      </c>
      <c r="AI32" s="462">
        <f t="shared" si="3"/>
        <v>0</v>
      </c>
      <c r="AJ32" s="462">
        <f t="shared" si="3"/>
        <v>0</v>
      </c>
      <c r="AK32" s="462">
        <f t="shared" si="3"/>
        <v>0</v>
      </c>
      <c r="AL32" s="462">
        <f t="shared" si="3"/>
        <v>50000000</v>
      </c>
      <c r="AM32" s="462">
        <f t="shared" si="3"/>
        <v>0</v>
      </c>
      <c r="AN32" s="462">
        <f t="shared" si="3"/>
        <v>0</v>
      </c>
      <c r="AO32" s="462">
        <f t="shared" si="3"/>
        <v>0</v>
      </c>
      <c r="AP32" s="462">
        <f t="shared" si="3"/>
        <v>0</v>
      </c>
      <c r="AQ32" s="462">
        <f t="shared" si="3"/>
        <v>0</v>
      </c>
      <c r="AR32" s="462">
        <f t="shared" si="3"/>
        <v>0</v>
      </c>
      <c r="AS32" s="462">
        <f t="shared" si="3"/>
        <v>0</v>
      </c>
      <c r="AT32" s="462">
        <f t="shared" si="3"/>
        <v>0</v>
      </c>
      <c r="AU32" s="462">
        <f t="shared" si="3"/>
        <v>30000000</v>
      </c>
      <c r="AV32" s="462">
        <f t="shared" si="3"/>
        <v>2000000</v>
      </c>
      <c r="AW32" s="462">
        <f t="shared" si="3"/>
        <v>0</v>
      </c>
      <c r="AX32" s="462">
        <f t="shared" si="3"/>
        <v>0</v>
      </c>
      <c r="AY32" s="462">
        <f t="shared" si="3"/>
        <v>0</v>
      </c>
      <c r="AZ32" s="462">
        <f t="shared" si="3"/>
        <v>0</v>
      </c>
      <c r="BA32" s="462">
        <f t="shared" si="3"/>
        <v>0</v>
      </c>
      <c r="BB32" s="462">
        <f t="shared" si="3"/>
        <v>0</v>
      </c>
      <c r="BC32" s="462">
        <f t="shared" si="3"/>
        <v>0</v>
      </c>
      <c r="BD32" s="462">
        <f t="shared" si="3"/>
        <v>0</v>
      </c>
      <c r="BE32" s="462">
        <f t="shared" si="3"/>
        <v>0</v>
      </c>
      <c r="BF32" s="462">
        <f t="shared" si="3"/>
        <v>0</v>
      </c>
      <c r="BG32" s="462">
        <f t="shared" si="3"/>
        <v>0</v>
      </c>
      <c r="BH32" s="462">
        <f t="shared" si="3"/>
        <v>0</v>
      </c>
      <c r="BI32" s="462">
        <f t="shared" si="3"/>
        <v>0</v>
      </c>
      <c r="BJ32" s="462">
        <f t="shared" si="3"/>
        <v>0</v>
      </c>
      <c r="BK32" s="462">
        <f t="shared" si="3"/>
        <v>0</v>
      </c>
      <c r="BL32" s="462">
        <f t="shared" si="3"/>
        <v>0</v>
      </c>
      <c r="BM32" s="462">
        <f t="shared" si="3"/>
        <v>0</v>
      </c>
      <c r="BN32" s="462">
        <f>SUM(BN7:BN31)</f>
        <v>4913508946</v>
      </c>
      <c r="BO32" s="412" t="s">
        <v>1616</v>
      </c>
      <c r="BP32" s="462">
        <v>50000000</v>
      </c>
    </row>
    <row r="33" spans="1:66" ht="56.25" customHeight="1">
      <c r="A33" s="1377"/>
      <c r="B33" s="1375"/>
      <c r="C33" s="1376">
        <v>30</v>
      </c>
      <c r="D33" s="1375" t="s">
        <v>718</v>
      </c>
      <c r="E33" s="1367" t="s">
        <v>719</v>
      </c>
      <c r="F33" s="1379" t="s">
        <v>720</v>
      </c>
      <c r="G33" s="1367" t="s">
        <v>721</v>
      </c>
      <c r="H33" s="1452">
        <v>1</v>
      </c>
      <c r="I33" s="1376">
        <v>3</v>
      </c>
      <c r="J33" s="1375" t="s">
        <v>722</v>
      </c>
      <c r="K33" s="666">
        <v>5</v>
      </c>
      <c r="L33" s="658" t="s">
        <v>723</v>
      </c>
      <c r="M33" s="657" t="s">
        <v>724</v>
      </c>
      <c r="N33" s="662">
        <v>1</v>
      </c>
      <c r="O33" s="662">
        <v>1</v>
      </c>
      <c r="P33" s="662">
        <v>1</v>
      </c>
      <c r="Q33" s="662">
        <v>1</v>
      </c>
      <c r="R33" s="1469">
        <v>36569790</v>
      </c>
      <c r="S33" s="1469">
        <v>4021550</v>
      </c>
      <c r="T33" s="1469">
        <v>8315696</v>
      </c>
      <c r="U33" s="1460">
        <v>6661167</v>
      </c>
      <c r="V33" s="1460">
        <v>55568203</v>
      </c>
      <c r="W33" s="374" t="s">
        <v>725</v>
      </c>
      <c r="X33" s="1559" t="s">
        <v>1533</v>
      </c>
      <c r="Y33" s="1560"/>
      <c r="Z33" s="1560"/>
      <c r="AA33" s="1560"/>
      <c r="AB33" s="1560"/>
      <c r="AC33" s="1560"/>
      <c r="AD33" s="1560">
        <v>70000000</v>
      </c>
      <c r="AE33" s="1560"/>
      <c r="AF33" s="1560"/>
      <c r="AG33" s="1560"/>
      <c r="AH33" s="1560"/>
      <c r="AI33" s="1560"/>
      <c r="AJ33" s="1560"/>
      <c r="AK33" s="1560"/>
      <c r="AL33" s="1560"/>
      <c r="AM33" s="1560"/>
      <c r="AN33" s="1560"/>
      <c r="AO33" s="1560"/>
      <c r="AP33" s="1560"/>
      <c r="AQ33" s="1560"/>
      <c r="AR33" s="1560"/>
      <c r="AS33" s="1560"/>
      <c r="AT33" s="1560"/>
      <c r="AU33" s="1560"/>
      <c r="AV33" s="1560"/>
      <c r="AW33" s="1560"/>
      <c r="AX33" s="1560"/>
      <c r="AY33" s="1560"/>
      <c r="AZ33" s="1560"/>
      <c r="BA33" s="1560"/>
      <c r="BB33" s="1560"/>
      <c r="BC33" s="1560"/>
      <c r="BD33" s="1560"/>
      <c r="BE33" s="1560"/>
      <c r="BF33" s="1560"/>
      <c r="BG33" s="1560"/>
      <c r="BH33" s="1560"/>
      <c r="BI33" s="1560"/>
      <c r="BJ33" s="1560"/>
      <c r="BK33" s="1560"/>
      <c r="BL33" s="1560"/>
      <c r="BM33" s="1560"/>
      <c r="BN33" s="1560">
        <f>SUM(Y33:BM33)</f>
        <v>70000000</v>
      </c>
    </row>
    <row r="34" spans="1:66" ht="56.25" customHeight="1">
      <c r="A34" s="1377"/>
      <c r="B34" s="1375"/>
      <c r="C34" s="1377"/>
      <c r="D34" s="1375"/>
      <c r="E34" s="1367"/>
      <c r="F34" s="1379"/>
      <c r="G34" s="1367"/>
      <c r="H34" s="1367"/>
      <c r="I34" s="1377"/>
      <c r="J34" s="1375"/>
      <c r="K34" s="666">
        <v>5</v>
      </c>
      <c r="L34" s="658" t="s">
        <v>726</v>
      </c>
      <c r="M34" s="657" t="s">
        <v>724</v>
      </c>
      <c r="N34" s="662">
        <v>0.91</v>
      </c>
      <c r="O34" s="662">
        <v>0.94</v>
      </c>
      <c r="P34" s="662">
        <v>0.97</v>
      </c>
      <c r="Q34" s="662">
        <v>1</v>
      </c>
      <c r="R34" s="1469"/>
      <c r="S34" s="1469"/>
      <c r="T34" s="1469"/>
      <c r="U34" s="1460"/>
      <c r="V34" s="1460"/>
      <c r="W34" s="374" t="s">
        <v>725</v>
      </c>
      <c r="X34" s="1559"/>
      <c r="Y34" s="1561"/>
      <c r="Z34" s="1561"/>
      <c r="AA34" s="1561"/>
      <c r="AB34" s="1561"/>
      <c r="AC34" s="1561"/>
      <c r="AD34" s="1561"/>
      <c r="AE34" s="1561"/>
      <c r="AF34" s="1561"/>
      <c r="AG34" s="1561"/>
      <c r="AH34" s="1561"/>
      <c r="AI34" s="1561"/>
      <c r="AJ34" s="1561"/>
      <c r="AK34" s="1561"/>
      <c r="AL34" s="1561"/>
      <c r="AM34" s="1561"/>
      <c r="AN34" s="1561"/>
      <c r="AO34" s="1561"/>
      <c r="AP34" s="1561"/>
      <c r="AQ34" s="1561"/>
      <c r="AR34" s="1561"/>
      <c r="AS34" s="1561"/>
      <c r="AT34" s="1561"/>
      <c r="AU34" s="1561"/>
      <c r="AV34" s="1561"/>
      <c r="AW34" s="1561"/>
      <c r="AX34" s="1561"/>
      <c r="AY34" s="1561"/>
      <c r="AZ34" s="1561"/>
      <c r="BA34" s="1561"/>
      <c r="BB34" s="1561"/>
      <c r="BC34" s="1561"/>
      <c r="BD34" s="1561"/>
      <c r="BE34" s="1561"/>
      <c r="BF34" s="1561"/>
      <c r="BG34" s="1561"/>
      <c r="BH34" s="1561"/>
      <c r="BI34" s="1561"/>
      <c r="BJ34" s="1561"/>
      <c r="BK34" s="1561"/>
      <c r="BL34" s="1561"/>
      <c r="BM34" s="1561"/>
      <c r="BN34" s="1561"/>
    </row>
    <row r="35" spans="1:66" ht="56.25" customHeight="1">
      <c r="A35" s="1377"/>
      <c r="B35" s="1375"/>
      <c r="C35" s="1377"/>
      <c r="D35" s="1375"/>
      <c r="E35" s="1367"/>
      <c r="F35" s="1379"/>
      <c r="G35" s="1367"/>
      <c r="H35" s="1367"/>
      <c r="I35" s="1377"/>
      <c r="J35" s="1375"/>
      <c r="K35" s="666">
        <v>5</v>
      </c>
      <c r="L35" s="658" t="s">
        <v>727</v>
      </c>
      <c r="M35" s="657" t="s">
        <v>728</v>
      </c>
      <c r="N35" s="662">
        <v>0.7</v>
      </c>
      <c r="O35" s="662">
        <v>0.8</v>
      </c>
      <c r="P35" s="662">
        <v>0.9</v>
      </c>
      <c r="Q35" s="662">
        <v>1</v>
      </c>
      <c r="R35" s="1469"/>
      <c r="S35" s="1469"/>
      <c r="T35" s="1469"/>
      <c r="U35" s="1460"/>
      <c r="V35" s="1460"/>
      <c r="W35" s="374" t="s">
        <v>725</v>
      </c>
      <c r="X35" s="1559"/>
      <c r="Y35" s="1561"/>
      <c r="Z35" s="1561"/>
      <c r="AA35" s="1561"/>
      <c r="AB35" s="1561"/>
      <c r="AC35" s="1561"/>
      <c r="AD35" s="1561"/>
      <c r="AE35" s="1561"/>
      <c r="AF35" s="1561"/>
      <c r="AG35" s="1561"/>
      <c r="AH35" s="1561"/>
      <c r="AI35" s="1561"/>
      <c r="AJ35" s="1561"/>
      <c r="AK35" s="1561"/>
      <c r="AL35" s="1561"/>
      <c r="AM35" s="1561"/>
      <c r="AN35" s="1561"/>
      <c r="AO35" s="1561"/>
      <c r="AP35" s="1561"/>
      <c r="AQ35" s="1561"/>
      <c r="AR35" s="1561"/>
      <c r="AS35" s="1561"/>
      <c r="AT35" s="1561"/>
      <c r="AU35" s="1561"/>
      <c r="AV35" s="1561"/>
      <c r="AW35" s="1561"/>
      <c r="AX35" s="1561"/>
      <c r="AY35" s="1561"/>
      <c r="AZ35" s="1561"/>
      <c r="BA35" s="1561"/>
      <c r="BB35" s="1561"/>
      <c r="BC35" s="1561"/>
      <c r="BD35" s="1561"/>
      <c r="BE35" s="1561"/>
      <c r="BF35" s="1561"/>
      <c r="BG35" s="1561"/>
      <c r="BH35" s="1561"/>
      <c r="BI35" s="1561"/>
      <c r="BJ35" s="1561"/>
      <c r="BK35" s="1561"/>
      <c r="BL35" s="1561"/>
      <c r="BM35" s="1561"/>
      <c r="BN35" s="1561"/>
    </row>
    <row r="36" spans="1:66" ht="56.25" customHeight="1">
      <c r="A36" s="1377"/>
      <c r="B36" s="1375"/>
      <c r="C36" s="1377"/>
      <c r="D36" s="1375"/>
      <c r="E36" s="1367"/>
      <c r="F36" s="1379"/>
      <c r="G36" s="1367"/>
      <c r="H36" s="1367"/>
      <c r="I36" s="1377"/>
      <c r="J36" s="1375"/>
      <c r="K36" s="666">
        <v>18</v>
      </c>
      <c r="L36" s="1571" t="s">
        <v>729</v>
      </c>
      <c r="M36" s="650" t="s">
        <v>730</v>
      </c>
      <c r="N36" s="387"/>
      <c r="O36" s="1573">
        <v>0.15</v>
      </c>
      <c r="P36" s="672">
        <v>0.1</v>
      </c>
      <c r="Q36" s="672">
        <v>0.05</v>
      </c>
      <c r="R36" s="1469"/>
      <c r="S36" s="1469"/>
      <c r="T36" s="1469"/>
      <c r="U36" s="1460"/>
      <c r="V36" s="1460"/>
      <c r="W36" s="374" t="s">
        <v>731</v>
      </c>
      <c r="X36" s="443" t="s">
        <v>1622</v>
      </c>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f>SUM(Y36:BM36)</f>
        <v>0</v>
      </c>
    </row>
    <row r="37" spans="1:66" ht="56.25" customHeight="1">
      <c r="A37" s="1377"/>
      <c r="B37" s="1375"/>
      <c r="C37" s="1377"/>
      <c r="D37" s="1375"/>
      <c r="E37" s="1367"/>
      <c r="F37" s="1379"/>
      <c r="G37" s="1367"/>
      <c r="H37" s="1367"/>
      <c r="I37" s="1377"/>
      <c r="J37" s="1375"/>
      <c r="K37" s="666"/>
      <c r="L37" s="1572"/>
      <c r="M37" s="650"/>
      <c r="N37" s="387"/>
      <c r="O37" s="1574"/>
      <c r="P37" s="672"/>
      <c r="Q37" s="672"/>
      <c r="R37" s="1469"/>
      <c r="S37" s="1469"/>
      <c r="T37" s="1469"/>
      <c r="U37" s="1460"/>
      <c r="V37" s="1460"/>
      <c r="W37" s="374"/>
      <c r="X37" s="443" t="s">
        <v>1534</v>
      </c>
      <c r="Y37" s="460"/>
      <c r="Z37" s="460"/>
      <c r="AA37" s="460"/>
      <c r="AB37" s="460"/>
      <c r="AC37" s="460"/>
      <c r="AD37" s="460">
        <v>80000000</v>
      </c>
      <c r="AE37" s="460"/>
      <c r="AF37" s="460"/>
      <c r="AG37" s="460"/>
      <c r="AH37" s="460"/>
      <c r="AI37" s="460"/>
      <c r="AJ37" s="460"/>
      <c r="AK37" s="460"/>
      <c r="AL37" s="460"/>
      <c r="AM37" s="460">
        <v>0</v>
      </c>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f>SUM(Y37:BM37)</f>
        <v>80000000</v>
      </c>
    </row>
    <row r="38" spans="1:66" ht="92.25" customHeight="1">
      <c r="A38" s="1377"/>
      <c r="B38" s="1375"/>
      <c r="C38" s="1377"/>
      <c r="D38" s="1375"/>
      <c r="E38" s="1367"/>
      <c r="F38" s="1379"/>
      <c r="G38" s="1367"/>
      <c r="H38" s="1367"/>
      <c r="I38" s="1377"/>
      <c r="J38" s="1375"/>
      <c r="K38" s="666">
        <v>1</v>
      </c>
      <c r="L38" s="658" t="s">
        <v>732</v>
      </c>
      <c r="M38" s="657" t="s">
        <v>733</v>
      </c>
      <c r="N38" s="367"/>
      <c r="O38" s="657">
        <v>1</v>
      </c>
      <c r="P38" s="367"/>
      <c r="Q38" s="367"/>
      <c r="R38" s="1469"/>
      <c r="S38" s="1469"/>
      <c r="T38" s="1469"/>
      <c r="U38" s="1460"/>
      <c r="V38" s="1460"/>
      <c r="W38" s="374" t="s">
        <v>725</v>
      </c>
      <c r="X38" s="1566" t="s">
        <v>1531</v>
      </c>
      <c r="Y38" s="1561"/>
      <c r="Z38" s="1561"/>
      <c r="AA38" s="1561"/>
      <c r="AB38" s="1561"/>
      <c r="AC38" s="1561"/>
      <c r="AD38" s="1561">
        <v>32592212</v>
      </c>
      <c r="AE38" s="1561">
        <v>534186840</v>
      </c>
      <c r="AF38" s="1561"/>
      <c r="AG38" s="1561"/>
      <c r="AH38" s="1561"/>
      <c r="AI38" s="1561"/>
      <c r="AJ38" s="1561"/>
      <c r="AK38" s="1561"/>
      <c r="AL38" s="1561">
        <f>100000000-20000000</f>
        <v>80000000</v>
      </c>
      <c r="AM38" s="1561"/>
      <c r="AN38" s="1561"/>
      <c r="AO38" s="1561"/>
      <c r="AP38" s="1561"/>
      <c r="AQ38" s="1561"/>
      <c r="AR38" s="1561"/>
      <c r="AS38" s="1561"/>
      <c r="AT38" s="1561"/>
      <c r="AU38" s="1561"/>
      <c r="AV38" s="1561"/>
      <c r="AW38" s="1561"/>
      <c r="AX38" s="1561"/>
      <c r="AY38" s="1561"/>
      <c r="AZ38" s="1561"/>
      <c r="BA38" s="1561"/>
      <c r="BB38" s="1561"/>
      <c r="BC38" s="1561"/>
      <c r="BD38" s="1561"/>
      <c r="BE38" s="1561"/>
      <c r="BF38" s="1561"/>
      <c r="BG38" s="1561"/>
      <c r="BH38" s="1561"/>
      <c r="BI38" s="1561"/>
      <c r="BJ38" s="1561"/>
      <c r="BK38" s="1561"/>
      <c r="BL38" s="1561"/>
      <c r="BM38" s="1561"/>
      <c r="BN38" s="1562">
        <f>SUM(Y38:BM38)</f>
        <v>646779052</v>
      </c>
    </row>
    <row r="39" spans="1:66" ht="83.25" customHeight="1">
      <c r="A39" s="1377"/>
      <c r="B39" s="1375"/>
      <c r="C39" s="1377"/>
      <c r="D39" s="1375"/>
      <c r="E39" s="1367"/>
      <c r="F39" s="1379"/>
      <c r="G39" s="1367"/>
      <c r="H39" s="1367"/>
      <c r="I39" s="1377"/>
      <c r="J39" s="1375"/>
      <c r="K39" s="666">
        <v>2</v>
      </c>
      <c r="L39" s="658" t="s">
        <v>734</v>
      </c>
      <c r="M39" s="657" t="s">
        <v>735</v>
      </c>
      <c r="N39" s="367"/>
      <c r="O39" s="367">
        <v>1</v>
      </c>
      <c r="P39" s="657"/>
      <c r="Q39" s="367"/>
      <c r="R39" s="1469"/>
      <c r="S39" s="1469"/>
      <c r="T39" s="1469"/>
      <c r="U39" s="1460"/>
      <c r="V39" s="1460"/>
      <c r="W39" s="374" t="s">
        <v>725</v>
      </c>
      <c r="X39" s="1566"/>
      <c r="Y39" s="1561"/>
      <c r="Z39" s="1561"/>
      <c r="AA39" s="1561"/>
      <c r="AB39" s="1561"/>
      <c r="AC39" s="1561"/>
      <c r="AD39" s="1561"/>
      <c r="AE39" s="1561"/>
      <c r="AF39" s="1561"/>
      <c r="AG39" s="1561"/>
      <c r="AH39" s="1561"/>
      <c r="AI39" s="1561"/>
      <c r="AJ39" s="1561"/>
      <c r="AK39" s="1561"/>
      <c r="AL39" s="1561"/>
      <c r="AM39" s="1561"/>
      <c r="AN39" s="1561"/>
      <c r="AO39" s="1561"/>
      <c r="AP39" s="1561"/>
      <c r="AQ39" s="1561"/>
      <c r="AR39" s="1561"/>
      <c r="AS39" s="1561"/>
      <c r="AT39" s="1561"/>
      <c r="AU39" s="1561"/>
      <c r="AV39" s="1561"/>
      <c r="AW39" s="1561"/>
      <c r="AX39" s="1561"/>
      <c r="AY39" s="1561"/>
      <c r="AZ39" s="1561"/>
      <c r="BA39" s="1561"/>
      <c r="BB39" s="1561"/>
      <c r="BC39" s="1561"/>
      <c r="BD39" s="1561"/>
      <c r="BE39" s="1561"/>
      <c r="BF39" s="1561"/>
      <c r="BG39" s="1561"/>
      <c r="BH39" s="1561"/>
      <c r="BI39" s="1561"/>
      <c r="BJ39" s="1561"/>
      <c r="BK39" s="1561"/>
      <c r="BL39" s="1561"/>
      <c r="BM39" s="1561"/>
      <c r="BN39" s="1567"/>
    </row>
    <row r="40" spans="1:66" ht="56.25" customHeight="1">
      <c r="A40" s="1377"/>
      <c r="B40" s="1375"/>
      <c r="C40" s="1377"/>
      <c r="D40" s="1375"/>
      <c r="E40" s="1367"/>
      <c r="F40" s="1379"/>
      <c r="G40" s="1367"/>
      <c r="H40" s="1367"/>
      <c r="I40" s="1377"/>
      <c r="J40" s="1375"/>
      <c r="K40" s="666">
        <v>1</v>
      </c>
      <c r="L40" s="658" t="s">
        <v>736</v>
      </c>
      <c r="M40" s="657" t="s">
        <v>737</v>
      </c>
      <c r="N40" s="367"/>
      <c r="O40" s="657">
        <v>1</v>
      </c>
      <c r="P40" s="367"/>
      <c r="Q40" s="367"/>
      <c r="R40" s="1469"/>
      <c r="S40" s="1469"/>
      <c r="T40" s="1469"/>
      <c r="U40" s="1460"/>
      <c r="V40" s="1460"/>
      <c r="W40" s="374" t="s">
        <v>725</v>
      </c>
      <c r="X40" s="1566"/>
      <c r="Y40" s="1561"/>
      <c r="Z40" s="1561"/>
      <c r="AA40" s="1561"/>
      <c r="AB40" s="1561"/>
      <c r="AC40" s="1561"/>
      <c r="AD40" s="1561"/>
      <c r="AE40" s="1561"/>
      <c r="AF40" s="1561"/>
      <c r="AG40" s="1561"/>
      <c r="AH40" s="1561"/>
      <c r="AI40" s="1561"/>
      <c r="AJ40" s="1561"/>
      <c r="AK40" s="1561"/>
      <c r="AL40" s="1561"/>
      <c r="AM40" s="1561"/>
      <c r="AN40" s="1561"/>
      <c r="AO40" s="1561"/>
      <c r="AP40" s="1561"/>
      <c r="AQ40" s="1561"/>
      <c r="AR40" s="1561"/>
      <c r="AS40" s="1561"/>
      <c r="AT40" s="1561"/>
      <c r="AU40" s="1561"/>
      <c r="AV40" s="1561"/>
      <c r="AW40" s="1561"/>
      <c r="AX40" s="1561"/>
      <c r="AY40" s="1561"/>
      <c r="AZ40" s="1561"/>
      <c r="BA40" s="1561"/>
      <c r="BB40" s="1561"/>
      <c r="BC40" s="1561"/>
      <c r="BD40" s="1561"/>
      <c r="BE40" s="1561"/>
      <c r="BF40" s="1561"/>
      <c r="BG40" s="1561"/>
      <c r="BH40" s="1561"/>
      <c r="BI40" s="1561"/>
      <c r="BJ40" s="1561"/>
      <c r="BK40" s="1561"/>
      <c r="BL40" s="1561"/>
      <c r="BM40" s="1561"/>
      <c r="BN40" s="1567"/>
    </row>
    <row r="41" spans="1:66" ht="56.25" customHeight="1">
      <c r="A41" s="1377"/>
      <c r="B41" s="1375"/>
      <c r="C41" s="1377"/>
      <c r="D41" s="1375"/>
      <c r="E41" s="1367"/>
      <c r="F41" s="1379"/>
      <c r="G41" s="1367"/>
      <c r="H41" s="1367"/>
      <c r="I41" s="1377"/>
      <c r="J41" s="1375"/>
      <c r="K41" s="666">
        <v>5</v>
      </c>
      <c r="L41" s="658" t="s">
        <v>738</v>
      </c>
      <c r="M41" s="657" t="s">
        <v>739</v>
      </c>
      <c r="N41" s="367"/>
      <c r="O41" s="367">
        <v>1</v>
      </c>
      <c r="P41" s="657"/>
      <c r="Q41" s="367"/>
      <c r="R41" s="1469"/>
      <c r="S41" s="1469"/>
      <c r="T41" s="1469"/>
      <c r="U41" s="1460"/>
      <c r="V41" s="1460"/>
      <c r="W41" s="374" t="s">
        <v>725</v>
      </c>
      <c r="X41" s="1566"/>
      <c r="Y41" s="1561"/>
      <c r="Z41" s="1561"/>
      <c r="AA41" s="1561"/>
      <c r="AB41" s="1561"/>
      <c r="AC41" s="1561"/>
      <c r="AD41" s="1561"/>
      <c r="AE41" s="1561"/>
      <c r="AF41" s="1561"/>
      <c r="AG41" s="1561"/>
      <c r="AH41" s="1561"/>
      <c r="AI41" s="1561"/>
      <c r="AJ41" s="1561"/>
      <c r="AK41" s="1561"/>
      <c r="AL41" s="1561"/>
      <c r="AM41" s="1561"/>
      <c r="AN41" s="1561"/>
      <c r="AO41" s="1561"/>
      <c r="AP41" s="1561"/>
      <c r="AQ41" s="1561"/>
      <c r="AR41" s="1561"/>
      <c r="AS41" s="1561"/>
      <c r="AT41" s="1561"/>
      <c r="AU41" s="1561"/>
      <c r="AV41" s="1561"/>
      <c r="AW41" s="1561"/>
      <c r="AX41" s="1561"/>
      <c r="AY41" s="1561"/>
      <c r="AZ41" s="1561"/>
      <c r="BA41" s="1561"/>
      <c r="BB41" s="1561"/>
      <c r="BC41" s="1561"/>
      <c r="BD41" s="1561"/>
      <c r="BE41" s="1561"/>
      <c r="BF41" s="1561"/>
      <c r="BG41" s="1561"/>
      <c r="BH41" s="1561"/>
      <c r="BI41" s="1561"/>
      <c r="BJ41" s="1561"/>
      <c r="BK41" s="1561"/>
      <c r="BL41" s="1561"/>
      <c r="BM41" s="1561"/>
      <c r="BN41" s="1567"/>
    </row>
    <row r="42" spans="1:66" ht="56.25" customHeight="1">
      <c r="A42" s="1377"/>
      <c r="B42" s="1375"/>
      <c r="C42" s="1377"/>
      <c r="D42" s="1375"/>
      <c r="E42" s="1367"/>
      <c r="F42" s="1379"/>
      <c r="G42" s="1367"/>
      <c r="H42" s="1367"/>
      <c r="I42" s="1377"/>
      <c r="J42" s="1375"/>
      <c r="K42" s="666">
        <v>1</v>
      </c>
      <c r="L42" s="658" t="s">
        <v>740</v>
      </c>
      <c r="M42" s="657" t="s">
        <v>741</v>
      </c>
      <c r="N42" s="367"/>
      <c r="O42" s="367">
        <v>1</v>
      </c>
      <c r="P42" s="657"/>
      <c r="Q42" s="367"/>
      <c r="R42" s="1469"/>
      <c r="S42" s="1469"/>
      <c r="T42" s="1469"/>
      <c r="U42" s="1460"/>
      <c r="V42" s="1460"/>
      <c r="W42" s="374" t="s">
        <v>725</v>
      </c>
      <c r="X42" s="1566"/>
      <c r="Y42" s="1561"/>
      <c r="Z42" s="1561"/>
      <c r="AA42" s="1561"/>
      <c r="AB42" s="1561"/>
      <c r="AC42" s="1561"/>
      <c r="AD42" s="1561"/>
      <c r="AE42" s="1561"/>
      <c r="AF42" s="1561"/>
      <c r="AG42" s="1561"/>
      <c r="AH42" s="1561"/>
      <c r="AI42" s="1561"/>
      <c r="AJ42" s="1561"/>
      <c r="AK42" s="1561"/>
      <c r="AL42" s="1561"/>
      <c r="AM42" s="1561"/>
      <c r="AN42" s="1561"/>
      <c r="AO42" s="1561"/>
      <c r="AP42" s="1561"/>
      <c r="AQ42" s="1561"/>
      <c r="AR42" s="1561"/>
      <c r="AS42" s="1561"/>
      <c r="AT42" s="1561"/>
      <c r="AU42" s="1561"/>
      <c r="AV42" s="1561"/>
      <c r="AW42" s="1561"/>
      <c r="AX42" s="1561"/>
      <c r="AY42" s="1561"/>
      <c r="AZ42" s="1561"/>
      <c r="BA42" s="1561"/>
      <c r="BB42" s="1561"/>
      <c r="BC42" s="1561"/>
      <c r="BD42" s="1561"/>
      <c r="BE42" s="1561"/>
      <c r="BF42" s="1561"/>
      <c r="BG42" s="1561"/>
      <c r="BH42" s="1561"/>
      <c r="BI42" s="1561"/>
      <c r="BJ42" s="1561"/>
      <c r="BK42" s="1561"/>
      <c r="BL42" s="1561"/>
      <c r="BM42" s="1561"/>
      <c r="BN42" s="1567"/>
    </row>
    <row r="43" spans="1:66" ht="89.25" customHeight="1">
      <c r="A43" s="1377"/>
      <c r="B43" s="1375"/>
      <c r="C43" s="1377"/>
      <c r="D43" s="1375"/>
      <c r="E43" s="1367"/>
      <c r="F43" s="1379"/>
      <c r="G43" s="1367"/>
      <c r="H43" s="1367"/>
      <c r="I43" s="1377"/>
      <c r="J43" s="1375"/>
      <c r="K43" s="666">
        <v>5</v>
      </c>
      <c r="L43" s="658" t="s">
        <v>742</v>
      </c>
      <c r="M43" s="657" t="s">
        <v>743</v>
      </c>
      <c r="N43" s="662">
        <v>0.5</v>
      </c>
      <c r="O43" s="662">
        <v>0.5</v>
      </c>
      <c r="P43" s="662"/>
      <c r="Q43" s="662"/>
      <c r="R43" s="1469"/>
      <c r="S43" s="1469"/>
      <c r="T43" s="1469"/>
      <c r="U43" s="1460"/>
      <c r="V43" s="1460"/>
      <c r="W43" s="374" t="s">
        <v>725</v>
      </c>
      <c r="X43" s="1566"/>
      <c r="Y43" s="1561"/>
      <c r="Z43" s="1561"/>
      <c r="AA43" s="1561"/>
      <c r="AB43" s="1561"/>
      <c r="AC43" s="1561"/>
      <c r="AD43" s="1561"/>
      <c r="AE43" s="1561"/>
      <c r="AF43" s="1561"/>
      <c r="AG43" s="1561"/>
      <c r="AH43" s="1561"/>
      <c r="AI43" s="1561"/>
      <c r="AJ43" s="1561"/>
      <c r="AK43" s="1561"/>
      <c r="AL43" s="1561"/>
      <c r="AM43" s="1561"/>
      <c r="AN43" s="1561"/>
      <c r="AO43" s="1561"/>
      <c r="AP43" s="1561"/>
      <c r="AQ43" s="1561"/>
      <c r="AR43" s="1561"/>
      <c r="AS43" s="1561"/>
      <c r="AT43" s="1561"/>
      <c r="AU43" s="1561"/>
      <c r="AV43" s="1561"/>
      <c r="AW43" s="1561"/>
      <c r="AX43" s="1561"/>
      <c r="AY43" s="1561"/>
      <c r="AZ43" s="1561"/>
      <c r="BA43" s="1561"/>
      <c r="BB43" s="1561"/>
      <c r="BC43" s="1561"/>
      <c r="BD43" s="1561"/>
      <c r="BE43" s="1561"/>
      <c r="BF43" s="1561"/>
      <c r="BG43" s="1561"/>
      <c r="BH43" s="1561"/>
      <c r="BI43" s="1561"/>
      <c r="BJ43" s="1561"/>
      <c r="BK43" s="1561"/>
      <c r="BL43" s="1561"/>
      <c r="BM43" s="1561"/>
      <c r="BN43" s="1567"/>
    </row>
    <row r="44" spans="1:66" ht="86.25" customHeight="1">
      <c r="A44" s="1377"/>
      <c r="B44" s="1375"/>
      <c r="C44" s="1377"/>
      <c r="D44" s="1375"/>
      <c r="E44" s="1367"/>
      <c r="F44" s="1379"/>
      <c r="G44" s="1367"/>
      <c r="H44" s="1367"/>
      <c r="I44" s="1377"/>
      <c r="J44" s="1375"/>
      <c r="K44" s="666">
        <v>1</v>
      </c>
      <c r="L44" s="477" t="s">
        <v>744</v>
      </c>
      <c r="M44" s="657" t="s">
        <v>745</v>
      </c>
      <c r="N44" s="657">
        <v>1</v>
      </c>
      <c r="O44" s="657">
        <v>1</v>
      </c>
      <c r="P44" s="657">
        <v>1</v>
      </c>
      <c r="Q44" s="657">
        <v>1</v>
      </c>
      <c r="R44" s="1469"/>
      <c r="S44" s="1469"/>
      <c r="T44" s="1469"/>
      <c r="U44" s="1460"/>
      <c r="V44" s="1460"/>
      <c r="W44" s="374" t="s">
        <v>725</v>
      </c>
      <c r="X44" s="1566"/>
      <c r="Y44" s="1561"/>
      <c r="Z44" s="1561"/>
      <c r="AA44" s="1561"/>
      <c r="AB44" s="1561"/>
      <c r="AC44" s="1561"/>
      <c r="AD44" s="1561"/>
      <c r="AE44" s="1561"/>
      <c r="AF44" s="1561"/>
      <c r="AG44" s="1561"/>
      <c r="AH44" s="1561"/>
      <c r="AI44" s="1561"/>
      <c r="AJ44" s="1561"/>
      <c r="AK44" s="1561"/>
      <c r="AL44" s="1561"/>
      <c r="AM44" s="1561"/>
      <c r="AN44" s="1561"/>
      <c r="AO44" s="1561"/>
      <c r="AP44" s="1561"/>
      <c r="AQ44" s="1561"/>
      <c r="AR44" s="1561"/>
      <c r="AS44" s="1561"/>
      <c r="AT44" s="1561"/>
      <c r="AU44" s="1561"/>
      <c r="AV44" s="1561"/>
      <c r="AW44" s="1561"/>
      <c r="AX44" s="1561"/>
      <c r="AY44" s="1561"/>
      <c r="AZ44" s="1561"/>
      <c r="BA44" s="1561"/>
      <c r="BB44" s="1561"/>
      <c r="BC44" s="1561"/>
      <c r="BD44" s="1561"/>
      <c r="BE44" s="1561"/>
      <c r="BF44" s="1561"/>
      <c r="BG44" s="1561"/>
      <c r="BH44" s="1561"/>
      <c r="BI44" s="1561"/>
      <c r="BJ44" s="1561"/>
      <c r="BK44" s="1561"/>
      <c r="BL44" s="1561"/>
      <c r="BM44" s="1561"/>
      <c r="BN44" s="1567"/>
    </row>
    <row r="45" spans="1:66" ht="85.5" customHeight="1">
      <c r="A45" s="1377"/>
      <c r="B45" s="1375"/>
      <c r="C45" s="1377"/>
      <c r="D45" s="1375"/>
      <c r="E45" s="657" t="s">
        <v>746</v>
      </c>
      <c r="F45" s="657" t="s">
        <v>747</v>
      </c>
      <c r="G45" s="662">
        <v>0.09</v>
      </c>
      <c r="H45" s="662">
        <v>0.05</v>
      </c>
      <c r="I45" s="1377"/>
      <c r="J45" s="1375"/>
      <c r="K45" s="666">
        <v>1</v>
      </c>
      <c r="L45" s="658" t="s">
        <v>748</v>
      </c>
      <c r="M45" s="657" t="s">
        <v>749</v>
      </c>
      <c r="N45" s="657"/>
      <c r="O45" s="657">
        <v>300</v>
      </c>
      <c r="P45" s="657">
        <v>300</v>
      </c>
      <c r="Q45" s="657">
        <v>400</v>
      </c>
      <c r="R45" s="1469"/>
      <c r="S45" s="1469"/>
      <c r="T45" s="1469"/>
      <c r="U45" s="1460"/>
      <c r="V45" s="1460"/>
      <c r="W45" s="374" t="s">
        <v>725</v>
      </c>
      <c r="X45" s="1566"/>
      <c r="Y45" s="1561"/>
      <c r="Z45" s="1561"/>
      <c r="AA45" s="1561"/>
      <c r="AB45" s="1561"/>
      <c r="AC45" s="1561"/>
      <c r="AD45" s="1561"/>
      <c r="AE45" s="1561"/>
      <c r="AF45" s="1561"/>
      <c r="AG45" s="1561"/>
      <c r="AH45" s="1561"/>
      <c r="AI45" s="1561"/>
      <c r="AJ45" s="1561"/>
      <c r="AK45" s="1561"/>
      <c r="AL45" s="1561"/>
      <c r="AM45" s="1561"/>
      <c r="AN45" s="1561"/>
      <c r="AO45" s="1561"/>
      <c r="AP45" s="1561"/>
      <c r="AQ45" s="1561"/>
      <c r="AR45" s="1561"/>
      <c r="AS45" s="1561"/>
      <c r="AT45" s="1561"/>
      <c r="AU45" s="1561"/>
      <c r="AV45" s="1561"/>
      <c r="AW45" s="1561"/>
      <c r="AX45" s="1561"/>
      <c r="AY45" s="1561"/>
      <c r="AZ45" s="1561"/>
      <c r="BA45" s="1561"/>
      <c r="BB45" s="1561"/>
      <c r="BC45" s="1561"/>
      <c r="BD45" s="1561"/>
      <c r="BE45" s="1561"/>
      <c r="BF45" s="1561"/>
      <c r="BG45" s="1561"/>
      <c r="BH45" s="1561"/>
      <c r="BI45" s="1561"/>
      <c r="BJ45" s="1561"/>
      <c r="BK45" s="1561"/>
      <c r="BL45" s="1561"/>
      <c r="BM45" s="1561"/>
      <c r="BN45" s="1567"/>
    </row>
    <row r="46" spans="1:66" ht="85.5" customHeight="1">
      <c r="A46" s="1377"/>
      <c r="B46" s="1375"/>
      <c r="C46" s="1377"/>
      <c r="D46" s="1375"/>
      <c r="E46" s="1367" t="s">
        <v>750</v>
      </c>
      <c r="F46" s="1367" t="s">
        <v>751</v>
      </c>
      <c r="G46" s="1568">
        <v>0.0905</v>
      </c>
      <c r="H46" s="1452">
        <v>0.04</v>
      </c>
      <c r="I46" s="1377"/>
      <c r="J46" s="1375"/>
      <c r="K46" s="666">
        <v>2</v>
      </c>
      <c r="L46" s="658" t="s">
        <v>752</v>
      </c>
      <c r="M46" s="657" t="s">
        <v>753</v>
      </c>
      <c r="N46" s="662">
        <v>1</v>
      </c>
      <c r="O46" s="662"/>
      <c r="P46" s="662"/>
      <c r="Q46" s="662"/>
      <c r="R46" s="1469"/>
      <c r="S46" s="1469"/>
      <c r="T46" s="1469"/>
      <c r="U46" s="1460"/>
      <c r="V46" s="1460"/>
      <c r="W46" s="374" t="s">
        <v>725</v>
      </c>
      <c r="X46" s="1566"/>
      <c r="Y46" s="1561"/>
      <c r="Z46" s="1561"/>
      <c r="AA46" s="1561"/>
      <c r="AB46" s="1561"/>
      <c r="AC46" s="1561"/>
      <c r="AD46" s="1561"/>
      <c r="AE46" s="1561"/>
      <c r="AF46" s="1561"/>
      <c r="AG46" s="1561"/>
      <c r="AH46" s="1561"/>
      <c r="AI46" s="1561"/>
      <c r="AJ46" s="1561"/>
      <c r="AK46" s="1561"/>
      <c r="AL46" s="1561"/>
      <c r="AM46" s="1561"/>
      <c r="AN46" s="1561"/>
      <c r="AO46" s="1561"/>
      <c r="AP46" s="1561"/>
      <c r="AQ46" s="1561"/>
      <c r="AR46" s="1561"/>
      <c r="AS46" s="1561"/>
      <c r="AT46" s="1561"/>
      <c r="AU46" s="1561"/>
      <c r="AV46" s="1561"/>
      <c r="AW46" s="1561"/>
      <c r="AX46" s="1561"/>
      <c r="AY46" s="1561"/>
      <c r="AZ46" s="1561"/>
      <c r="BA46" s="1561"/>
      <c r="BB46" s="1561"/>
      <c r="BC46" s="1561"/>
      <c r="BD46" s="1561"/>
      <c r="BE46" s="1561"/>
      <c r="BF46" s="1561"/>
      <c r="BG46" s="1561"/>
      <c r="BH46" s="1561"/>
      <c r="BI46" s="1561"/>
      <c r="BJ46" s="1561"/>
      <c r="BK46" s="1561"/>
      <c r="BL46" s="1561"/>
      <c r="BM46" s="1561"/>
      <c r="BN46" s="1567"/>
    </row>
    <row r="47" spans="1:66" ht="87.75" customHeight="1">
      <c r="A47" s="1377"/>
      <c r="B47" s="1375"/>
      <c r="C47" s="1377"/>
      <c r="D47" s="1375"/>
      <c r="E47" s="1367"/>
      <c r="F47" s="1367"/>
      <c r="G47" s="1367"/>
      <c r="H47" s="1367"/>
      <c r="I47" s="1377"/>
      <c r="J47" s="1375"/>
      <c r="K47" s="666">
        <v>1</v>
      </c>
      <c r="L47" s="658" t="s">
        <v>754</v>
      </c>
      <c r="M47" s="657" t="s">
        <v>755</v>
      </c>
      <c r="N47" s="657">
        <v>1</v>
      </c>
      <c r="O47" s="657"/>
      <c r="P47" s="367"/>
      <c r="Q47" s="367"/>
      <c r="R47" s="1469"/>
      <c r="S47" s="1469"/>
      <c r="T47" s="1469"/>
      <c r="U47" s="1460"/>
      <c r="V47" s="1460"/>
      <c r="W47" s="374" t="s">
        <v>725</v>
      </c>
      <c r="X47" s="1566"/>
      <c r="Y47" s="1561"/>
      <c r="Z47" s="1561"/>
      <c r="AA47" s="1561"/>
      <c r="AB47" s="1561"/>
      <c r="AC47" s="1561"/>
      <c r="AD47" s="1561"/>
      <c r="AE47" s="1561"/>
      <c r="AF47" s="1561"/>
      <c r="AG47" s="1561"/>
      <c r="AH47" s="1561"/>
      <c r="AI47" s="1561"/>
      <c r="AJ47" s="1561"/>
      <c r="AK47" s="1561"/>
      <c r="AL47" s="1561"/>
      <c r="AM47" s="1561"/>
      <c r="AN47" s="1561"/>
      <c r="AO47" s="1561"/>
      <c r="AP47" s="1561"/>
      <c r="AQ47" s="1561"/>
      <c r="AR47" s="1561"/>
      <c r="AS47" s="1561"/>
      <c r="AT47" s="1561"/>
      <c r="AU47" s="1561"/>
      <c r="AV47" s="1561"/>
      <c r="AW47" s="1561"/>
      <c r="AX47" s="1561"/>
      <c r="AY47" s="1561"/>
      <c r="AZ47" s="1561"/>
      <c r="BA47" s="1561"/>
      <c r="BB47" s="1561"/>
      <c r="BC47" s="1561"/>
      <c r="BD47" s="1561"/>
      <c r="BE47" s="1561"/>
      <c r="BF47" s="1561"/>
      <c r="BG47" s="1561"/>
      <c r="BH47" s="1561"/>
      <c r="BI47" s="1561"/>
      <c r="BJ47" s="1561"/>
      <c r="BK47" s="1561"/>
      <c r="BL47" s="1561"/>
      <c r="BM47" s="1561"/>
      <c r="BN47" s="1567"/>
    </row>
    <row r="48" spans="1:66" ht="78.75" customHeight="1">
      <c r="A48" s="1377"/>
      <c r="B48" s="1375"/>
      <c r="C48" s="1377"/>
      <c r="D48" s="1375"/>
      <c r="E48" s="1367"/>
      <c r="F48" s="1367"/>
      <c r="G48" s="1367"/>
      <c r="H48" s="1367"/>
      <c r="I48" s="1377"/>
      <c r="J48" s="1375"/>
      <c r="K48" s="666">
        <v>2</v>
      </c>
      <c r="L48" s="658" t="s">
        <v>756</v>
      </c>
      <c r="M48" s="657" t="s">
        <v>757</v>
      </c>
      <c r="N48" s="662">
        <v>0.9</v>
      </c>
      <c r="O48" s="662">
        <v>0.95</v>
      </c>
      <c r="P48" s="662">
        <v>0.97</v>
      </c>
      <c r="Q48" s="662">
        <v>1</v>
      </c>
      <c r="R48" s="1469"/>
      <c r="S48" s="1469"/>
      <c r="T48" s="1469"/>
      <c r="U48" s="1460"/>
      <c r="V48" s="1460"/>
      <c r="W48" s="374" t="s">
        <v>725</v>
      </c>
      <c r="X48" s="1566"/>
      <c r="Y48" s="1561"/>
      <c r="Z48" s="1561"/>
      <c r="AA48" s="1561"/>
      <c r="AB48" s="1561"/>
      <c r="AC48" s="1561"/>
      <c r="AD48" s="1561"/>
      <c r="AE48" s="1561"/>
      <c r="AF48" s="1561"/>
      <c r="AG48" s="1561"/>
      <c r="AH48" s="1561"/>
      <c r="AI48" s="1561"/>
      <c r="AJ48" s="1561"/>
      <c r="AK48" s="1561"/>
      <c r="AL48" s="1561"/>
      <c r="AM48" s="1561"/>
      <c r="AN48" s="1561"/>
      <c r="AO48" s="1561"/>
      <c r="AP48" s="1561"/>
      <c r="AQ48" s="1561"/>
      <c r="AR48" s="1561"/>
      <c r="AS48" s="1561"/>
      <c r="AT48" s="1561"/>
      <c r="AU48" s="1561"/>
      <c r="AV48" s="1561"/>
      <c r="AW48" s="1561"/>
      <c r="AX48" s="1561"/>
      <c r="AY48" s="1561"/>
      <c r="AZ48" s="1561"/>
      <c r="BA48" s="1561"/>
      <c r="BB48" s="1561"/>
      <c r="BC48" s="1561"/>
      <c r="BD48" s="1561"/>
      <c r="BE48" s="1561"/>
      <c r="BF48" s="1561"/>
      <c r="BG48" s="1561"/>
      <c r="BH48" s="1561"/>
      <c r="BI48" s="1561"/>
      <c r="BJ48" s="1561"/>
      <c r="BK48" s="1561"/>
      <c r="BL48" s="1561"/>
      <c r="BM48" s="1561"/>
      <c r="BN48" s="1567"/>
    </row>
    <row r="49" spans="1:66" ht="93.75" customHeight="1">
      <c r="A49" s="1377"/>
      <c r="B49" s="1375"/>
      <c r="C49" s="1377"/>
      <c r="D49" s="1375"/>
      <c r="E49" s="657" t="s">
        <v>758</v>
      </c>
      <c r="F49" s="657" t="s">
        <v>759</v>
      </c>
      <c r="G49" s="657" t="s">
        <v>760</v>
      </c>
      <c r="H49" s="657" t="s">
        <v>761</v>
      </c>
      <c r="I49" s="1377"/>
      <c r="J49" s="1375"/>
      <c r="K49" s="666">
        <v>1</v>
      </c>
      <c r="L49" s="658" t="s">
        <v>762</v>
      </c>
      <c r="M49" s="657" t="s">
        <v>763</v>
      </c>
      <c r="N49" s="657">
        <v>1</v>
      </c>
      <c r="O49" s="657">
        <v>1</v>
      </c>
      <c r="P49" s="657">
        <v>1</v>
      </c>
      <c r="Q49" s="657">
        <v>1</v>
      </c>
      <c r="R49" s="1469"/>
      <c r="S49" s="1469"/>
      <c r="T49" s="1469"/>
      <c r="U49" s="1460"/>
      <c r="V49" s="1460"/>
      <c r="W49" s="374" t="s">
        <v>725</v>
      </c>
      <c r="X49" s="1566"/>
      <c r="Y49" s="1561"/>
      <c r="Z49" s="1561"/>
      <c r="AA49" s="1561"/>
      <c r="AB49" s="1561"/>
      <c r="AC49" s="1561"/>
      <c r="AD49" s="1561"/>
      <c r="AE49" s="1561"/>
      <c r="AF49" s="1561"/>
      <c r="AG49" s="1561"/>
      <c r="AH49" s="1561"/>
      <c r="AI49" s="1561"/>
      <c r="AJ49" s="1561"/>
      <c r="AK49" s="1561"/>
      <c r="AL49" s="1561"/>
      <c r="AM49" s="1561"/>
      <c r="AN49" s="1561"/>
      <c r="AO49" s="1561"/>
      <c r="AP49" s="1561"/>
      <c r="AQ49" s="1561"/>
      <c r="AR49" s="1561"/>
      <c r="AS49" s="1561"/>
      <c r="AT49" s="1561"/>
      <c r="AU49" s="1561"/>
      <c r="AV49" s="1561"/>
      <c r="AW49" s="1561"/>
      <c r="AX49" s="1561"/>
      <c r="AY49" s="1561"/>
      <c r="AZ49" s="1561"/>
      <c r="BA49" s="1561"/>
      <c r="BB49" s="1561"/>
      <c r="BC49" s="1561"/>
      <c r="BD49" s="1561"/>
      <c r="BE49" s="1561"/>
      <c r="BF49" s="1561"/>
      <c r="BG49" s="1561"/>
      <c r="BH49" s="1561"/>
      <c r="BI49" s="1561"/>
      <c r="BJ49" s="1561"/>
      <c r="BK49" s="1561"/>
      <c r="BL49" s="1561"/>
      <c r="BM49" s="1561"/>
      <c r="BN49" s="1567"/>
    </row>
    <row r="50" spans="1:66" ht="56.25" customHeight="1">
      <c r="A50" s="1377"/>
      <c r="B50" s="1375"/>
      <c r="C50" s="1377"/>
      <c r="D50" s="1375"/>
      <c r="E50" s="1367" t="s">
        <v>764</v>
      </c>
      <c r="F50" s="1367" t="s">
        <v>765</v>
      </c>
      <c r="G50" s="1367" t="s">
        <v>654</v>
      </c>
      <c r="H50" s="1569">
        <v>0.95</v>
      </c>
      <c r="I50" s="1377"/>
      <c r="J50" s="1375"/>
      <c r="K50" s="666">
        <v>1</v>
      </c>
      <c r="L50" s="477" t="s">
        <v>766</v>
      </c>
      <c r="M50" s="657" t="s">
        <v>767</v>
      </c>
      <c r="N50" s="657">
        <v>1</v>
      </c>
      <c r="O50" s="657">
        <v>1</v>
      </c>
      <c r="P50" s="657">
        <v>1</v>
      </c>
      <c r="Q50" s="657">
        <v>1</v>
      </c>
      <c r="R50" s="1469"/>
      <c r="S50" s="1469"/>
      <c r="T50" s="1469"/>
      <c r="U50" s="1460"/>
      <c r="V50" s="1460"/>
      <c r="W50" s="374" t="s">
        <v>725</v>
      </c>
      <c r="X50" s="1566"/>
      <c r="Y50" s="1561"/>
      <c r="Z50" s="1561"/>
      <c r="AA50" s="1561"/>
      <c r="AB50" s="1561"/>
      <c r="AC50" s="1561"/>
      <c r="AD50" s="1561"/>
      <c r="AE50" s="1561"/>
      <c r="AF50" s="1561"/>
      <c r="AG50" s="1561"/>
      <c r="AH50" s="1561"/>
      <c r="AI50" s="1561"/>
      <c r="AJ50" s="1561"/>
      <c r="AK50" s="1561"/>
      <c r="AL50" s="1561"/>
      <c r="AM50" s="1561"/>
      <c r="AN50" s="1561"/>
      <c r="AO50" s="1561"/>
      <c r="AP50" s="1561"/>
      <c r="AQ50" s="1561"/>
      <c r="AR50" s="1561"/>
      <c r="AS50" s="1561"/>
      <c r="AT50" s="1561"/>
      <c r="AU50" s="1561"/>
      <c r="AV50" s="1561"/>
      <c r="AW50" s="1561"/>
      <c r="AX50" s="1561"/>
      <c r="AY50" s="1561"/>
      <c r="AZ50" s="1561"/>
      <c r="BA50" s="1561"/>
      <c r="BB50" s="1561"/>
      <c r="BC50" s="1561"/>
      <c r="BD50" s="1561"/>
      <c r="BE50" s="1561"/>
      <c r="BF50" s="1561"/>
      <c r="BG50" s="1561"/>
      <c r="BH50" s="1561"/>
      <c r="BI50" s="1561"/>
      <c r="BJ50" s="1561"/>
      <c r="BK50" s="1561"/>
      <c r="BL50" s="1561"/>
      <c r="BM50" s="1561"/>
      <c r="BN50" s="1567"/>
    </row>
    <row r="51" spans="1:66" ht="56.25" customHeight="1">
      <c r="A51" s="1377"/>
      <c r="B51" s="1375"/>
      <c r="C51" s="1377"/>
      <c r="D51" s="1375"/>
      <c r="E51" s="1367"/>
      <c r="F51" s="1367"/>
      <c r="G51" s="1367"/>
      <c r="H51" s="1570"/>
      <c r="I51" s="1377"/>
      <c r="J51" s="1375"/>
      <c r="K51" s="666">
        <v>2</v>
      </c>
      <c r="L51" s="658" t="s">
        <v>768</v>
      </c>
      <c r="M51" s="657" t="s">
        <v>769</v>
      </c>
      <c r="N51" s="657">
        <v>1</v>
      </c>
      <c r="O51" s="657">
        <v>1</v>
      </c>
      <c r="P51" s="657">
        <v>1</v>
      </c>
      <c r="Q51" s="657">
        <v>1</v>
      </c>
      <c r="R51" s="1469"/>
      <c r="S51" s="1469"/>
      <c r="T51" s="1469"/>
      <c r="U51" s="1460"/>
      <c r="V51" s="1460"/>
      <c r="W51" s="374" t="s">
        <v>725</v>
      </c>
      <c r="X51" s="1566"/>
      <c r="Y51" s="1561"/>
      <c r="Z51" s="1561"/>
      <c r="AA51" s="1561"/>
      <c r="AB51" s="1561"/>
      <c r="AC51" s="1561"/>
      <c r="AD51" s="1561"/>
      <c r="AE51" s="1561"/>
      <c r="AF51" s="1561"/>
      <c r="AG51" s="1561"/>
      <c r="AH51" s="1561"/>
      <c r="AI51" s="1561"/>
      <c r="AJ51" s="1561"/>
      <c r="AK51" s="1561"/>
      <c r="AL51" s="1561"/>
      <c r="AM51" s="1561"/>
      <c r="AN51" s="1561"/>
      <c r="AO51" s="1561"/>
      <c r="AP51" s="1561"/>
      <c r="AQ51" s="1561"/>
      <c r="AR51" s="1561"/>
      <c r="AS51" s="1561"/>
      <c r="AT51" s="1561"/>
      <c r="AU51" s="1561"/>
      <c r="AV51" s="1561"/>
      <c r="AW51" s="1561"/>
      <c r="AX51" s="1561"/>
      <c r="AY51" s="1561"/>
      <c r="AZ51" s="1561"/>
      <c r="BA51" s="1561"/>
      <c r="BB51" s="1561"/>
      <c r="BC51" s="1561"/>
      <c r="BD51" s="1561"/>
      <c r="BE51" s="1561"/>
      <c r="BF51" s="1561"/>
      <c r="BG51" s="1561"/>
      <c r="BH51" s="1561"/>
      <c r="BI51" s="1561"/>
      <c r="BJ51" s="1561"/>
      <c r="BK51" s="1561"/>
      <c r="BL51" s="1561"/>
      <c r="BM51" s="1561"/>
      <c r="BN51" s="1567"/>
    </row>
    <row r="52" spans="1:66" ht="41.25" customHeight="1">
      <c r="A52" s="1377"/>
      <c r="B52" s="1375"/>
      <c r="C52" s="1377"/>
      <c r="D52" s="1375"/>
      <c r="E52" s="1367"/>
      <c r="F52" s="1367"/>
      <c r="G52" s="1367"/>
      <c r="H52" s="1570"/>
      <c r="I52" s="1377"/>
      <c r="J52" s="1375"/>
      <c r="K52" s="666">
        <v>1</v>
      </c>
      <c r="L52" s="658" t="s">
        <v>770</v>
      </c>
      <c r="M52" s="657" t="s">
        <v>771</v>
      </c>
      <c r="N52" s="657">
        <v>1</v>
      </c>
      <c r="O52" s="657">
        <v>1</v>
      </c>
      <c r="P52" s="657">
        <v>1</v>
      </c>
      <c r="Q52" s="657">
        <v>1</v>
      </c>
      <c r="R52" s="1469"/>
      <c r="S52" s="1469"/>
      <c r="T52" s="1469"/>
      <c r="U52" s="1460"/>
      <c r="V52" s="1460"/>
      <c r="W52" s="374" t="s">
        <v>725</v>
      </c>
      <c r="X52" s="1566"/>
      <c r="Y52" s="1561"/>
      <c r="Z52" s="1561"/>
      <c r="AA52" s="1561"/>
      <c r="AB52" s="1561"/>
      <c r="AC52" s="1561"/>
      <c r="AD52" s="1561"/>
      <c r="AE52" s="1561"/>
      <c r="AF52" s="1561"/>
      <c r="AG52" s="1561"/>
      <c r="AH52" s="1561"/>
      <c r="AI52" s="1561"/>
      <c r="AJ52" s="1561"/>
      <c r="AK52" s="1561"/>
      <c r="AL52" s="1561"/>
      <c r="AM52" s="1561"/>
      <c r="AN52" s="1561"/>
      <c r="AO52" s="1561"/>
      <c r="AP52" s="1561"/>
      <c r="AQ52" s="1561"/>
      <c r="AR52" s="1561"/>
      <c r="AS52" s="1561"/>
      <c r="AT52" s="1561"/>
      <c r="AU52" s="1561"/>
      <c r="AV52" s="1561"/>
      <c r="AW52" s="1561"/>
      <c r="AX52" s="1561"/>
      <c r="AY52" s="1561"/>
      <c r="AZ52" s="1561"/>
      <c r="BA52" s="1561"/>
      <c r="BB52" s="1561"/>
      <c r="BC52" s="1561"/>
      <c r="BD52" s="1561"/>
      <c r="BE52" s="1561"/>
      <c r="BF52" s="1561"/>
      <c r="BG52" s="1561"/>
      <c r="BH52" s="1561"/>
      <c r="BI52" s="1561"/>
      <c r="BJ52" s="1561"/>
      <c r="BK52" s="1561"/>
      <c r="BL52" s="1561"/>
      <c r="BM52" s="1561"/>
      <c r="BN52" s="1567"/>
    </row>
    <row r="53" spans="1:66" ht="77.25" customHeight="1">
      <c r="A53" s="1377"/>
      <c r="B53" s="1375"/>
      <c r="C53" s="1377"/>
      <c r="D53" s="1375"/>
      <c r="E53" s="1367"/>
      <c r="F53" s="1367"/>
      <c r="G53" s="1367"/>
      <c r="H53" s="1570"/>
      <c r="I53" s="1377"/>
      <c r="J53" s="1375"/>
      <c r="K53" s="666">
        <v>1</v>
      </c>
      <c r="L53" s="658" t="s">
        <v>772</v>
      </c>
      <c r="M53" s="657" t="s">
        <v>773</v>
      </c>
      <c r="N53" s="657"/>
      <c r="O53" s="657"/>
      <c r="P53" s="657">
        <v>1</v>
      </c>
      <c r="Q53" s="657"/>
      <c r="R53" s="1469"/>
      <c r="S53" s="1469"/>
      <c r="T53" s="1469"/>
      <c r="U53" s="1460"/>
      <c r="V53" s="1460"/>
      <c r="W53" s="374" t="s">
        <v>725</v>
      </c>
      <c r="X53" s="1566"/>
      <c r="Y53" s="1561"/>
      <c r="Z53" s="1561"/>
      <c r="AA53" s="1561"/>
      <c r="AB53" s="1561"/>
      <c r="AC53" s="1561"/>
      <c r="AD53" s="1561"/>
      <c r="AE53" s="1561"/>
      <c r="AF53" s="1561"/>
      <c r="AG53" s="1561"/>
      <c r="AH53" s="1561"/>
      <c r="AI53" s="1561"/>
      <c r="AJ53" s="1561"/>
      <c r="AK53" s="1561"/>
      <c r="AL53" s="1561"/>
      <c r="AM53" s="1561"/>
      <c r="AN53" s="1561"/>
      <c r="AO53" s="1561"/>
      <c r="AP53" s="1561"/>
      <c r="AQ53" s="1561"/>
      <c r="AR53" s="1561"/>
      <c r="AS53" s="1561"/>
      <c r="AT53" s="1561"/>
      <c r="AU53" s="1561"/>
      <c r="AV53" s="1561"/>
      <c r="AW53" s="1561"/>
      <c r="AX53" s="1561"/>
      <c r="AY53" s="1561"/>
      <c r="AZ53" s="1561"/>
      <c r="BA53" s="1561"/>
      <c r="BB53" s="1561"/>
      <c r="BC53" s="1561"/>
      <c r="BD53" s="1561"/>
      <c r="BE53" s="1561"/>
      <c r="BF53" s="1561"/>
      <c r="BG53" s="1561"/>
      <c r="BH53" s="1561"/>
      <c r="BI53" s="1561"/>
      <c r="BJ53" s="1561"/>
      <c r="BK53" s="1561"/>
      <c r="BL53" s="1561"/>
      <c r="BM53" s="1561"/>
      <c r="BN53" s="1567"/>
    </row>
    <row r="54" spans="1:66" ht="87.75" customHeight="1">
      <c r="A54" s="1377"/>
      <c r="B54" s="1375"/>
      <c r="C54" s="1377"/>
      <c r="D54" s="1375"/>
      <c r="E54" s="1367"/>
      <c r="F54" s="1367"/>
      <c r="G54" s="1367"/>
      <c r="H54" s="1570"/>
      <c r="I54" s="1377"/>
      <c r="J54" s="1375"/>
      <c r="K54" s="666">
        <v>1</v>
      </c>
      <c r="L54" s="658" t="s">
        <v>774</v>
      </c>
      <c r="M54" s="657" t="s">
        <v>775</v>
      </c>
      <c r="N54" s="657">
        <v>1</v>
      </c>
      <c r="O54" s="657">
        <v>1</v>
      </c>
      <c r="P54" s="657">
        <v>1</v>
      </c>
      <c r="Q54" s="657">
        <v>1</v>
      </c>
      <c r="R54" s="1469"/>
      <c r="S54" s="1469"/>
      <c r="T54" s="1469"/>
      <c r="U54" s="1460"/>
      <c r="V54" s="1460"/>
      <c r="W54" s="374" t="s">
        <v>725</v>
      </c>
      <c r="X54" s="1566"/>
      <c r="Y54" s="1561"/>
      <c r="Z54" s="1561"/>
      <c r="AA54" s="1561"/>
      <c r="AB54" s="1561"/>
      <c r="AC54" s="1561"/>
      <c r="AD54" s="1561"/>
      <c r="AE54" s="1561"/>
      <c r="AF54" s="1561"/>
      <c r="AG54" s="1561"/>
      <c r="AH54" s="1561"/>
      <c r="AI54" s="1561"/>
      <c r="AJ54" s="1561"/>
      <c r="AK54" s="1561"/>
      <c r="AL54" s="1561"/>
      <c r="AM54" s="1561"/>
      <c r="AN54" s="1561"/>
      <c r="AO54" s="1561"/>
      <c r="AP54" s="1561"/>
      <c r="AQ54" s="1561"/>
      <c r="AR54" s="1561"/>
      <c r="AS54" s="1561"/>
      <c r="AT54" s="1561"/>
      <c r="AU54" s="1561"/>
      <c r="AV54" s="1561"/>
      <c r="AW54" s="1561"/>
      <c r="AX54" s="1561"/>
      <c r="AY54" s="1561"/>
      <c r="AZ54" s="1561"/>
      <c r="BA54" s="1561"/>
      <c r="BB54" s="1561"/>
      <c r="BC54" s="1561"/>
      <c r="BD54" s="1561"/>
      <c r="BE54" s="1561"/>
      <c r="BF54" s="1561"/>
      <c r="BG54" s="1561"/>
      <c r="BH54" s="1561"/>
      <c r="BI54" s="1561"/>
      <c r="BJ54" s="1561"/>
      <c r="BK54" s="1561"/>
      <c r="BL54" s="1561"/>
      <c r="BM54" s="1561"/>
      <c r="BN54" s="1567"/>
    </row>
    <row r="55" spans="1:66" ht="84.75" customHeight="1">
      <c r="A55" s="1377"/>
      <c r="B55" s="1375"/>
      <c r="C55" s="1377"/>
      <c r="D55" s="1375"/>
      <c r="E55" s="1367"/>
      <c r="F55" s="1367"/>
      <c r="G55" s="1367"/>
      <c r="H55" s="1570"/>
      <c r="I55" s="1377"/>
      <c r="J55" s="1375"/>
      <c r="K55" s="666">
        <v>1</v>
      </c>
      <c r="L55" s="658" t="s">
        <v>776</v>
      </c>
      <c r="M55" s="657" t="s">
        <v>777</v>
      </c>
      <c r="N55" s="367"/>
      <c r="O55" s="367">
        <v>1</v>
      </c>
      <c r="P55" s="657"/>
      <c r="Q55" s="367"/>
      <c r="R55" s="1469"/>
      <c r="S55" s="1469"/>
      <c r="T55" s="1469"/>
      <c r="U55" s="1460"/>
      <c r="V55" s="1460"/>
      <c r="W55" s="374" t="s">
        <v>725</v>
      </c>
      <c r="X55" s="1566"/>
      <c r="Y55" s="1561"/>
      <c r="Z55" s="1561"/>
      <c r="AA55" s="1561"/>
      <c r="AB55" s="1561"/>
      <c r="AC55" s="1561"/>
      <c r="AD55" s="1561"/>
      <c r="AE55" s="1561"/>
      <c r="AF55" s="1561"/>
      <c r="AG55" s="1561"/>
      <c r="AH55" s="1561"/>
      <c r="AI55" s="1561"/>
      <c r="AJ55" s="1561"/>
      <c r="AK55" s="1561"/>
      <c r="AL55" s="1561"/>
      <c r="AM55" s="1561"/>
      <c r="AN55" s="1561"/>
      <c r="AO55" s="1561"/>
      <c r="AP55" s="1561"/>
      <c r="AQ55" s="1561"/>
      <c r="AR55" s="1561"/>
      <c r="AS55" s="1561"/>
      <c r="AT55" s="1561"/>
      <c r="AU55" s="1561"/>
      <c r="AV55" s="1561"/>
      <c r="AW55" s="1561"/>
      <c r="AX55" s="1561"/>
      <c r="AY55" s="1561"/>
      <c r="AZ55" s="1561"/>
      <c r="BA55" s="1561"/>
      <c r="BB55" s="1561"/>
      <c r="BC55" s="1561"/>
      <c r="BD55" s="1561"/>
      <c r="BE55" s="1561"/>
      <c r="BF55" s="1561"/>
      <c r="BG55" s="1561"/>
      <c r="BH55" s="1561"/>
      <c r="BI55" s="1561"/>
      <c r="BJ55" s="1561"/>
      <c r="BK55" s="1561"/>
      <c r="BL55" s="1561"/>
      <c r="BM55" s="1561"/>
      <c r="BN55" s="1567"/>
    </row>
    <row r="56" spans="1:66" ht="85.5" customHeight="1">
      <c r="A56" s="1377"/>
      <c r="B56" s="1375"/>
      <c r="C56" s="1377"/>
      <c r="D56" s="1375"/>
      <c r="E56" s="1367"/>
      <c r="F56" s="1367"/>
      <c r="G56" s="1367"/>
      <c r="H56" s="1570"/>
      <c r="I56" s="1377"/>
      <c r="J56" s="1375"/>
      <c r="K56" s="666">
        <v>1</v>
      </c>
      <c r="L56" s="477" t="s">
        <v>778</v>
      </c>
      <c r="M56" s="657" t="s">
        <v>779</v>
      </c>
      <c r="N56" s="367">
        <v>1</v>
      </c>
      <c r="O56" s="367">
        <v>1</v>
      </c>
      <c r="P56" s="657"/>
      <c r="Q56" s="367"/>
      <c r="R56" s="1469"/>
      <c r="S56" s="1469"/>
      <c r="T56" s="1469"/>
      <c r="U56" s="1460"/>
      <c r="V56" s="1460"/>
      <c r="W56" s="374" t="s">
        <v>725</v>
      </c>
      <c r="X56" s="1566"/>
      <c r="Y56" s="1561"/>
      <c r="Z56" s="1561"/>
      <c r="AA56" s="1561"/>
      <c r="AB56" s="1561"/>
      <c r="AC56" s="1561"/>
      <c r="AD56" s="1561"/>
      <c r="AE56" s="1561"/>
      <c r="AF56" s="1561"/>
      <c r="AG56" s="1561"/>
      <c r="AH56" s="1561"/>
      <c r="AI56" s="1561"/>
      <c r="AJ56" s="1561"/>
      <c r="AK56" s="1561"/>
      <c r="AL56" s="1561"/>
      <c r="AM56" s="1561"/>
      <c r="AN56" s="1561"/>
      <c r="AO56" s="1561"/>
      <c r="AP56" s="1561"/>
      <c r="AQ56" s="1561"/>
      <c r="AR56" s="1561"/>
      <c r="AS56" s="1561"/>
      <c r="AT56" s="1561"/>
      <c r="AU56" s="1561"/>
      <c r="AV56" s="1561"/>
      <c r="AW56" s="1561"/>
      <c r="AX56" s="1561"/>
      <c r="AY56" s="1561"/>
      <c r="AZ56" s="1561"/>
      <c r="BA56" s="1561"/>
      <c r="BB56" s="1561"/>
      <c r="BC56" s="1561"/>
      <c r="BD56" s="1561"/>
      <c r="BE56" s="1561"/>
      <c r="BF56" s="1561"/>
      <c r="BG56" s="1561"/>
      <c r="BH56" s="1561"/>
      <c r="BI56" s="1561"/>
      <c r="BJ56" s="1561"/>
      <c r="BK56" s="1561"/>
      <c r="BL56" s="1561"/>
      <c r="BM56" s="1561"/>
      <c r="BN56" s="1567"/>
    </row>
    <row r="57" spans="1:66" ht="56.25" customHeight="1">
      <c r="A57" s="1377"/>
      <c r="B57" s="1375"/>
      <c r="C57" s="1377"/>
      <c r="D57" s="1375"/>
      <c r="E57" s="1367"/>
      <c r="F57" s="1367"/>
      <c r="G57" s="1367"/>
      <c r="H57" s="1570"/>
      <c r="I57" s="1377"/>
      <c r="J57" s="1375"/>
      <c r="K57" s="666">
        <v>1</v>
      </c>
      <c r="L57" s="477" t="s">
        <v>780</v>
      </c>
      <c r="M57" s="657" t="s">
        <v>781</v>
      </c>
      <c r="N57" s="367">
        <v>1</v>
      </c>
      <c r="O57" s="657">
        <v>1</v>
      </c>
      <c r="P57" s="657"/>
      <c r="Q57" s="367"/>
      <c r="R57" s="1469"/>
      <c r="S57" s="1469"/>
      <c r="T57" s="1469"/>
      <c r="U57" s="1460"/>
      <c r="V57" s="1460"/>
      <c r="W57" s="374" t="s">
        <v>725</v>
      </c>
      <c r="X57" s="1566"/>
      <c r="Y57" s="1561"/>
      <c r="Z57" s="1561"/>
      <c r="AA57" s="1561"/>
      <c r="AB57" s="1561"/>
      <c r="AC57" s="1561"/>
      <c r="AD57" s="1561"/>
      <c r="AE57" s="1561"/>
      <c r="AF57" s="1561"/>
      <c r="AG57" s="1561"/>
      <c r="AH57" s="1561"/>
      <c r="AI57" s="1561"/>
      <c r="AJ57" s="1561"/>
      <c r="AK57" s="1561"/>
      <c r="AL57" s="1561"/>
      <c r="AM57" s="1561"/>
      <c r="AN57" s="1561"/>
      <c r="AO57" s="1561"/>
      <c r="AP57" s="1561"/>
      <c r="AQ57" s="1561"/>
      <c r="AR57" s="1561"/>
      <c r="AS57" s="1561"/>
      <c r="AT57" s="1561"/>
      <c r="AU57" s="1561"/>
      <c r="AV57" s="1561"/>
      <c r="AW57" s="1561"/>
      <c r="AX57" s="1561"/>
      <c r="AY57" s="1561"/>
      <c r="AZ57" s="1561"/>
      <c r="BA57" s="1561"/>
      <c r="BB57" s="1561"/>
      <c r="BC57" s="1561"/>
      <c r="BD57" s="1561"/>
      <c r="BE57" s="1561"/>
      <c r="BF57" s="1561"/>
      <c r="BG57" s="1561"/>
      <c r="BH57" s="1561"/>
      <c r="BI57" s="1561"/>
      <c r="BJ57" s="1561"/>
      <c r="BK57" s="1561"/>
      <c r="BL57" s="1561"/>
      <c r="BM57" s="1561"/>
      <c r="BN57" s="1567"/>
    </row>
    <row r="58" spans="1:66" ht="56.25" customHeight="1">
      <c r="A58" s="1377"/>
      <c r="B58" s="1375"/>
      <c r="C58" s="1377"/>
      <c r="D58" s="1375"/>
      <c r="E58" s="1367"/>
      <c r="F58" s="1367"/>
      <c r="G58" s="1367"/>
      <c r="H58" s="1570"/>
      <c r="I58" s="1377"/>
      <c r="J58" s="1375"/>
      <c r="K58" s="666">
        <v>1</v>
      </c>
      <c r="L58" s="658" t="s">
        <v>782</v>
      </c>
      <c r="M58" s="657" t="s">
        <v>783</v>
      </c>
      <c r="N58" s="367"/>
      <c r="O58" s="367">
        <v>1</v>
      </c>
      <c r="P58" s="657"/>
      <c r="Q58" s="367"/>
      <c r="R58" s="1469"/>
      <c r="S58" s="1469"/>
      <c r="T58" s="1469"/>
      <c r="U58" s="1460"/>
      <c r="V58" s="1460"/>
      <c r="W58" s="374" t="s">
        <v>725</v>
      </c>
      <c r="X58" s="1566"/>
      <c r="Y58" s="1561"/>
      <c r="Z58" s="1561"/>
      <c r="AA58" s="1561"/>
      <c r="AB58" s="1561"/>
      <c r="AC58" s="1561"/>
      <c r="AD58" s="1561"/>
      <c r="AE58" s="1561"/>
      <c r="AF58" s="1561"/>
      <c r="AG58" s="1561"/>
      <c r="AH58" s="1561"/>
      <c r="AI58" s="1561"/>
      <c r="AJ58" s="1561"/>
      <c r="AK58" s="1561"/>
      <c r="AL58" s="1561"/>
      <c r="AM58" s="1561"/>
      <c r="AN58" s="1561"/>
      <c r="AO58" s="1561"/>
      <c r="AP58" s="1561"/>
      <c r="AQ58" s="1561"/>
      <c r="AR58" s="1561"/>
      <c r="AS58" s="1561"/>
      <c r="AT58" s="1561"/>
      <c r="AU58" s="1561"/>
      <c r="AV58" s="1561"/>
      <c r="AW58" s="1561"/>
      <c r="AX58" s="1561"/>
      <c r="AY58" s="1561"/>
      <c r="AZ58" s="1561"/>
      <c r="BA58" s="1561"/>
      <c r="BB58" s="1561"/>
      <c r="BC58" s="1561"/>
      <c r="BD58" s="1561"/>
      <c r="BE58" s="1561"/>
      <c r="BF58" s="1561"/>
      <c r="BG58" s="1561"/>
      <c r="BH58" s="1561"/>
      <c r="BI58" s="1561"/>
      <c r="BJ58" s="1561"/>
      <c r="BK58" s="1561"/>
      <c r="BL58" s="1561"/>
      <c r="BM58" s="1561"/>
      <c r="BN58" s="1563"/>
    </row>
    <row r="59" spans="1:66" ht="83.25" customHeight="1">
      <c r="A59" s="1377"/>
      <c r="B59" s="1375"/>
      <c r="C59" s="1377"/>
      <c r="D59" s="1375"/>
      <c r="E59" s="1367"/>
      <c r="F59" s="1367"/>
      <c r="G59" s="1367"/>
      <c r="H59" s="1570"/>
      <c r="I59" s="1377"/>
      <c r="J59" s="1375"/>
      <c r="K59" s="666">
        <v>1</v>
      </c>
      <c r="L59" s="477" t="s">
        <v>784</v>
      </c>
      <c r="M59" s="657" t="s">
        <v>785</v>
      </c>
      <c r="N59" s="657">
        <v>1</v>
      </c>
      <c r="O59" s="657">
        <v>1</v>
      </c>
      <c r="P59" s="657">
        <v>1</v>
      </c>
      <c r="Q59" s="657">
        <v>1</v>
      </c>
      <c r="R59" s="1469"/>
      <c r="S59" s="1469"/>
      <c r="T59" s="1469"/>
      <c r="U59" s="1460"/>
      <c r="V59" s="1460"/>
      <c r="W59" s="374" t="s">
        <v>725</v>
      </c>
      <c r="X59" s="1559" t="s">
        <v>1538</v>
      </c>
      <c r="Y59" s="1557"/>
      <c r="Z59" s="1557"/>
      <c r="AA59" s="1557"/>
      <c r="AB59" s="1557"/>
      <c r="AC59" s="1557"/>
      <c r="AD59" s="1557">
        <f>300000000-50000000</f>
        <v>250000000</v>
      </c>
      <c r="AE59" s="1557"/>
      <c r="AF59" s="1557"/>
      <c r="AG59" s="1557"/>
      <c r="AH59" s="1557"/>
      <c r="AI59" s="1557"/>
      <c r="AJ59" s="1557"/>
      <c r="AK59" s="1557"/>
      <c r="AL59" s="1557"/>
      <c r="AM59" s="1557"/>
      <c r="AN59" s="1557"/>
      <c r="AO59" s="1557"/>
      <c r="AP59" s="1557"/>
      <c r="AQ59" s="1557"/>
      <c r="AR59" s="1557"/>
      <c r="AS59" s="1557"/>
      <c r="AT59" s="1557"/>
      <c r="AU59" s="1557"/>
      <c r="AV59" s="1557"/>
      <c r="AW59" s="1557"/>
      <c r="AX59" s="1557"/>
      <c r="AY59" s="1557"/>
      <c r="AZ59" s="1557"/>
      <c r="BA59" s="1557"/>
      <c r="BB59" s="1557"/>
      <c r="BC59" s="1557"/>
      <c r="BD59" s="1557"/>
      <c r="BE59" s="1557"/>
      <c r="BF59" s="1557"/>
      <c r="BG59" s="1557"/>
      <c r="BH59" s="1557"/>
      <c r="BI59" s="1557"/>
      <c r="BJ59" s="1557"/>
      <c r="BK59" s="1557"/>
      <c r="BL59" s="1557"/>
      <c r="BM59" s="1557"/>
      <c r="BN59" s="1557">
        <f>SUM(Y59:BM59)</f>
        <v>250000000</v>
      </c>
    </row>
    <row r="60" spans="1:66" ht="56.25" customHeight="1">
      <c r="A60" s="1377"/>
      <c r="B60" s="1375"/>
      <c r="C60" s="1377"/>
      <c r="D60" s="1375"/>
      <c r="E60" s="1367"/>
      <c r="F60" s="1367"/>
      <c r="G60" s="1367"/>
      <c r="H60" s="1570"/>
      <c r="I60" s="1377"/>
      <c r="J60" s="1375"/>
      <c r="K60" s="666">
        <v>1</v>
      </c>
      <c r="L60" s="658" t="s">
        <v>786</v>
      </c>
      <c r="M60" s="657" t="s">
        <v>787</v>
      </c>
      <c r="N60" s="367"/>
      <c r="O60" s="657">
        <v>1</v>
      </c>
      <c r="P60" s="367"/>
      <c r="Q60" s="367"/>
      <c r="R60" s="1469"/>
      <c r="S60" s="1469"/>
      <c r="T60" s="1469"/>
      <c r="U60" s="1460"/>
      <c r="V60" s="1460"/>
      <c r="W60" s="374" t="s">
        <v>725</v>
      </c>
      <c r="X60" s="1559"/>
      <c r="Y60" s="1557"/>
      <c r="Z60" s="1557"/>
      <c r="AA60" s="1557"/>
      <c r="AB60" s="1557"/>
      <c r="AC60" s="1557"/>
      <c r="AD60" s="1557"/>
      <c r="AE60" s="1557"/>
      <c r="AF60" s="1557"/>
      <c r="AG60" s="1557"/>
      <c r="AH60" s="1557"/>
      <c r="AI60" s="1557"/>
      <c r="AJ60" s="1557"/>
      <c r="AK60" s="1557"/>
      <c r="AL60" s="1557"/>
      <c r="AM60" s="1557"/>
      <c r="AN60" s="1557"/>
      <c r="AO60" s="1557"/>
      <c r="AP60" s="1557"/>
      <c r="AQ60" s="1557"/>
      <c r="AR60" s="1557"/>
      <c r="AS60" s="1557"/>
      <c r="AT60" s="1557"/>
      <c r="AU60" s="1557"/>
      <c r="AV60" s="1557"/>
      <c r="AW60" s="1557"/>
      <c r="AX60" s="1557"/>
      <c r="AY60" s="1557"/>
      <c r="AZ60" s="1557"/>
      <c r="BA60" s="1557"/>
      <c r="BB60" s="1557"/>
      <c r="BC60" s="1557"/>
      <c r="BD60" s="1557"/>
      <c r="BE60" s="1557"/>
      <c r="BF60" s="1557"/>
      <c r="BG60" s="1557"/>
      <c r="BH60" s="1557"/>
      <c r="BI60" s="1557"/>
      <c r="BJ60" s="1557"/>
      <c r="BK60" s="1557"/>
      <c r="BL60" s="1557"/>
      <c r="BM60" s="1557"/>
      <c r="BN60" s="1557"/>
    </row>
    <row r="61" spans="1:66" ht="75.75" customHeight="1">
      <c r="A61" s="1377"/>
      <c r="B61" s="1375"/>
      <c r="C61" s="1377"/>
      <c r="D61" s="1375"/>
      <c r="E61" s="1367"/>
      <c r="F61" s="1367"/>
      <c r="G61" s="1367"/>
      <c r="H61" s="1570"/>
      <c r="I61" s="1377"/>
      <c r="J61" s="1375"/>
      <c r="K61" s="666">
        <v>1</v>
      </c>
      <c r="L61" s="658" t="s">
        <v>788</v>
      </c>
      <c r="M61" s="657" t="s">
        <v>789</v>
      </c>
      <c r="N61" s="367"/>
      <c r="O61" s="657"/>
      <c r="P61" s="367">
        <v>1</v>
      </c>
      <c r="Q61" s="367"/>
      <c r="R61" s="1469"/>
      <c r="S61" s="1469"/>
      <c r="T61" s="1469"/>
      <c r="U61" s="1460"/>
      <c r="V61" s="1460"/>
      <c r="W61" s="374" t="s">
        <v>725</v>
      </c>
      <c r="X61" s="443" t="s">
        <v>1537</v>
      </c>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c r="BK61" s="460"/>
      <c r="BL61" s="460"/>
      <c r="BM61" s="460"/>
      <c r="BN61" s="460">
        <f aca="true" t="shared" si="4" ref="BN61:BN67">SUM(Y61:BM61)</f>
        <v>0</v>
      </c>
    </row>
    <row r="62" spans="1:66" ht="120" customHeight="1">
      <c r="A62" s="1377"/>
      <c r="B62" s="1375"/>
      <c r="C62" s="1377"/>
      <c r="D62" s="1375"/>
      <c r="E62" s="1367"/>
      <c r="F62" s="1367"/>
      <c r="G62" s="1367"/>
      <c r="H62" s="1570"/>
      <c r="I62" s="1377"/>
      <c r="J62" s="1375"/>
      <c r="K62" s="666">
        <v>1</v>
      </c>
      <c r="L62" s="658" t="s">
        <v>790</v>
      </c>
      <c r="M62" s="657" t="s">
        <v>791</v>
      </c>
      <c r="N62" s="367"/>
      <c r="O62" s="367">
        <v>1</v>
      </c>
      <c r="P62" s="657"/>
      <c r="Q62" s="367"/>
      <c r="R62" s="1469"/>
      <c r="S62" s="1469"/>
      <c r="T62" s="1469"/>
      <c r="U62" s="1460"/>
      <c r="V62" s="1460"/>
      <c r="W62" s="374" t="s">
        <v>725</v>
      </c>
      <c r="X62" s="443" t="s">
        <v>1536</v>
      </c>
      <c r="Y62" s="460"/>
      <c r="Z62" s="460"/>
      <c r="AA62" s="460"/>
      <c r="AB62" s="460"/>
      <c r="AC62" s="460"/>
      <c r="AD62" s="460">
        <v>40000000</v>
      </c>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0"/>
      <c r="BN62" s="460">
        <f t="shared" si="4"/>
        <v>40000000</v>
      </c>
    </row>
    <row r="63" spans="1:66" ht="109.5" customHeight="1">
      <c r="A63" s="1377"/>
      <c r="B63" s="1375"/>
      <c r="C63" s="1377"/>
      <c r="D63" s="1375"/>
      <c r="E63" s="1367"/>
      <c r="F63" s="1367"/>
      <c r="G63" s="1367"/>
      <c r="H63" s="1570"/>
      <c r="I63" s="1377"/>
      <c r="J63" s="1375"/>
      <c r="K63" s="666">
        <v>1</v>
      </c>
      <c r="L63" s="658" t="s">
        <v>792</v>
      </c>
      <c r="M63" s="657" t="s">
        <v>793</v>
      </c>
      <c r="N63" s="657"/>
      <c r="O63" s="657">
        <v>1</v>
      </c>
      <c r="P63" s="367"/>
      <c r="Q63" s="367"/>
      <c r="R63" s="1469"/>
      <c r="S63" s="1469"/>
      <c r="T63" s="1469"/>
      <c r="U63" s="1460"/>
      <c r="V63" s="1460"/>
      <c r="W63" s="374" t="s">
        <v>725</v>
      </c>
      <c r="X63" s="648" t="s">
        <v>1610</v>
      </c>
      <c r="Y63" s="460"/>
      <c r="Z63" s="460"/>
      <c r="AA63" s="460"/>
      <c r="AB63" s="460"/>
      <c r="AC63" s="460"/>
      <c r="AD63" s="460"/>
      <c r="AE63" s="460"/>
      <c r="AF63" s="460"/>
      <c r="AG63" s="460"/>
      <c r="AH63" s="460"/>
      <c r="AI63" s="460"/>
      <c r="AJ63" s="460"/>
      <c r="AK63" s="460"/>
      <c r="AL63" s="460"/>
      <c r="AM63" s="460">
        <f>1300000000-1300000000</f>
        <v>0</v>
      </c>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c r="BK63" s="460"/>
      <c r="BL63" s="460"/>
      <c r="BM63" s="460"/>
      <c r="BN63" s="460">
        <f t="shared" si="4"/>
        <v>0</v>
      </c>
    </row>
    <row r="64" spans="1:66" ht="100.5" customHeight="1">
      <c r="A64" s="1377"/>
      <c r="B64" s="1375"/>
      <c r="C64" s="1377"/>
      <c r="D64" s="1375"/>
      <c r="E64" s="1367"/>
      <c r="F64" s="1367"/>
      <c r="G64" s="1367"/>
      <c r="H64" s="1570"/>
      <c r="I64" s="1377"/>
      <c r="J64" s="1375"/>
      <c r="K64" s="666">
        <v>1</v>
      </c>
      <c r="L64" s="658" t="s">
        <v>794</v>
      </c>
      <c r="M64" s="657" t="s">
        <v>795</v>
      </c>
      <c r="N64" s="367"/>
      <c r="O64" s="367">
        <v>1</v>
      </c>
      <c r="P64" s="657"/>
      <c r="Q64" s="367"/>
      <c r="R64" s="1469"/>
      <c r="S64" s="1469"/>
      <c r="T64" s="1469"/>
      <c r="U64" s="1460"/>
      <c r="V64" s="1460"/>
      <c r="W64" s="374" t="s">
        <v>725</v>
      </c>
      <c r="X64" s="648" t="s">
        <v>1535</v>
      </c>
      <c r="Y64" s="460"/>
      <c r="Z64" s="460"/>
      <c r="AA64" s="460"/>
      <c r="AB64" s="460"/>
      <c r="AC64" s="460"/>
      <c r="AD64" s="460"/>
      <c r="AE64" s="460"/>
      <c r="AF64" s="460"/>
      <c r="AG64" s="460"/>
      <c r="AH64" s="460"/>
      <c r="AI64" s="460"/>
      <c r="AJ64" s="460"/>
      <c r="AK64" s="460"/>
      <c r="AL64" s="460"/>
      <c r="AM64" s="460">
        <v>4400000000</v>
      </c>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0"/>
      <c r="BL64" s="460"/>
      <c r="BM64" s="460"/>
      <c r="BN64" s="460">
        <f t="shared" si="4"/>
        <v>4400000000</v>
      </c>
    </row>
    <row r="65" spans="1:66" ht="98.25" customHeight="1">
      <c r="A65" s="1377"/>
      <c r="B65" s="1375"/>
      <c r="C65" s="1377"/>
      <c r="D65" s="1375"/>
      <c r="E65" s="1367"/>
      <c r="F65" s="1367"/>
      <c r="G65" s="1367"/>
      <c r="H65" s="1570"/>
      <c r="I65" s="1377"/>
      <c r="J65" s="1375"/>
      <c r="K65" s="666">
        <v>1</v>
      </c>
      <c r="L65" s="477" t="s">
        <v>796</v>
      </c>
      <c r="M65" s="657" t="s">
        <v>797</v>
      </c>
      <c r="N65" s="657">
        <v>1</v>
      </c>
      <c r="O65" s="657">
        <v>1</v>
      </c>
      <c r="P65" s="657">
        <v>1</v>
      </c>
      <c r="Q65" s="657">
        <v>1</v>
      </c>
      <c r="R65" s="1469"/>
      <c r="S65" s="1469"/>
      <c r="T65" s="1469"/>
      <c r="U65" s="1460"/>
      <c r="V65" s="1460"/>
      <c r="W65" s="374" t="s">
        <v>725</v>
      </c>
      <c r="X65" s="443" t="s">
        <v>1532</v>
      </c>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460"/>
      <c r="BL65" s="460"/>
      <c r="BM65" s="460"/>
      <c r="BN65" s="460">
        <f t="shared" si="4"/>
        <v>0</v>
      </c>
    </row>
    <row r="66" spans="1:66" ht="56.25" customHeight="1">
      <c r="A66" s="1377"/>
      <c r="B66" s="1375"/>
      <c r="C66" s="1377"/>
      <c r="D66" s="1375"/>
      <c r="E66" s="1367"/>
      <c r="F66" s="1367"/>
      <c r="G66" s="1367"/>
      <c r="H66" s="1570"/>
      <c r="I66" s="1377"/>
      <c r="J66" s="1375"/>
      <c r="K66" s="666">
        <v>1</v>
      </c>
      <c r="L66" s="658" t="s">
        <v>798</v>
      </c>
      <c r="M66" s="657" t="s">
        <v>799</v>
      </c>
      <c r="N66" s="662"/>
      <c r="O66" s="662"/>
      <c r="P66" s="662">
        <v>0.35</v>
      </c>
      <c r="Q66" s="662">
        <v>0.15</v>
      </c>
      <c r="R66" s="1469"/>
      <c r="S66" s="1469"/>
      <c r="T66" s="1469"/>
      <c r="U66" s="1460"/>
      <c r="V66" s="1460"/>
      <c r="W66" s="374" t="s">
        <v>725</v>
      </c>
      <c r="X66" s="648" t="s">
        <v>1500</v>
      </c>
      <c r="Y66" s="460"/>
      <c r="Z66" s="460"/>
      <c r="AA66" s="460"/>
      <c r="AB66" s="460"/>
      <c r="AC66" s="460"/>
      <c r="AD66" s="460">
        <f>250000000+50000000</f>
        <v>300000000</v>
      </c>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460"/>
      <c r="BL66" s="460"/>
      <c r="BM66" s="460"/>
      <c r="BN66" s="460">
        <f t="shared" si="4"/>
        <v>300000000</v>
      </c>
    </row>
    <row r="67" spans="1:66" ht="84" customHeight="1">
      <c r="A67" s="1377"/>
      <c r="B67" s="1375"/>
      <c r="C67" s="1377"/>
      <c r="D67" s="1375"/>
      <c r="E67" s="1367"/>
      <c r="F67" s="1367"/>
      <c r="G67" s="1367"/>
      <c r="H67" s="1570"/>
      <c r="I67" s="1378"/>
      <c r="J67" s="1375"/>
      <c r="K67" s="666">
        <v>1</v>
      </c>
      <c r="L67" s="658" t="s">
        <v>800</v>
      </c>
      <c r="M67" s="657" t="s">
        <v>801</v>
      </c>
      <c r="N67" s="657"/>
      <c r="O67" s="657">
        <v>1</v>
      </c>
      <c r="P67" s="657">
        <v>1</v>
      </c>
      <c r="Q67" s="657">
        <v>2</v>
      </c>
      <c r="R67" s="1469"/>
      <c r="S67" s="1469"/>
      <c r="T67" s="1469"/>
      <c r="U67" s="1460"/>
      <c r="V67" s="1460"/>
      <c r="W67" s="374" t="s">
        <v>725</v>
      </c>
      <c r="X67" s="440" t="s">
        <v>1501</v>
      </c>
      <c r="Y67" s="460"/>
      <c r="Z67" s="460"/>
      <c r="AA67" s="460"/>
      <c r="AB67" s="460"/>
      <c r="AC67" s="460"/>
      <c r="AD67" s="460"/>
      <c r="AE67" s="460"/>
      <c r="AF67" s="460">
        <v>217793702</v>
      </c>
      <c r="AG67" s="460"/>
      <c r="AH67" s="460"/>
      <c r="AI67" s="460"/>
      <c r="AJ67" s="460"/>
      <c r="AK67" s="460"/>
      <c r="AL67" s="460"/>
      <c r="AM67" s="460">
        <v>4353000000</v>
      </c>
      <c r="AN67" s="460"/>
      <c r="AO67" s="460"/>
      <c r="AP67" s="460"/>
      <c r="AQ67" s="460"/>
      <c r="AR67" s="460"/>
      <c r="AS67" s="460"/>
      <c r="AT67" s="460"/>
      <c r="AU67" s="460"/>
      <c r="AV67" s="460"/>
      <c r="AW67" s="460"/>
      <c r="AX67" s="460"/>
      <c r="AY67" s="460"/>
      <c r="AZ67" s="460"/>
      <c r="BA67" s="460"/>
      <c r="BB67" s="460"/>
      <c r="BC67" s="460"/>
      <c r="BD67" s="460"/>
      <c r="BE67" s="460"/>
      <c r="BF67" s="460"/>
      <c r="BG67" s="460"/>
      <c r="BH67" s="460"/>
      <c r="BI67" s="460"/>
      <c r="BJ67" s="460"/>
      <c r="BK67" s="460"/>
      <c r="BL67" s="460"/>
      <c r="BM67" s="460"/>
      <c r="BN67" s="460">
        <f t="shared" si="4"/>
        <v>4570793702</v>
      </c>
    </row>
    <row r="68" spans="1:68" ht="26.25" customHeight="1">
      <c r="A68" s="1377"/>
      <c r="B68" s="1375"/>
      <c r="C68" s="1377"/>
      <c r="D68" s="1375"/>
      <c r="E68" s="657"/>
      <c r="F68" s="657"/>
      <c r="G68" s="657"/>
      <c r="H68" s="668"/>
      <c r="I68" s="652"/>
      <c r="J68" s="1456" t="s">
        <v>1463</v>
      </c>
      <c r="K68" s="1457"/>
      <c r="L68" s="1457"/>
      <c r="M68" s="1457"/>
      <c r="N68" s="1457"/>
      <c r="O68" s="1457"/>
      <c r="P68" s="1457"/>
      <c r="Q68" s="1457"/>
      <c r="R68" s="1457"/>
      <c r="S68" s="1457"/>
      <c r="T68" s="1457"/>
      <c r="U68" s="1457"/>
      <c r="V68" s="1457"/>
      <c r="W68" s="1457"/>
      <c r="X68" s="1458"/>
      <c r="Y68" s="462">
        <f>SUM(Y33:Y67)</f>
        <v>0</v>
      </c>
      <c r="Z68" s="462">
        <f aca="true" t="shared" si="5" ref="Z68:BL68">SUM(Z33:Z67)</f>
        <v>0</v>
      </c>
      <c r="AA68" s="462">
        <f t="shared" si="5"/>
        <v>0</v>
      </c>
      <c r="AB68" s="462">
        <f t="shared" si="5"/>
        <v>0</v>
      </c>
      <c r="AC68" s="462">
        <f t="shared" si="5"/>
        <v>0</v>
      </c>
      <c r="AD68" s="462">
        <f t="shared" si="5"/>
        <v>772592212</v>
      </c>
      <c r="AE68" s="462">
        <f t="shared" si="5"/>
        <v>534186840</v>
      </c>
      <c r="AF68" s="462">
        <f t="shared" si="5"/>
        <v>217793702</v>
      </c>
      <c r="AG68" s="462">
        <f t="shared" si="5"/>
        <v>0</v>
      </c>
      <c r="AH68" s="462">
        <f t="shared" si="5"/>
        <v>0</v>
      </c>
      <c r="AI68" s="462">
        <f t="shared" si="5"/>
        <v>0</v>
      </c>
      <c r="AJ68" s="462">
        <f t="shared" si="5"/>
        <v>0</v>
      </c>
      <c r="AK68" s="462">
        <f t="shared" si="5"/>
        <v>0</v>
      </c>
      <c r="AL68" s="462">
        <f t="shared" si="5"/>
        <v>80000000</v>
      </c>
      <c r="AM68" s="462">
        <f t="shared" si="5"/>
        <v>8753000000</v>
      </c>
      <c r="AN68" s="462">
        <f t="shared" si="5"/>
        <v>0</v>
      </c>
      <c r="AO68" s="462">
        <f t="shared" si="5"/>
        <v>0</v>
      </c>
      <c r="AP68" s="462">
        <f t="shared" si="5"/>
        <v>0</v>
      </c>
      <c r="AQ68" s="462">
        <f t="shared" si="5"/>
        <v>0</v>
      </c>
      <c r="AR68" s="462">
        <f t="shared" si="5"/>
        <v>0</v>
      </c>
      <c r="AS68" s="462">
        <f t="shared" si="5"/>
        <v>0</v>
      </c>
      <c r="AT68" s="462">
        <f t="shared" si="5"/>
        <v>0</v>
      </c>
      <c r="AU68" s="462">
        <f t="shared" si="5"/>
        <v>0</v>
      </c>
      <c r="AV68" s="462">
        <f t="shared" si="5"/>
        <v>0</v>
      </c>
      <c r="AW68" s="462">
        <f t="shared" si="5"/>
        <v>0</v>
      </c>
      <c r="AX68" s="462">
        <f t="shared" si="5"/>
        <v>0</v>
      </c>
      <c r="AY68" s="462">
        <f t="shared" si="5"/>
        <v>0</v>
      </c>
      <c r="AZ68" s="462">
        <f t="shared" si="5"/>
        <v>0</v>
      </c>
      <c r="BA68" s="462">
        <f t="shared" si="5"/>
        <v>0</v>
      </c>
      <c r="BB68" s="462">
        <f t="shared" si="5"/>
        <v>0</v>
      </c>
      <c r="BC68" s="462">
        <f t="shared" si="5"/>
        <v>0</v>
      </c>
      <c r="BD68" s="462">
        <f t="shared" si="5"/>
        <v>0</v>
      </c>
      <c r="BE68" s="462">
        <f t="shared" si="5"/>
        <v>0</v>
      </c>
      <c r="BF68" s="462">
        <f t="shared" si="5"/>
        <v>0</v>
      </c>
      <c r="BG68" s="462">
        <f t="shared" si="5"/>
        <v>0</v>
      </c>
      <c r="BH68" s="462">
        <f t="shared" si="5"/>
        <v>0</v>
      </c>
      <c r="BI68" s="462">
        <f t="shared" si="5"/>
        <v>0</v>
      </c>
      <c r="BJ68" s="462">
        <f t="shared" si="5"/>
        <v>0</v>
      </c>
      <c r="BK68" s="462">
        <f t="shared" si="5"/>
        <v>0</v>
      </c>
      <c r="BL68" s="462">
        <f t="shared" si="5"/>
        <v>0</v>
      </c>
      <c r="BM68" s="462">
        <f>SUM(BM33:BM67)</f>
        <v>0</v>
      </c>
      <c r="BN68" s="462">
        <f>SUM(BN33:BN67)</f>
        <v>10357572754</v>
      </c>
      <c r="BO68" s="412" t="s">
        <v>1616</v>
      </c>
      <c r="BP68" s="462">
        <v>80000000</v>
      </c>
    </row>
    <row r="69" spans="1:66" ht="56.25" customHeight="1">
      <c r="A69" s="1377"/>
      <c r="B69" s="1375"/>
      <c r="C69" s="1377"/>
      <c r="D69" s="1375"/>
      <c r="E69" s="1375" t="s">
        <v>802</v>
      </c>
      <c r="F69" s="1375" t="s">
        <v>803</v>
      </c>
      <c r="G69" s="1375" t="s">
        <v>804</v>
      </c>
      <c r="H69" s="1367"/>
      <c r="I69" s="1376">
        <v>1</v>
      </c>
      <c r="J69" s="1367" t="s">
        <v>805</v>
      </c>
      <c r="K69" s="666">
        <v>2</v>
      </c>
      <c r="L69" s="477" t="s">
        <v>806</v>
      </c>
      <c r="M69" s="1404" t="s">
        <v>807</v>
      </c>
      <c r="N69" s="657">
        <v>1000</v>
      </c>
      <c r="O69" s="657">
        <v>2000</v>
      </c>
      <c r="P69" s="657">
        <v>1000</v>
      </c>
      <c r="Q69" s="657">
        <v>1000</v>
      </c>
      <c r="R69" s="1460">
        <v>23021414</v>
      </c>
      <c r="S69" s="1469">
        <v>408634</v>
      </c>
      <c r="T69" s="1460">
        <v>514894</v>
      </c>
      <c r="U69" s="1469">
        <v>471340</v>
      </c>
      <c r="V69" s="1460">
        <v>24416282</v>
      </c>
      <c r="W69" s="391" t="s">
        <v>725</v>
      </c>
      <c r="X69" s="1559" t="s">
        <v>1540</v>
      </c>
      <c r="Y69" s="1557"/>
      <c r="Z69" s="1557"/>
      <c r="AA69" s="1557"/>
      <c r="AB69" s="1557"/>
      <c r="AC69" s="1557"/>
      <c r="AD69" s="1557"/>
      <c r="AE69" s="1557"/>
      <c r="AF69" s="1557"/>
      <c r="AG69" s="1557"/>
      <c r="AH69" s="1557">
        <v>60000000</v>
      </c>
      <c r="AI69" s="1557"/>
      <c r="AJ69" s="1557"/>
      <c r="AK69" s="1445"/>
      <c r="AL69" s="1557">
        <f>70000000-20000000</f>
        <v>50000000</v>
      </c>
      <c r="AM69" s="1557"/>
      <c r="AN69" s="1557"/>
      <c r="AO69" s="1445"/>
      <c r="AP69" s="1557"/>
      <c r="AQ69" s="1557"/>
      <c r="AR69" s="1557"/>
      <c r="AS69" s="1557">
        <v>20000000</v>
      </c>
      <c r="AT69" s="1557"/>
      <c r="AU69" s="1557"/>
      <c r="AV69" s="1557"/>
      <c r="AW69" s="1557"/>
      <c r="AX69" s="1557"/>
      <c r="AY69" s="1557"/>
      <c r="AZ69" s="1557"/>
      <c r="BA69" s="1445"/>
      <c r="BB69" s="1557"/>
      <c r="BC69" s="1557"/>
      <c r="BD69" s="1557"/>
      <c r="BE69" s="1557">
        <v>5015326</v>
      </c>
      <c r="BF69" s="1557"/>
      <c r="BG69" s="1557"/>
      <c r="BH69" s="1557"/>
      <c r="BI69" s="1557"/>
      <c r="BJ69" s="1557"/>
      <c r="BK69" s="1557"/>
      <c r="BL69" s="1557"/>
      <c r="BM69" s="1557"/>
      <c r="BN69" s="1521">
        <f aca="true" t="shared" si="6" ref="BN69:BN75">SUM(Y69:BM69)</f>
        <v>135015326</v>
      </c>
    </row>
    <row r="70" spans="1:66" ht="56.25" customHeight="1">
      <c r="A70" s="1377"/>
      <c r="B70" s="1375"/>
      <c r="C70" s="1377"/>
      <c r="D70" s="1375"/>
      <c r="E70" s="1375"/>
      <c r="F70" s="1375"/>
      <c r="G70" s="1375"/>
      <c r="H70" s="1367"/>
      <c r="I70" s="1377"/>
      <c r="J70" s="1367"/>
      <c r="K70" s="666">
        <v>2</v>
      </c>
      <c r="L70" s="477" t="s">
        <v>808</v>
      </c>
      <c r="M70" s="1404"/>
      <c r="N70" s="657">
        <v>200</v>
      </c>
      <c r="O70" s="657">
        <v>200</v>
      </c>
      <c r="P70" s="657">
        <v>300</v>
      </c>
      <c r="Q70" s="367">
        <v>300</v>
      </c>
      <c r="R70" s="1460"/>
      <c r="S70" s="1469"/>
      <c r="T70" s="1460"/>
      <c r="U70" s="1469"/>
      <c r="V70" s="1460"/>
      <c r="W70" s="391" t="s">
        <v>725</v>
      </c>
      <c r="X70" s="1559"/>
      <c r="Y70" s="1557"/>
      <c r="Z70" s="1557"/>
      <c r="AA70" s="1557"/>
      <c r="AB70" s="1557"/>
      <c r="AC70" s="1557"/>
      <c r="AD70" s="1557"/>
      <c r="AE70" s="1557"/>
      <c r="AF70" s="1557"/>
      <c r="AG70" s="1557"/>
      <c r="AH70" s="1557"/>
      <c r="AI70" s="1557"/>
      <c r="AJ70" s="1557"/>
      <c r="AK70" s="1446"/>
      <c r="AL70" s="1557"/>
      <c r="AM70" s="1557"/>
      <c r="AN70" s="1557"/>
      <c r="AO70" s="1446"/>
      <c r="AP70" s="1557"/>
      <c r="AQ70" s="1557"/>
      <c r="AR70" s="1557"/>
      <c r="AS70" s="1557"/>
      <c r="AT70" s="1557"/>
      <c r="AU70" s="1557"/>
      <c r="AV70" s="1557"/>
      <c r="AW70" s="1557"/>
      <c r="AX70" s="1557"/>
      <c r="AY70" s="1557"/>
      <c r="AZ70" s="1557"/>
      <c r="BA70" s="1446"/>
      <c r="BB70" s="1557"/>
      <c r="BC70" s="1557"/>
      <c r="BD70" s="1557"/>
      <c r="BE70" s="1557"/>
      <c r="BF70" s="1557"/>
      <c r="BG70" s="1557"/>
      <c r="BH70" s="1557"/>
      <c r="BI70" s="1557"/>
      <c r="BJ70" s="1557"/>
      <c r="BK70" s="1557"/>
      <c r="BL70" s="1557"/>
      <c r="BM70" s="1557"/>
      <c r="BN70" s="1558"/>
    </row>
    <row r="71" spans="1:66" ht="56.25" customHeight="1">
      <c r="A71" s="1377"/>
      <c r="B71" s="1375"/>
      <c r="C71" s="1377"/>
      <c r="D71" s="1375"/>
      <c r="E71" s="1375"/>
      <c r="F71" s="1375"/>
      <c r="G71" s="1375"/>
      <c r="H71" s="1367"/>
      <c r="I71" s="1377"/>
      <c r="J71" s="1367"/>
      <c r="K71" s="666">
        <v>1</v>
      </c>
      <c r="L71" s="397" t="s">
        <v>809</v>
      </c>
      <c r="M71" s="655" t="s">
        <v>810</v>
      </c>
      <c r="N71" s="655"/>
      <c r="O71" s="655">
        <v>2</v>
      </c>
      <c r="P71" s="367"/>
      <c r="Q71" s="367"/>
      <c r="R71" s="1460"/>
      <c r="S71" s="1469"/>
      <c r="T71" s="1460"/>
      <c r="U71" s="1469"/>
      <c r="V71" s="1460"/>
      <c r="W71" s="391" t="s">
        <v>725</v>
      </c>
      <c r="X71" s="1559"/>
      <c r="Y71" s="1557"/>
      <c r="Z71" s="1557"/>
      <c r="AA71" s="1557"/>
      <c r="AB71" s="1557"/>
      <c r="AC71" s="1557"/>
      <c r="AD71" s="1557"/>
      <c r="AE71" s="1557"/>
      <c r="AF71" s="1557"/>
      <c r="AG71" s="1557"/>
      <c r="AH71" s="1557"/>
      <c r="AI71" s="1557"/>
      <c r="AJ71" s="1557"/>
      <c r="AK71" s="1446"/>
      <c r="AL71" s="1557"/>
      <c r="AM71" s="1557"/>
      <c r="AN71" s="1557"/>
      <c r="AO71" s="1446"/>
      <c r="AP71" s="1557"/>
      <c r="AQ71" s="1557"/>
      <c r="AR71" s="1557"/>
      <c r="AS71" s="1557"/>
      <c r="AT71" s="1557"/>
      <c r="AU71" s="1557"/>
      <c r="AV71" s="1557"/>
      <c r="AW71" s="1557"/>
      <c r="AX71" s="1557"/>
      <c r="AY71" s="1557"/>
      <c r="AZ71" s="1557"/>
      <c r="BA71" s="1446"/>
      <c r="BB71" s="1557"/>
      <c r="BC71" s="1557"/>
      <c r="BD71" s="1557"/>
      <c r="BE71" s="1557"/>
      <c r="BF71" s="1557"/>
      <c r="BG71" s="1557"/>
      <c r="BH71" s="1557"/>
      <c r="BI71" s="1557"/>
      <c r="BJ71" s="1557"/>
      <c r="BK71" s="1557"/>
      <c r="BL71" s="1557"/>
      <c r="BM71" s="1557"/>
      <c r="BN71" s="1558"/>
    </row>
    <row r="72" spans="1:66" ht="56.25" customHeight="1">
      <c r="A72" s="1377"/>
      <c r="B72" s="1375"/>
      <c r="C72" s="1377"/>
      <c r="D72" s="1375"/>
      <c r="E72" s="1375"/>
      <c r="F72" s="1375"/>
      <c r="G72" s="1375"/>
      <c r="H72" s="1367"/>
      <c r="I72" s="1377"/>
      <c r="J72" s="1367"/>
      <c r="K72" s="666">
        <v>1</v>
      </c>
      <c r="L72" s="397" t="s">
        <v>811</v>
      </c>
      <c r="M72" s="655" t="s">
        <v>812</v>
      </c>
      <c r="N72" s="657"/>
      <c r="O72" s="657">
        <v>1</v>
      </c>
      <c r="P72" s="657">
        <v>1</v>
      </c>
      <c r="Q72" s="367"/>
      <c r="R72" s="1460"/>
      <c r="S72" s="1469"/>
      <c r="T72" s="1460"/>
      <c r="U72" s="1469"/>
      <c r="V72" s="1460"/>
      <c r="W72" s="391" t="s">
        <v>725</v>
      </c>
      <c r="X72" s="1559"/>
      <c r="Y72" s="1557"/>
      <c r="Z72" s="1557"/>
      <c r="AA72" s="1557"/>
      <c r="AB72" s="1557"/>
      <c r="AC72" s="1557"/>
      <c r="AD72" s="1557"/>
      <c r="AE72" s="1557"/>
      <c r="AF72" s="1557"/>
      <c r="AG72" s="1557"/>
      <c r="AH72" s="1557"/>
      <c r="AI72" s="1557"/>
      <c r="AJ72" s="1557"/>
      <c r="AK72" s="1363"/>
      <c r="AL72" s="1557"/>
      <c r="AM72" s="1557"/>
      <c r="AN72" s="1557"/>
      <c r="AO72" s="1363"/>
      <c r="AP72" s="1557"/>
      <c r="AQ72" s="1557"/>
      <c r="AR72" s="1557"/>
      <c r="AS72" s="1557"/>
      <c r="AT72" s="1557"/>
      <c r="AU72" s="1557"/>
      <c r="AV72" s="1557"/>
      <c r="AW72" s="1557"/>
      <c r="AX72" s="1557"/>
      <c r="AY72" s="1557"/>
      <c r="AZ72" s="1557"/>
      <c r="BA72" s="1363"/>
      <c r="BB72" s="1557"/>
      <c r="BC72" s="1557"/>
      <c r="BD72" s="1557"/>
      <c r="BE72" s="1557"/>
      <c r="BF72" s="1557"/>
      <c r="BG72" s="1557"/>
      <c r="BH72" s="1557"/>
      <c r="BI72" s="1557"/>
      <c r="BJ72" s="1557"/>
      <c r="BK72" s="1557"/>
      <c r="BL72" s="1557"/>
      <c r="BM72" s="1557"/>
      <c r="BN72" s="1522"/>
    </row>
    <row r="73" spans="1:66" ht="79.5" customHeight="1">
      <c r="A73" s="1377"/>
      <c r="B73" s="1375"/>
      <c r="C73" s="1377"/>
      <c r="D73" s="1375"/>
      <c r="E73" s="1375"/>
      <c r="F73" s="1375"/>
      <c r="G73" s="1375"/>
      <c r="H73" s="1367"/>
      <c r="I73" s="1377"/>
      <c r="J73" s="1367"/>
      <c r="K73" s="666">
        <v>1</v>
      </c>
      <c r="L73" s="477" t="s">
        <v>813</v>
      </c>
      <c r="M73" s="655" t="s">
        <v>814</v>
      </c>
      <c r="N73" s="662">
        <v>0.1</v>
      </c>
      <c r="O73" s="662">
        <v>0.1</v>
      </c>
      <c r="P73" s="662">
        <v>0.1</v>
      </c>
      <c r="Q73" s="657"/>
      <c r="R73" s="1460"/>
      <c r="S73" s="1469"/>
      <c r="T73" s="1460"/>
      <c r="U73" s="1469"/>
      <c r="V73" s="1460"/>
      <c r="W73" s="391" t="s">
        <v>725</v>
      </c>
      <c r="X73" s="443" t="s">
        <v>1541</v>
      </c>
      <c r="Y73" s="460"/>
      <c r="Z73" s="460"/>
      <c r="AA73" s="460"/>
      <c r="AB73" s="460"/>
      <c r="AC73" s="460"/>
      <c r="AD73" s="460"/>
      <c r="AE73" s="460"/>
      <c r="AF73" s="460"/>
      <c r="AG73" s="460"/>
      <c r="AH73" s="460">
        <v>25000000</v>
      </c>
      <c r="AI73" s="460"/>
      <c r="AJ73" s="460"/>
      <c r="AK73" s="460"/>
      <c r="AL73" s="460">
        <v>10000000</v>
      </c>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0"/>
      <c r="BJ73" s="460"/>
      <c r="BK73" s="460"/>
      <c r="BL73" s="460"/>
      <c r="BM73" s="460"/>
      <c r="BN73" s="460">
        <f t="shared" si="6"/>
        <v>35000000</v>
      </c>
    </row>
    <row r="74" spans="1:66" ht="70.5" customHeight="1">
      <c r="A74" s="1377"/>
      <c r="B74" s="1375"/>
      <c r="C74" s="1377"/>
      <c r="D74" s="1375"/>
      <c r="E74" s="1375"/>
      <c r="F74" s="1375"/>
      <c r="G74" s="1375"/>
      <c r="H74" s="1367"/>
      <c r="I74" s="1377"/>
      <c r="J74" s="1367"/>
      <c r="K74" s="666">
        <v>1</v>
      </c>
      <c r="L74" s="497" t="s">
        <v>815</v>
      </c>
      <c r="M74" s="655" t="s">
        <v>816</v>
      </c>
      <c r="N74" s="657">
        <v>1</v>
      </c>
      <c r="O74" s="657">
        <v>1</v>
      </c>
      <c r="P74" s="657">
        <v>1</v>
      </c>
      <c r="Q74" s="657">
        <v>1</v>
      </c>
      <c r="R74" s="1460"/>
      <c r="S74" s="1469"/>
      <c r="T74" s="1460"/>
      <c r="U74" s="1469"/>
      <c r="V74" s="1460"/>
      <c r="W74" s="391" t="s">
        <v>725</v>
      </c>
      <c r="X74" s="443" t="s">
        <v>1539</v>
      </c>
      <c r="Y74" s="460"/>
      <c r="Z74" s="460"/>
      <c r="AA74" s="460"/>
      <c r="AB74" s="460"/>
      <c r="AC74" s="460"/>
      <c r="AD74" s="460"/>
      <c r="AE74" s="460"/>
      <c r="AF74" s="460"/>
      <c r="AG74" s="460"/>
      <c r="AH74" s="460">
        <v>18803097</v>
      </c>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f t="shared" si="6"/>
        <v>18803097</v>
      </c>
    </row>
    <row r="75" spans="1:66" ht="56.25" customHeight="1">
      <c r="A75" s="1377"/>
      <c r="B75" s="1375"/>
      <c r="C75" s="1377"/>
      <c r="D75" s="1375"/>
      <c r="E75" s="1375"/>
      <c r="F75" s="1375"/>
      <c r="G75" s="1375"/>
      <c r="H75" s="1367"/>
      <c r="I75" s="1378"/>
      <c r="J75" s="1367"/>
      <c r="K75" s="666">
        <v>4</v>
      </c>
      <c r="L75" s="398" t="s">
        <v>817</v>
      </c>
      <c r="M75" s="368" t="s">
        <v>818</v>
      </c>
      <c r="N75" s="650"/>
      <c r="O75" s="672">
        <v>0.25</v>
      </c>
      <c r="P75" s="672">
        <v>0.15</v>
      </c>
      <c r="Q75" s="672">
        <v>0.1</v>
      </c>
      <c r="R75" s="1460"/>
      <c r="S75" s="1469"/>
      <c r="T75" s="1460"/>
      <c r="U75" s="1469"/>
      <c r="V75" s="1460"/>
      <c r="W75" s="391" t="s">
        <v>819</v>
      </c>
      <c r="X75" s="440" t="s">
        <v>1508</v>
      </c>
      <c r="Y75" s="460"/>
      <c r="Z75" s="460"/>
      <c r="AA75" s="460"/>
      <c r="AB75" s="460"/>
      <c r="AC75" s="460"/>
      <c r="AD75" s="460"/>
      <c r="AE75" s="460"/>
      <c r="AF75" s="460"/>
      <c r="AG75" s="460"/>
      <c r="AH75" s="460"/>
      <c r="AI75" s="460"/>
      <c r="AJ75" s="460"/>
      <c r="AK75" s="460"/>
      <c r="AL75" s="460"/>
      <c r="AM75" s="460">
        <v>21000000000</v>
      </c>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f t="shared" si="6"/>
        <v>21000000000</v>
      </c>
    </row>
    <row r="76" spans="1:68" ht="29.25" customHeight="1">
      <c r="A76" s="1377"/>
      <c r="B76" s="1375"/>
      <c r="C76" s="1377"/>
      <c r="D76" s="1375"/>
      <c r="E76" s="655"/>
      <c r="F76" s="655"/>
      <c r="G76" s="655"/>
      <c r="H76" s="657"/>
      <c r="I76" s="652"/>
      <c r="J76" s="1495" t="s">
        <v>1464</v>
      </c>
      <c r="K76" s="1496"/>
      <c r="L76" s="1496"/>
      <c r="M76" s="1496"/>
      <c r="N76" s="1496"/>
      <c r="O76" s="1496"/>
      <c r="P76" s="1496"/>
      <c r="Q76" s="1496"/>
      <c r="R76" s="1496"/>
      <c r="S76" s="1496"/>
      <c r="T76" s="1496"/>
      <c r="U76" s="1496"/>
      <c r="V76" s="1496"/>
      <c r="W76" s="1496"/>
      <c r="X76" s="1497"/>
      <c r="Y76" s="462">
        <f>SUM(Y69:Y75)</f>
        <v>0</v>
      </c>
      <c r="Z76" s="462">
        <f aca="true" t="shared" si="7" ref="Z76:BL76">SUM(Z69:Z75)</f>
        <v>0</v>
      </c>
      <c r="AA76" s="462">
        <f t="shared" si="7"/>
        <v>0</v>
      </c>
      <c r="AB76" s="462">
        <f t="shared" si="7"/>
        <v>0</v>
      </c>
      <c r="AC76" s="462">
        <f t="shared" si="7"/>
        <v>0</v>
      </c>
      <c r="AD76" s="462">
        <f t="shared" si="7"/>
        <v>0</v>
      </c>
      <c r="AE76" s="462">
        <f t="shared" si="7"/>
        <v>0</v>
      </c>
      <c r="AF76" s="462">
        <f t="shared" si="7"/>
        <v>0</v>
      </c>
      <c r="AG76" s="462">
        <f t="shared" si="7"/>
        <v>0</v>
      </c>
      <c r="AH76" s="462">
        <f t="shared" si="7"/>
        <v>103803097</v>
      </c>
      <c r="AI76" s="462">
        <f t="shared" si="7"/>
        <v>0</v>
      </c>
      <c r="AJ76" s="462">
        <f t="shared" si="7"/>
        <v>0</v>
      </c>
      <c r="AK76" s="462">
        <f t="shared" si="7"/>
        <v>0</v>
      </c>
      <c r="AL76" s="462">
        <f t="shared" si="7"/>
        <v>60000000</v>
      </c>
      <c r="AM76" s="462">
        <f t="shared" si="7"/>
        <v>21000000000</v>
      </c>
      <c r="AN76" s="462">
        <f t="shared" si="7"/>
        <v>0</v>
      </c>
      <c r="AO76" s="462">
        <f t="shared" si="7"/>
        <v>0</v>
      </c>
      <c r="AP76" s="462">
        <f t="shared" si="7"/>
        <v>0</v>
      </c>
      <c r="AQ76" s="462">
        <f t="shared" si="7"/>
        <v>0</v>
      </c>
      <c r="AR76" s="462">
        <f t="shared" si="7"/>
        <v>0</v>
      </c>
      <c r="AS76" s="462">
        <f t="shared" si="7"/>
        <v>20000000</v>
      </c>
      <c r="AT76" s="462">
        <f t="shared" si="7"/>
        <v>0</v>
      </c>
      <c r="AU76" s="462">
        <f t="shared" si="7"/>
        <v>0</v>
      </c>
      <c r="AV76" s="462">
        <f t="shared" si="7"/>
        <v>0</v>
      </c>
      <c r="AW76" s="462">
        <f t="shared" si="7"/>
        <v>0</v>
      </c>
      <c r="AX76" s="462">
        <f t="shared" si="7"/>
        <v>0</v>
      </c>
      <c r="AY76" s="462">
        <f t="shared" si="7"/>
        <v>0</v>
      </c>
      <c r="AZ76" s="462">
        <f t="shared" si="7"/>
        <v>0</v>
      </c>
      <c r="BA76" s="462">
        <f t="shared" si="7"/>
        <v>0</v>
      </c>
      <c r="BB76" s="462">
        <f t="shared" si="7"/>
        <v>0</v>
      </c>
      <c r="BC76" s="462">
        <f t="shared" si="7"/>
        <v>0</v>
      </c>
      <c r="BD76" s="462">
        <f t="shared" si="7"/>
        <v>0</v>
      </c>
      <c r="BE76" s="462">
        <f t="shared" si="7"/>
        <v>5015326</v>
      </c>
      <c r="BF76" s="462">
        <f t="shared" si="7"/>
        <v>0</v>
      </c>
      <c r="BG76" s="462">
        <f t="shared" si="7"/>
        <v>0</v>
      </c>
      <c r="BH76" s="462">
        <f t="shared" si="7"/>
        <v>0</v>
      </c>
      <c r="BI76" s="462">
        <f t="shared" si="7"/>
        <v>0</v>
      </c>
      <c r="BJ76" s="462">
        <f t="shared" si="7"/>
        <v>0</v>
      </c>
      <c r="BK76" s="462">
        <f t="shared" si="7"/>
        <v>0</v>
      </c>
      <c r="BL76" s="462">
        <f t="shared" si="7"/>
        <v>0</v>
      </c>
      <c r="BM76" s="462">
        <f>SUM(BM69:BM75)</f>
        <v>0</v>
      </c>
      <c r="BN76" s="462">
        <f>SUM(BN69:BN75)</f>
        <v>21188818423</v>
      </c>
      <c r="BO76" s="412" t="s">
        <v>1616</v>
      </c>
      <c r="BP76" s="412">
        <v>60000000</v>
      </c>
    </row>
    <row r="77" spans="1:66" ht="84.75" customHeight="1">
      <c r="A77" s="1377"/>
      <c r="B77" s="1375"/>
      <c r="C77" s="1377"/>
      <c r="D77" s="1375"/>
      <c r="E77" s="1375" t="s">
        <v>820</v>
      </c>
      <c r="F77" s="1375" t="s">
        <v>821</v>
      </c>
      <c r="G77" s="1375" t="s">
        <v>822</v>
      </c>
      <c r="H77" s="1367"/>
      <c r="I77" s="1376">
        <v>1</v>
      </c>
      <c r="J77" s="1367" t="s">
        <v>823</v>
      </c>
      <c r="K77" s="666">
        <v>1</v>
      </c>
      <c r="L77" s="658" t="s">
        <v>824</v>
      </c>
      <c r="M77" s="1375" t="s">
        <v>825</v>
      </c>
      <c r="N77" s="657">
        <v>500</v>
      </c>
      <c r="O77" s="657">
        <v>500</v>
      </c>
      <c r="P77" s="657">
        <v>500</v>
      </c>
      <c r="Q77" s="657"/>
      <c r="R77" s="1564">
        <v>1459647</v>
      </c>
      <c r="S77" s="1564">
        <v>2258771</v>
      </c>
      <c r="T77" s="1460">
        <v>2286073</v>
      </c>
      <c r="U77" s="1460">
        <v>798225</v>
      </c>
      <c r="V77" s="1460">
        <v>6802716</v>
      </c>
      <c r="W77" s="391" t="s">
        <v>725</v>
      </c>
      <c r="X77" s="1565" t="s">
        <v>1580</v>
      </c>
      <c r="Y77" s="1560"/>
      <c r="Z77" s="1560"/>
      <c r="AA77" s="1560"/>
      <c r="AB77" s="1560"/>
      <c r="AC77" s="1560"/>
      <c r="AD77" s="1560"/>
      <c r="AE77" s="1560"/>
      <c r="AF77" s="1560"/>
      <c r="AG77" s="1560"/>
      <c r="AH77" s="1560"/>
      <c r="AI77" s="1560">
        <v>77852324</v>
      </c>
      <c r="AJ77" s="1560"/>
      <c r="AK77" s="1445"/>
      <c r="AL77" s="1560"/>
      <c r="AM77" s="1560"/>
      <c r="AN77" s="1560"/>
      <c r="AO77" s="1445"/>
      <c r="AP77" s="1560"/>
      <c r="AQ77" s="1560"/>
      <c r="AR77" s="1560">
        <v>250000000</v>
      </c>
      <c r="AS77" s="1560"/>
      <c r="AT77" s="1560"/>
      <c r="AU77" s="1560"/>
      <c r="AV77" s="1560"/>
      <c r="AW77" s="1560">
        <v>30000000</v>
      </c>
      <c r="AX77" s="1560"/>
      <c r="AY77" s="1560"/>
      <c r="AZ77" s="1560"/>
      <c r="BA77" s="1445"/>
      <c r="BB77" s="1560"/>
      <c r="BC77" s="1560"/>
      <c r="BD77" s="1560"/>
      <c r="BE77" s="1560"/>
      <c r="BF77" s="1560"/>
      <c r="BG77" s="1560"/>
      <c r="BH77" s="1560"/>
      <c r="BI77" s="1560"/>
      <c r="BJ77" s="1560"/>
      <c r="BK77" s="1560"/>
      <c r="BL77" s="1560"/>
      <c r="BM77" s="1560"/>
      <c r="BN77" s="1562">
        <f>SUM(Y77:BM77)</f>
        <v>357852324</v>
      </c>
    </row>
    <row r="78" spans="1:66" ht="79.5" customHeight="1">
      <c r="A78" s="1377"/>
      <c r="B78" s="1375"/>
      <c r="C78" s="1377"/>
      <c r="D78" s="1375"/>
      <c r="E78" s="1375"/>
      <c r="F78" s="1375"/>
      <c r="G78" s="1375"/>
      <c r="H78" s="1367"/>
      <c r="I78" s="1377"/>
      <c r="J78" s="1367"/>
      <c r="K78" s="666">
        <v>1</v>
      </c>
      <c r="L78" s="658" t="s">
        <v>826</v>
      </c>
      <c r="M78" s="1375"/>
      <c r="N78" s="649">
        <v>1000</v>
      </c>
      <c r="O78" s="649">
        <v>2000</v>
      </c>
      <c r="P78" s="649">
        <v>1000</v>
      </c>
      <c r="Q78" s="649">
        <v>1000</v>
      </c>
      <c r="R78" s="1564"/>
      <c r="S78" s="1564"/>
      <c r="T78" s="1460"/>
      <c r="U78" s="1460"/>
      <c r="V78" s="1460"/>
      <c r="W78" s="391" t="s">
        <v>725</v>
      </c>
      <c r="X78" s="1566"/>
      <c r="Y78" s="1561"/>
      <c r="Z78" s="1561"/>
      <c r="AA78" s="1561"/>
      <c r="AB78" s="1561"/>
      <c r="AC78" s="1561"/>
      <c r="AD78" s="1561"/>
      <c r="AE78" s="1561"/>
      <c r="AF78" s="1561"/>
      <c r="AG78" s="1561"/>
      <c r="AH78" s="1561"/>
      <c r="AI78" s="1561"/>
      <c r="AJ78" s="1561"/>
      <c r="AK78" s="1363"/>
      <c r="AL78" s="1561"/>
      <c r="AM78" s="1561"/>
      <c r="AN78" s="1561"/>
      <c r="AO78" s="1363"/>
      <c r="AP78" s="1561"/>
      <c r="AQ78" s="1561"/>
      <c r="AR78" s="1561"/>
      <c r="AS78" s="1561"/>
      <c r="AT78" s="1561"/>
      <c r="AU78" s="1561"/>
      <c r="AV78" s="1561"/>
      <c r="AW78" s="1561"/>
      <c r="AX78" s="1561"/>
      <c r="AY78" s="1561"/>
      <c r="AZ78" s="1561"/>
      <c r="BA78" s="1363"/>
      <c r="BB78" s="1561"/>
      <c r="BC78" s="1561"/>
      <c r="BD78" s="1561"/>
      <c r="BE78" s="1561"/>
      <c r="BF78" s="1561"/>
      <c r="BG78" s="1561"/>
      <c r="BH78" s="1561"/>
      <c r="BI78" s="1561"/>
      <c r="BJ78" s="1561"/>
      <c r="BK78" s="1561"/>
      <c r="BL78" s="1561"/>
      <c r="BM78" s="1561"/>
      <c r="BN78" s="1563"/>
    </row>
    <row r="79" spans="1:66" ht="56.25" customHeight="1">
      <c r="A79" s="1377"/>
      <c r="B79" s="1375"/>
      <c r="C79" s="1377"/>
      <c r="D79" s="1375"/>
      <c r="E79" s="1375"/>
      <c r="F79" s="1375"/>
      <c r="G79" s="1375"/>
      <c r="H79" s="1367"/>
      <c r="I79" s="1377"/>
      <c r="J79" s="1367"/>
      <c r="K79" s="666">
        <v>1</v>
      </c>
      <c r="L79" s="658" t="s">
        <v>827</v>
      </c>
      <c r="M79" s="655" t="s">
        <v>828</v>
      </c>
      <c r="N79" s="657">
        <v>6</v>
      </c>
      <c r="O79" s="657">
        <v>6</v>
      </c>
      <c r="P79" s="657">
        <v>6</v>
      </c>
      <c r="Q79" s="657">
        <v>6</v>
      </c>
      <c r="R79" s="1564"/>
      <c r="S79" s="1564"/>
      <c r="T79" s="1460"/>
      <c r="U79" s="1460"/>
      <c r="V79" s="1460"/>
      <c r="W79" s="391" t="s">
        <v>725</v>
      </c>
      <c r="X79" s="443" t="s">
        <v>1543</v>
      </c>
      <c r="Y79" s="460"/>
      <c r="Z79" s="460"/>
      <c r="AA79" s="460"/>
      <c r="AB79" s="460"/>
      <c r="AC79" s="460"/>
      <c r="AD79" s="460"/>
      <c r="AE79" s="460"/>
      <c r="AF79" s="460"/>
      <c r="AG79" s="460"/>
      <c r="AH79" s="460"/>
      <c r="AI79" s="460"/>
      <c r="AJ79" s="460"/>
      <c r="AK79" s="460"/>
      <c r="AL79" s="460"/>
      <c r="AM79" s="460"/>
      <c r="AN79" s="460"/>
      <c r="AO79" s="460"/>
      <c r="AP79" s="460"/>
      <c r="AQ79" s="460"/>
      <c r="AR79" s="460">
        <f>480000000+100000000+100000000+100000000</f>
        <v>780000000</v>
      </c>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f aca="true" t="shared" si="8" ref="BN79:BN88">SUM(Y79:BM79)</f>
        <v>780000000</v>
      </c>
    </row>
    <row r="80" spans="1:66" ht="56.25" customHeight="1">
      <c r="A80" s="1377"/>
      <c r="B80" s="1375"/>
      <c r="C80" s="1377"/>
      <c r="D80" s="1375"/>
      <c r="E80" s="1375"/>
      <c r="F80" s="1375"/>
      <c r="G80" s="1375"/>
      <c r="H80" s="1367"/>
      <c r="I80" s="1377"/>
      <c r="J80" s="1367"/>
      <c r="K80" s="666">
        <v>1</v>
      </c>
      <c r="L80" s="658" t="s">
        <v>829</v>
      </c>
      <c r="M80" s="655" t="s">
        <v>830</v>
      </c>
      <c r="N80" s="649">
        <v>5000</v>
      </c>
      <c r="O80" s="649">
        <v>5000</v>
      </c>
      <c r="P80" s="649">
        <v>5000</v>
      </c>
      <c r="Q80" s="649">
        <v>5000</v>
      </c>
      <c r="R80" s="1564"/>
      <c r="S80" s="1564"/>
      <c r="T80" s="1460"/>
      <c r="U80" s="1460"/>
      <c r="V80" s="1460"/>
      <c r="W80" s="391" t="s">
        <v>725</v>
      </c>
      <c r="X80" s="1559" t="s">
        <v>1579</v>
      </c>
      <c r="Y80" s="1557"/>
      <c r="Z80" s="1557"/>
      <c r="AA80" s="1557"/>
      <c r="AB80" s="1557"/>
      <c r="AC80" s="1557"/>
      <c r="AD80" s="1557"/>
      <c r="AE80" s="1557"/>
      <c r="AF80" s="1557"/>
      <c r="AG80" s="1557"/>
      <c r="AH80" s="1557"/>
      <c r="AI80" s="1557"/>
      <c r="AJ80" s="1557"/>
      <c r="AK80" s="1445"/>
      <c r="AL80" s="1557"/>
      <c r="AM80" s="1557"/>
      <c r="AN80" s="1557"/>
      <c r="AO80" s="1445"/>
      <c r="AP80" s="1557"/>
      <c r="AQ80" s="1557"/>
      <c r="AR80" s="1557">
        <v>100000000</v>
      </c>
      <c r="AS80" s="1557"/>
      <c r="AT80" s="1557"/>
      <c r="AU80" s="1557"/>
      <c r="AV80" s="1557"/>
      <c r="AW80" s="1557"/>
      <c r="AX80" s="1557"/>
      <c r="AY80" s="1557"/>
      <c r="AZ80" s="1557"/>
      <c r="BA80" s="1445"/>
      <c r="BB80" s="1557"/>
      <c r="BC80" s="1557"/>
      <c r="BD80" s="1557"/>
      <c r="BE80" s="1557"/>
      <c r="BF80" s="1557"/>
      <c r="BG80" s="1557"/>
      <c r="BH80" s="1557"/>
      <c r="BI80" s="1557"/>
      <c r="BJ80" s="1557"/>
      <c r="BK80" s="1557"/>
      <c r="BL80" s="1557"/>
      <c r="BM80" s="1557"/>
      <c r="BN80" s="1521">
        <f t="shared" si="8"/>
        <v>100000000</v>
      </c>
    </row>
    <row r="81" spans="1:66" ht="77.25" customHeight="1">
      <c r="A81" s="1377"/>
      <c r="B81" s="1375"/>
      <c r="C81" s="1377"/>
      <c r="D81" s="1375"/>
      <c r="E81" s="1375"/>
      <c r="F81" s="1375"/>
      <c r="G81" s="1375"/>
      <c r="H81" s="1367"/>
      <c r="I81" s="1377"/>
      <c r="J81" s="1367"/>
      <c r="K81" s="666">
        <v>1</v>
      </c>
      <c r="L81" s="397" t="s">
        <v>831</v>
      </c>
      <c r="M81" s="655" t="s">
        <v>832</v>
      </c>
      <c r="N81" s="657"/>
      <c r="O81" s="655">
        <v>1</v>
      </c>
      <c r="P81" s="367"/>
      <c r="Q81" s="367"/>
      <c r="R81" s="1564"/>
      <c r="S81" s="1564"/>
      <c r="T81" s="1460"/>
      <c r="U81" s="1460"/>
      <c r="V81" s="1460"/>
      <c r="W81" s="391" t="s">
        <v>725</v>
      </c>
      <c r="X81" s="1559"/>
      <c r="Y81" s="1557"/>
      <c r="Z81" s="1557"/>
      <c r="AA81" s="1557"/>
      <c r="AB81" s="1557"/>
      <c r="AC81" s="1557"/>
      <c r="AD81" s="1557"/>
      <c r="AE81" s="1557"/>
      <c r="AF81" s="1557"/>
      <c r="AG81" s="1557"/>
      <c r="AH81" s="1557"/>
      <c r="AI81" s="1557"/>
      <c r="AJ81" s="1557"/>
      <c r="AK81" s="1446"/>
      <c r="AL81" s="1557"/>
      <c r="AM81" s="1557"/>
      <c r="AN81" s="1557"/>
      <c r="AO81" s="1446"/>
      <c r="AP81" s="1557"/>
      <c r="AQ81" s="1557"/>
      <c r="AR81" s="1557"/>
      <c r="AS81" s="1557"/>
      <c r="AT81" s="1557"/>
      <c r="AU81" s="1557"/>
      <c r="AV81" s="1557"/>
      <c r="AW81" s="1557"/>
      <c r="AX81" s="1557"/>
      <c r="AY81" s="1557"/>
      <c r="AZ81" s="1557"/>
      <c r="BA81" s="1446"/>
      <c r="BB81" s="1557"/>
      <c r="BC81" s="1557"/>
      <c r="BD81" s="1557"/>
      <c r="BE81" s="1557"/>
      <c r="BF81" s="1557"/>
      <c r="BG81" s="1557"/>
      <c r="BH81" s="1557"/>
      <c r="BI81" s="1557"/>
      <c r="BJ81" s="1557"/>
      <c r="BK81" s="1557"/>
      <c r="BL81" s="1557"/>
      <c r="BM81" s="1557"/>
      <c r="BN81" s="1558"/>
    </row>
    <row r="82" spans="1:66" ht="56.25" customHeight="1">
      <c r="A82" s="1377"/>
      <c r="B82" s="1375"/>
      <c r="C82" s="1377"/>
      <c r="D82" s="1375"/>
      <c r="E82" s="1375"/>
      <c r="F82" s="1375"/>
      <c r="G82" s="1375"/>
      <c r="H82" s="1367"/>
      <c r="I82" s="1377"/>
      <c r="J82" s="1367"/>
      <c r="K82" s="666">
        <v>1</v>
      </c>
      <c r="L82" s="497" t="s">
        <v>833</v>
      </c>
      <c r="M82" s="655" t="s">
        <v>834</v>
      </c>
      <c r="N82" s="657">
        <v>2</v>
      </c>
      <c r="O82" s="655">
        <v>2</v>
      </c>
      <c r="P82" s="655">
        <v>2</v>
      </c>
      <c r="Q82" s="368">
        <v>2</v>
      </c>
      <c r="R82" s="1564"/>
      <c r="S82" s="1564"/>
      <c r="T82" s="1460"/>
      <c r="U82" s="1460"/>
      <c r="V82" s="1460"/>
      <c r="W82" s="391" t="s">
        <v>725</v>
      </c>
      <c r="X82" s="1559"/>
      <c r="Y82" s="1557"/>
      <c r="Z82" s="1557"/>
      <c r="AA82" s="1557"/>
      <c r="AB82" s="1557"/>
      <c r="AC82" s="1557"/>
      <c r="AD82" s="1557"/>
      <c r="AE82" s="1557"/>
      <c r="AF82" s="1557"/>
      <c r="AG82" s="1557"/>
      <c r="AH82" s="1557"/>
      <c r="AI82" s="1557"/>
      <c r="AJ82" s="1557"/>
      <c r="AK82" s="1446"/>
      <c r="AL82" s="1557"/>
      <c r="AM82" s="1557"/>
      <c r="AN82" s="1557"/>
      <c r="AO82" s="1446"/>
      <c r="AP82" s="1557"/>
      <c r="AQ82" s="1557"/>
      <c r="AR82" s="1557"/>
      <c r="AS82" s="1557"/>
      <c r="AT82" s="1557"/>
      <c r="AU82" s="1557"/>
      <c r="AV82" s="1557"/>
      <c r="AW82" s="1557"/>
      <c r="AX82" s="1557"/>
      <c r="AY82" s="1557"/>
      <c r="AZ82" s="1557"/>
      <c r="BA82" s="1446"/>
      <c r="BB82" s="1557"/>
      <c r="BC82" s="1557"/>
      <c r="BD82" s="1557"/>
      <c r="BE82" s="1557"/>
      <c r="BF82" s="1557"/>
      <c r="BG82" s="1557"/>
      <c r="BH82" s="1557"/>
      <c r="BI82" s="1557"/>
      <c r="BJ82" s="1557"/>
      <c r="BK82" s="1557"/>
      <c r="BL82" s="1557"/>
      <c r="BM82" s="1557"/>
      <c r="BN82" s="1558"/>
    </row>
    <row r="83" spans="1:66" ht="56.25" customHeight="1">
      <c r="A83" s="1377"/>
      <c r="B83" s="1375"/>
      <c r="C83" s="1377"/>
      <c r="D83" s="1375"/>
      <c r="E83" s="1375"/>
      <c r="F83" s="1375"/>
      <c r="G83" s="1375"/>
      <c r="H83" s="1367"/>
      <c r="I83" s="1377"/>
      <c r="J83" s="1367"/>
      <c r="K83" s="666">
        <v>1</v>
      </c>
      <c r="L83" s="497" t="s">
        <v>835</v>
      </c>
      <c r="M83" s="655" t="s">
        <v>836</v>
      </c>
      <c r="N83" s="655">
        <v>1</v>
      </c>
      <c r="O83" s="367"/>
      <c r="P83" s="367"/>
      <c r="Q83" s="367"/>
      <c r="R83" s="1564"/>
      <c r="S83" s="1564"/>
      <c r="T83" s="1460"/>
      <c r="U83" s="1460"/>
      <c r="V83" s="1460"/>
      <c r="W83" s="391" t="s">
        <v>725</v>
      </c>
      <c r="X83" s="1559"/>
      <c r="Y83" s="1557"/>
      <c r="Z83" s="1557"/>
      <c r="AA83" s="1557"/>
      <c r="AB83" s="1557"/>
      <c r="AC83" s="1557"/>
      <c r="AD83" s="1557"/>
      <c r="AE83" s="1557"/>
      <c r="AF83" s="1557"/>
      <c r="AG83" s="1557"/>
      <c r="AH83" s="1557"/>
      <c r="AI83" s="1557"/>
      <c r="AJ83" s="1557"/>
      <c r="AK83" s="1363"/>
      <c r="AL83" s="1557"/>
      <c r="AM83" s="1557"/>
      <c r="AN83" s="1557"/>
      <c r="AO83" s="1363"/>
      <c r="AP83" s="1557"/>
      <c r="AQ83" s="1557"/>
      <c r="AR83" s="1557"/>
      <c r="AS83" s="1557"/>
      <c r="AT83" s="1557"/>
      <c r="AU83" s="1557"/>
      <c r="AV83" s="1557"/>
      <c r="AW83" s="1557"/>
      <c r="AX83" s="1557"/>
      <c r="AY83" s="1557"/>
      <c r="AZ83" s="1557"/>
      <c r="BA83" s="1363"/>
      <c r="BB83" s="1557"/>
      <c r="BC83" s="1557"/>
      <c r="BD83" s="1557"/>
      <c r="BE83" s="1557"/>
      <c r="BF83" s="1557"/>
      <c r="BG83" s="1557"/>
      <c r="BH83" s="1557"/>
      <c r="BI83" s="1557"/>
      <c r="BJ83" s="1557"/>
      <c r="BK83" s="1557"/>
      <c r="BL83" s="1557"/>
      <c r="BM83" s="1557"/>
      <c r="BN83" s="1522"/>
    </row>
    <row r="84" spans="1:66" ht="56.25" customHeight="1">
      <c r="A84" s="1377"/>
      <c r="B84" s="1375"/>
      <c r="C84" s="1377"/>
      <c r="D84" s="1375"/>
      <c r="E84" s="1375"/>
      <c r="F84" s="1375"/>
      <c r="G84" s="1375"/>
      <c r="H84" s="1367"/>
      <c r="I84" s="1377"/>
      <c r="J84" s="1367"/>
      <c r="K84" s="666">
        <v>1</v>
      </c>
      <c r="L84" s="397" t="s">
        <v>837</v>
      </c>
      <c r="M84" s="655" t="s">
        <v>810</v>
      </c>
      <c r="N84" s="367"/>
      <c r="O84" s="367">
        <v>1</v>
      </c>
      <c r="P84" s="655"/>
      <c r="Q84" s="367"/>
      <c r="R84" s="1564"/>
      <c r="S84" s="1564"/>
      <c r="T84" s="1460"/>
      <c r="U84" s="1460"/>
      <c r="V84" s="1460"/>
      <c r="W84" s="391" t="s">
        <v>725</v>
      </c>
      <c r="X84" s="648" t="s">
        <v>1542</v>
      </c>
      <c r="Y84" s="460"/>
      <c r="Z84" s="460"/>
      <c r="AA84" s="460"/>
      <c r="AB84" s="460"/>
      <c r="AC84" s="460"/>
      <c r="AD84" s="460"/>
      <c r="AE84" s="460"/>
      <c r="AF84" s="460"/>
      <c r="AG84" s="460"/>
      <c r="AH84" s="460"/>
      <c r="AI84" s="460"/>
      <c r="AJ84" s="460"/>
      <c r="AK84" s="460"/>
      <c r="AL84" s="460"/>
      <c r="AM84" s="460"/>
      <c r="AN84" s="460"/>
      <c r="AO84" s="460"/>
      <c r="AP84" s="460"/>
      <c r="AQ84" s="460"/>
      <c r="AR84" s="460">
        <v>144000000</v>
      </c>
      <c r="AS84" s="460"/>
      <c r="AT84" s="460"/>
      <c r="AU84" s="460"/>
      <c r="AV84" s="460"/>
      <c r="AW84" s="460"/>
      <c r="AX84" s="460"/>
      <c r="AY84" s="460"/>
      <c r="AZ84" s="460"/>
      <c r="BA84" s="460"/>
      <c r="BB84" s="460"/>
      <c r="BC84" s="460"/>
      <c r="BD84" s="460"/>
      <c r="BE84" s="460"/>
      <c r="BF84" s="460"/>
      <c r="BG84" s="460"/>
      <c r="BH84" s="460"/>
      <c r="BI84" s="460"/>
      <c r="BJ84" s="460"/>
      <c r="BK84" s="460"/>
      <c r="BL84" s="460"/>
      <c r="BM84" s="460"/>
      <c r="BN84" s="460">
        <f t="shared" si="8"/>
        <v>144000000</v>
      </c>
    </row>
    <row r="85" spans="1:66" ht="56.25" customHeight="1">
      <c r="A85" s="1377"/>
      <c r="B85" s="1375"/>
      <c r="C85" s="1377"/>
      <c r="D85" s="1375"/>
      <c r="E85" s="1375"/>
      <c r="F85" s="1375"/>
      <c r="G85" s="1375"/>
      <c r="H85" s="1367"/>
      <c r="I85" s="1377"/>
      <c r="J85" s="1367"/>
      <c r="K85" s="666">
        <v>1</v>
      </c>
      <c r="L85" s="397" t="s">
        <v>838</v>
      </c>
      <c r="M85" s="655" t="s">
        <v>839</v>
      </c>
      <c r="N85" s="367"/>
      <c r="O85" s="655"/>
      <c r="P85" s="367">
        <v>1</v>
      </c>
      <c r="Q85" s="367"/>
      <c r="R85" s="1564"/>
      <c r="S85" s="1564"/>
      <c r="T85" s="1460"/>
      <c r="U85" s="1460"/>
      <c r="V85" s="1460"/>
      <c r="W85" s="391" t="s">
        <v>725</v>
      </c>
      <c r="X85" s="1559" t="s">
        <v>1510</v>
      </c>
      <c r="Y85" s="1557"/>
      <c r="Z85" s="1557"/>
      <c r="AA85" s="1557"/>
      <c r="AB85" s="1557"/>
      <c r="AC85" s="1557"/>
      <c r="AD85" s="1557"/>
      <c r="AE85" s="1557"/>
      <c r="AF85" s="1557"/>
      <c r="AG85" s="1557"/>
      <c r="AH85" s="1557"/>
      <c r="AI85" s="1557"/>
      <c r="AJ85" s="1557"/>
      <c r="AK85" s="1445"/>
      <c r="AL85" s="1557"/>
      <c r="AM85" s="1557"/>
      <c r="AN85" s="1557"/>
      <c r="AO85" s="1445"/>
      <c r="AP85" s="1557"/>
      <c r="AQ85" s="1557"/>
      <c r="AR85" s="1557">
        <v>66000000</v>
      </c>
      <c r="AS85" s="1557"/>
      <c r="AT85" s="1557"/>
      <c r="AU85" s="1557"/>
      <c r="AV85" s="1557"/>
      <c r="AW85" s="1557"/>
      <c r="AX85" s="1557"/>
      <c r="AY85" s="1557"/>
      <c r="AZ85" s="1557"/>
      <c r="BA85" s="1445"/>
      <c r="BB85" s="1557"/>
      <c r="BC85" s="1557"/>
      <c r="BD85" s="1557"/>
      <c r="BE85" s="1557"/>
      <c r="BF85" s="1557"/>
      <c r="BG85" s="1557"/>
      <c r="BH85" s="1557"/>
      <c r="BI85" s="1557"/>
      <c r="BJ85" s="1557"/>
      <c r="BK85" s="1557"/>
      <c r="BL85" s="1557"/>
      <c r="BM85" s="1557"/>
      <c r="BN85" s="1557">
        <f t="shared" si="8"/>
        <v>66000000</v>
      </c>
    </row>
    <row r="86" spans="1:66" ht="78" customHeight="1">
      <c r="A86" s="1377"/>
      <c r="B86" s="1375"/>
      <c r="C86" s="1377"/>
      <c r="D86" s="1375"/>
      <c r="E86" s="1375"/>
      <c r="F86" s="1375"/>
      <c r="G86" s="1375"/>
      <c r="H86" s="1367"/>
      <c r="I86" s="1377"/>
      <c r="J86" s="1367"/>
      <c r="K86" s="666">
        <v>1</v>
      </c>
      <c r="L86" s="397" t="s">
        <v>840</v>
      </c>
      <c r="M86" s="655" t="s">
        <v>841</v>
      </c>
      <c r="N86" s="367"/>
      <c r="O86" s="368">
        <v>1</v>
      </c>
      <c r="P86" s="655"/>
      <c r="Q86" s="367"/>
      <c r="R86" s="1564"/>
      <c r="S86" s="1564"/>
      <c r="T86" s="1460"/>
      <c r="U86" s="1460"/>
      <c r="V86" s="1460"/>
      <c r="W86" s="391" t="s">
        <v>725</v>
      </c>
      <c r="X86" s="1559"/>
      <c r="Y86" s="1557"/>
      <c r="Z86" s="1557"/>
      <c r="AA86" s="1557"/>
      <c r="AB86" s="1557"/>
      <c r="AC86" s="1557"/>
      <c r="AD86" s="1557"/>
      <c r="AE86" s="1557"/>
      <c r="AF86" s="1557"/>
      <c r="AG86" s="1557"/>
      <c r="AH86" s="1557"/>
      <c r="AI86" s="1557"/>
      <c r="AJ86" s="1557"/>
      <c r="AK86" s="1363"/>
      <c r="AL86" s="1557"/>
      <c r="AM86" s="1557"/>
      <c r="AN86" s="1557"/>
      <c r="AO86" s="1363"/>
      <c r="AP86" s="1557"/>
      <c r="AQ86" s="1557"/>
      <c r="AR86" s="1557"/>
      <c r="AS86" s="1557"/>
      <c r="AT86" s="1557"/>
      <c r="AU86" s="1557"/>
      <c r="AV86" s="1557"/>
      <c r="AW86" s="1557"/>
      <c r="AX86" s="1557"/>
      <c r="AY86" s="1557"/>
      <c r="AZ86" s="1557"/>
      <c r="BA86" s="1363"/>
      <c r="BB86" s="1557"/>
      <c r="BC86" s="1557"/>
      <c r="BD86" s="1557"/>
      <c r="BE86" s="1557"/>
      <c r="BF86" s="1557"/>
      <c r="BG86" s="1557"/>
      <c r="BH86" s="1557"/>
      <c r="BI86" s="1557"/>
      <c r="BJ86" s="1557"/>
      <c r="BK86" s="1557"/>
      <c r="BL86" s="1557"/>
      <c r="BM86" s="1557"/>
      <c r="BN86" s="1557"/>
    </row>
    <row r="87" spans="1:66" ht="39.75" customHeight="1">
      <c r="A87" s="1377"/>
      <c r="B87" s="1375"/>
      <c r="C87" s="1377"/>
      <c r="D87" s="1375"/>
      <c r="E87" s="1375"/>
      <c r="F87" s="1375"/>
      <c r="G87" s="1375"/>
      <c r="H87" s="1367"/>
      <c r="I87" s="1377"/>
      <c r="J87" s="1367"/>
      <c r="K87" s="666">
        <v>1</v>
      </c>
      <c r="L87" s="397" t="s">
        <v>842</v>
      </c>
      <c r="M87" s="655" t="s">
        <v>843</v>
      </c>
      <c r="N87" s="655"/>
      <c r="O87" s="655">
        <v>2</v>
      </c>
      <c r="P87" s="655">
        <v>2</v>
      </c>
      <c r="Q87" s="655"/>
      <c r="R87" s="1564"/>
      <c r="S87" s="1564"/>
      <c r="T87" s="1460"/>
      <c r="U87" s="1460"/>
      <c r="V87" s="1460"/>
      <c r="W87" s="391" t="s">
        <v>725</v>
      </c>
      <c r="X87" s="440" t="s">
        <v>1544</v>
      </c>
      <c r="Y87" s="460"/>
      <c r="Z87" s="460"/>
      <c r="AA87" s="460"/>
      <c r="AB87" s="460"/>
      <c r="AC87" s="460"/>
      <c r="AD87" s="460"/>
      <c r="AE87" s="460"/>
      <c r="AF87" s="460"/>
      <c r="AG87" s="460"/>
      <c r="AH87" s="460"/>
      <c r="AI87" s="460"/>
      <c r="AJ87" s="460"/>
      <c r="AK87" s="460"/>
      <c r="AL87" s="460"/>
      <c r="AM87" s="460"/>
      <c r="AN87" s="460"/>
      <c r="AO87" s="460"/>
      <c r="AP87" s="460"/>
      <c r="AQ87" s="460"/>
      <c r="AR87" s="460">
        <f>100000000-50000000</f>
        <v>50000000</v>
      </c>
      <c r="AS87" s="460"/>
      <c r="AT87" s="460"/>
      <c r="AU87" s="460"/>
      <c r="AV87" s="460"/>
      <c r="AW87" s="460"/>
      <c r="AX87" s="460"/>
      <c r="AY87" s="460"/>
      <c r="AZ87" s="460"/>
      <c r="BA87" s="460"/>
      <c r="BB87" s="460"/>
      <c r="BC87" s="460"/>
      <c r="BD87" s="460"/>
      <c r="BE87" s="460"/>
      <c r="BF87" s="460"/>
      <c r="BG87" s="460"/>
      <c r="BH87" s="460"/>
      <c r="BI87" s="460"/>
      <c r="BJ87" s="460"/>
      <c r="BK87" s="460"/>
      <c r="BL87" s="460"/>
      <c r="BM87" s="460"/>
      <c r="BN87" s="460">
        <f t="shared" si="8"/>
        <v>50000000</v>
      </c>
    </row>
    <row r="88" spans="1:66" ht="56.25" customHeight="1">
      <c r="A88" s="1377"/>
      <c r="B88" s="1375"/>
      <c r="C88" s="1378"/>
      <c r="D88" s="1375"/>
      <c r="E88" s="1375"/>
      <c r="F88" s="1375"/>
      <c r="G88" s="1375"/>
      <c r="H88" s="1367"/>
      <c r="I88" s="1378"/>
      <c r="J88" s="1367"/>
      <c r="K88" s="666">
        <v>2</v>
      </c>
      <c r="L88" s="398" t="s">
        <v>844</v>
      </c>
      <c r="M88" s="368" t="s">
        <v>845</v>
      </c>
      <c r="N88" s="387"/>
      <c r="O88" s="369">
        <v>0.2</v>
      </c>
      <c r="P88" s="369">
        <v>0.1</v>
      </c>
      <c r="Q88" s="369">
        <v>0.1</v>
      </c>
      <c r="R88" s="1564"/>
      <c r="S88" s="1564"/>
      <c r="T88" s="1460"/>
      <c r="U88" s="1460"/>
      <c r="V88" s="1460"/>
      <c r="W88" s="391" t="s">
        <v>819</v>
      </c>
      <c r="X88" s="443" t="s">
        <v>1509</v>
      </c>
      <c r="Y88" s="460"/>
      <c r="Z88" s="460"/>
      <c r="AA88" s="460"/>
      <c r="AB88" s="460"/>
      <c r="AC88" s="460"/>
      <c r="AD88" s="460"/>
      <c r="AE88" s="460"/>
      <c r="AF88" s="460"/>
      <c r="AG88" s="460"/>
      <c r="AH88" s="460"/>
      <c r="AI88" s="460"/>
      <c r="AJ88" s="460"/>
      <c r="AK88" s="460"/>
      <c r="AL88" s="460"/>
      <c r="AM88" s="460">
        <f>5000000000-546615067</f>
        <v>4453384933</v>
      </c>
      <c r="AN88" s="460"/>
      <c r="AO88" s="460"/>
      <c r="AP88" s="460"/>
      <c r="AQ88" s="460"/>
      <c r="AR88" s="460">
        <f>300000000-100000000-100000000-50000000</f>
        <v>50000000</v>
      </c>
      <c r="AS88" s="460"/>
      <c r="AT88" s="460"/>
      <c r="AU88" s="460"/>
      <c r="AV88" s="460"/>
      <c r="AW88" s="460"/>
      <c r="AX88" s="460"/>
      <c r="AY88" s="460"/>
      <c r="AZ88" s="460"/>
      <c r="BA88" s="460"/>
      <c r="BB88" s="460"/>
      <c r="BC88" s="460"/>
      <c r="BD88" s="460"/>
      <c r="BE88" s="460"/>
      <c r="BF88" s="460"/>
      <c r="BG88" s="460"/>
      <c r="BH88" s="460"/>
      <c r="BI88" s="460"/>
      <c r="BJ88" s="460"/>
      <c r="BK88" s="460"/>
      <c r="BL88" s="460"/>
      <c r="BM88" s="460"/>
      <c r="BN88" s="460">
        <f t="shared" si="8"/>
        <v>4503384933</v>
      </c>
    </row>
    <row r="89" spans="1:67" ht="33.75" customHeight="1">
      <c r="A89" s="1377"/>
      <c r="B89" s="1375"/>
      <c r="C89" s="652"/>
      <c r="D89" s="419"/>
      <c r="E89" s="419"/>
      <c r="F89" s="419"/>
      <c r="G89" s="419"/>
      <c r="H89" s="668"/>
      <c r="I89" s="420"/>
      <c r="J89" s="1495" t="s">
        <v>1465</v>
      </c>
      <c r="K89" s="1496"/>
      <c r="L89" s="1496"/>
      <c r="M89" s="1496"/>
      <c r="N89" s="1496"/>
      <c r="O89" s="1496"/>
      <c r="P89" s="1496"/>
      <c r="Q89" s="1496"/>
      <c r="R89" s="1496"/>
      <c r="S89" s="1496"/>
      <c r="T89" s="1496"/>
      <c r="U89" s="1496"/>
      <c r="V89" s="1496"/>
      <c r="W89" s="1496"/>
      <c r="X89" s="1497"/>
      <c r="Y89" s="462">
        <f>SUM(Y77:Y88)</f>
        <v>0</v>
      </c>
      <c r="Z89" s="462">
        <f aca="true" t="shared" si="9" ref="Z89:BL89">SUM(Z77:Z88)</f>
        <v>0</v>
      </c>
      <c r="AA89" s="462">
        <f t="shared" si="9"/>
        <v>0</v>
      </c>
      <c r="AB89" s="462">
        <f t="shared" si="9"/>
        <v>0</v>
      </c>
      <c r="AC89" s="462">
        <f t="shared" si="9"/>
        <v>0</v>
      </c>
      <c r="AD89" s="462">
        <f t="shared" si="9"/>
        <v>0</v>
      </c>
      <c r="AE89" s="462">
        <f t="shared" si="9"/>
        <v>0</v>
      </c>
      <c r="AF89" s="462">
        <f t="shared" si="9"/>
        <v>0</v>
      </c>
      <c r="AG89" s="462">
        <f t="shared" si="9"/>
        <v>0</v>
      </c>
      <c r="AH89" s="462">
        <f t="shared" si="9"/>
        <v>0</v>
      </c>
      <c r="AI89" s="462">
        <f t="shared" si="9"/>
        <v>77852324</v>
      </c>
      <c r="AJ89" s="462">
        <f t="shared" si="9"/>
        <v>0</v>
      </c>
      <c r="AK89" s="462">
        <f t="shared" si="9"/>
        <v>0</v>
      </c>
      <c r="AL89" s="462">
        <f t="shared" si="9"/>
        <v>0</v>
      </c>
      <c r="AM89" s="462">
        <f t="shared" si="9"/>
        <v>4453384933</v>
      </c>
      <c r="AN89" s="462">
        <f t="shared" si="9"/>
        <v>0</v>
      </c>
      <c r="AO89" s="462">
        <f t="shared" si="9"/>
        <v>0</v>
      </c>
      <c r="AP89" s="462">
        <f t="shared" si="9"/>
        <v>0</v>
      </c>
      <c r="AQ89" s="462">
        <f t="shared" si="9"/>
        <v>0</v>
      </c>
      <c r="AR89" s="462">
        <f t="shared" si="9"/>
        <v>1440000000</v>
      </c>
      <c r="AS89" s="462">
        <f t="shared" si="9"/>
        <v>0</v>
      </c>
      <c r="AT89" s="462">
        <f t="shared" si="9"/>
        <v>0</v>
      </c>
      <c r="AU89" s="462">
        <f t="shared" si="9"/>
        <v>0</v>
      </c>
      <c r="AV89" s="462">
        <f t="shared" si="9"/>
        <v>0</v>
      </c>
      <c r="AW89" s="462">
        <f t="shared" si="9"/>
        <v>30000000</v>
      </c>
      <c r="AX89" s="462">
        <f t="shared" si="9"/>
        <v>0</v>
      </c>
      <c r="AY89" s="462">
        <f t="shared" si="9"/>
        <v>0</v>
      </c>
      <c r="AZ89" s="462">
        <f t="shared" si="9"/>
        <v>0</v>
      </c>
      <c r="BA89" s="462">
        <f t="shared" si="9"/>
        <v>0</v>
      </c>
      <c r="BB89" s="462">
        <f t="shared" si="9"/>
        <v>0</v>
      </c>
      <c r="BC89" s="462">
        <f t="shared" si="9"/>
        <v>0</v>
      </c>
      <c r="BD89" s="462">
        <f t="shared" si="9"/>
        <v>0</v>
      </c>
      <c r="BE89" s="462">
        <f t="shared" si="9"/>
        <v>0</v>
      </c>
      <c r="BF89" s="462">
        <f t="shared" si="9"/>
        <v>0</v>
      </c>
      <c r="BG89" s="462">
        <f t="shared" si="9"/>
        <v>0</v>
      </c>
      <c r="BH89" s="462">
        <f t="shared" si="9"/>
        <v>0</v>
      </c>
      <c r="BI89" s="462">
        <f t="shared" si="9"/>
        <v>0</v>
      </c>
      <c r="BJ89" s="462">
        <f t="shared" si="9"/>
        <v>0</v>
      </c>
      <c r="BK89" s="462">
        <f t="shared" si="9"/>
        <v>0</v>
      </c>
      <c r="BL89" s="462">
        <f t="shared" si="9"/>
        <v>0</v>
      </c>
      <c r="BM89" s="462">
        <f>SUM(BM77:BM88)</f>
        <v>0</v>
      </c>
      <c r="BN89" s="462">
        <f>SUM(BN77:BN88)</f>
        <v>6001237257</v>
      </c>
      <c r="BO89" s="412" t="s">
        <v>1616</v>
      </c>
    </row>
    <row r="90" spans="1:66" ht="88.5" customHeight="1">
      <c r="A90" s="1377"/>
      <c r="B90" s="1375"/>
      <c r="C90" s="1376">
        <v>20</v>
      </c>
      <c r="D90" s="1379" t="s">
        <v>846</v>
      </c>
      <c r="E90" s="1402" t="s">
        <v>847</v>
      </c>
      <c r="F90" s="1402" t="s">
        <v>848</v>
      </c>
      <c r="G90" s="1402" t="s">
        <v>849</v>
      </c>
      <c r="H90" s="365"/>
      <c r="I90" s="1376">
        <v>1</v>
      </c>
      <c r="J90" s="1401" t="s">
        <v>850</v>
      </c>
      <c r="K90" s="666" t="s">
        <v>851</v>
      </c>
      <c r="L90" s="399" t="s">
        <v>852</v>
      </c>
      <c r="M90" s="370" t="s">
        <v>853</v>
      </c>
      <c r="N90" s="647">
        <v>1</v>
      </c>
      <c r="O90" s="647">
        <v>1</v>
      </c>
      <c r="P90" s="647">
        <v>1</v>
      </c>
      <c r="Q90" s="647">
        <v>1</v>
      </c>
      <c r="R90" s="1469">
        <v>600000</v>
      </c>
      <c r="S90" s="1469">
        <v>450000</v>
      </c>
      <c r="T90" s="1469">
        <v>1000000</v>
      </c>
      <c r="U90" s="1469">
        <v>600000</v>
      </c>
      <c r="V90" s="1494">
        <v>2650000</v>
      </c>
      <c r="W90" s="392" t="s">
        <v>854</v>
      </c>
      <c r="X90" s="1486" t="s">
        <v>1513</v>
      </c>
      <c r="Y90" s="1484"/>
      <c r="Z90" s="1484"/>
      <c r="AA90" s="1484"/>
      <c r="AB90" s="1484"/>
      <c r="AC90" s="1484"/>
      <c r="AD90" s="1484"/>
      <c r="AE90" s="1484"/>
      <c r="AF90" s="1484"/>
      <c r="AG90" s="1484"/>
      <c r="AH90" s="1484"/>
      <c r="AI90" s="1484"/>
      <c r="AJ90" s="1484"/>
      <c r="AK90" s="1484"/>
      <c r="AL90" s="1484">
        <f>50000000-10000000</f>
        <v>40000000</v>
      </c>
      <c r="AM90" s="1484"/>
      <c r="AN90" s="1484"/>
      <c r="AO90" s="1484"/>
      <c r="AP90" s="1484"/>
      <c r="AQ90" s="1484"/>
      <c r="AR90" s="1484"/>
      <c r="AS90" s="1484"/>
      <c r="AT90" s="1484"/>
      <c r="AU90" s="1484"/>
      <c r="AV90" s="1484"/>
      <c r="AW90" s="1484"/>
      <c r="AX90" s="1484"/>
      <c r="AY90" s="1484"/>
      <c r="AZ90" s="1484"/>
      <c r="BA90" s="1445"/>
      <c r="BB90" s="1484"/>
      <c r="BC90" s="1484"/>
      <c r="BD90" s="1484"/>
      <c r="BE90" s="1484"/>
      <c r="BF90" s="1484"/>
      <c r="BG90" s="1484"/>
      <c r="BH90" s="1484"/>
      <c r="BI90" s="1484"/>
      <c r="BJ90" s="1484"/>
      <c r="BK90" s="1484"/>
      <c r="BL90" s="1484"/>
      <c r="BM90" s="1484"/>
      <c r="BN90" s="1484">
        <f aca="true" t="shared" si="10" ref="BN90:BN119">SUM(Y90:BM90)</f>
        <v>40000000</v>
      </c>
    </row>
    <row r="91" spans="1:66" ht="77.25" customHeight="1">
      <c r="A91" s="1377"/>
      <c r="B91" s="1375"/>
      <c r="C91" s="1377"/>
      <c r="D91" s="1379"/>
      <c r="E91" s="1402"/>
      <c r="F91" s="1402"/>
      <c r="G91" s="1402"/>
      <c r="H91" s="365"/>
      <c r="I91" s="1377"/>
      <c r="J91" s="1401"/>
      <c r="K91" s="666" t="s">
        <v>855</v>
      </c>
      <c r="L91" s="399" t="s">
        <v>856</v>
      </c>
      <c r="M91" s="370" t="s">
        <v>857</v>
      </c>
      <c r="N91" s="367">
        <v>1</v>
      </c>
      <c r="O91" s="367">
        <v>1</v>
      </c>
      <c r="P91" s="367">
        <v>1</v>
      </c>
      <c r="Q91" s="367">
        <v>1</v>
      </c>
      <c r="R91" s="1469"/>
      <c r="S91" s="1469"/>
      <c r="T91" s="1469"/>
      <c r="U91" s="1469"/>
      <c r="V91" s="1494"/>
      <c r="W91" s="392" t="s">
        <v>854</v>
      </c>
      <c r="X91" s="1486"/>
      <c r="Y91" s="1484"/>
      <c r="Z91" s="1484"/>
      <c r="AA91" s="1484"/>
      <c r="AB91" s="1484"/>
      <c r="AC91" s="1484"/>
      <c r="AD91" s="1484"/>
      <c r="AE91" s="1484"/>
      <c r="AF91" s="1484"/>
      <c r="AG91" s="1484"/>
      <c r="AH91" s="1484"/>
      <c r="AI91" s="1484"/>
      <c r="AJ91" s="1484"/>
      <c r="AK91" s="1484"/>
      <c r="AL91" s="1484"/>
      <c r="AM91" s="1484"/>
      <c r="AN91" s="1484"/>
      <c r="AO91" s="1484"/>
      <c r="AP91" s="1484"/>
      <c r="AQ91" s="1484"/>
      <c r="AR91" s="1484"/>
      <c r="AS91" s="1484"/>
      <c r="AT91" s="1484"/>
      <c r="AU91" s="1484"/>
      <c r="AV91" s="1484"/>
      <c r="AW91" s="1484"/>
      <c r="AX91" s="1484"/>
      <c r="AY91" s="1484"/>
      <c r="AZ91" s="1484"/>
      <c r="BA91" s="1363"/>
      <c r="BB91" s="1484"/>
      <c r="BC91" s="1484"/>
      <c r="BD91" s="1484"/>
      <c r="BE91" s="1484"/>
      <c r="BF91" s="1484"/>
      <c r="BG91" s="1484"/>
      <c r="BH91" s="1484"/>
      <c r="BI91" s="1484"/>
      <c r="BJ91" s="1484"/>
      <c r="BK91" s="1484"/>
      <c r="BL91" s="1484"/>
      <c r="BM91" s="1484"/>
      <c r="BN91" s="1484">
        <f t="shared" si="10"/>
        <v>0</v>
      </c>
    </row>
    <row r="92" spans="1:66" ht="71.25" customHeight="1">
      <c r="A92" s="1377"/>
      <c r="B92" s="1375"/>
      <c r="C92" s="1377"/>
      <c r="D92" s="1379"/>
      <c r="E92" s="1402"/>
      <c r="F92" s="1402"/>
      <c r="G92" s="1402"/>
      <c r="H92" s="365"/>
      <c r="I92" s="1377"/>
      <c r="J92" s="1401"/>
      <c r="K92" s="666" t="s">
        <v>855</v>
      </c>
      <c r="L92" s="399" t="s">
        <v>858</v>
      </c>
      <c r="M92" s="370" t="s">
        <v>859</v>
      </c>
      <c r="N92" s="367"/>
      <c r="O92" s="367">
        <v>1</v>
      </c>
      <c r="P92" s="367">
        <v>1</v>
      </c>
      <c r="Q92" s="367"/>
      <c r="R92" s="1469"/>
      <c r="S92" s="1469"/>
      <c r="T92" s="1469"/>
      <c r="U92" s="1469"/>
      <c r="V92" s="1494"/>
      <c r="W92" s="392" t="s">
        <v>854</v>
      </c>
      <c r="X92" s="1450" t="s">
        <v>1545</v>
      </c>
      <c r="Y92" s="1437"/>
      <c r="Z92" s="1437"/>
      <c r="AA92" s="1437"/>
      <c r="AB92" s="1437"/>
      <c r="AC92" s="1437"/>
      <c r="AD92" s="1437"/>
      <c r="AE92" s="1437"/>
      <c r="AF92" s="1437"/>
      <c r="AG92" s="1437"/>
      <c r="AH92" s="1437"/>
      <c r="AI92" s="1437"/>
      <c r="AJ92" s="1437"/>
      <c r="AK92" s="1445"/>
      <c r="AL92" s="1437">
        <v>100000000</v>
      </c>
      <c r="AM92" s="1437"/>
      <c r="AN92" s="1437"/>
      <c r="AO92" s="1478"/>
      <c r="AP92" s="1437"/>
      <c r="AQ92" s="1437"/>
      <c r="AR92" s="1437"/>
      <c r="AS92" s="1437"/>
      <c r="AT92" s="1437"/>
      <c r="AU92" s="1437"/>
      <c r="AV92" s="1437"/>
      <c r="AW92" s="1437"/>
      <c r="AX92" s="1437"/>
      <c r="AY92" s="1437"/>
      <c r="AZ92" s="1437"/>
      <c r="BA92" s="1445"/>
      <c r="BB92" s="1437"/>
      <c r="BC92" s="1437"/>
      <c r="BD92" s="1437"/>
      <c r="BE92" s="1437"/>
      <c r="BF92" s="1437"/>
      <c r="BG92" s="1437"/>
      <c r="BH92" s="1437"/>
      <c r="BI92" s="1437"/>
      <c r="BJ92" s="1437"/>
      <c r="BK92" s="1437"/>
      <c r="BL92" s="1437"/>
      <c r="BM92" s="1437"/>
      <c r="BN92" s="1437">
        <f t="shared" si="10"/>
        <v>100000000</v>
      </c>
    </row>
    <row r="93" spans="1:66" ht="65.25" customHeight="1">
      <c r="A93" s="1377"/>
      <c r="B93" s="1375"/>
      <c r="C93" s="1377"/>
      <c r="D93" s="1379"/>
      <c r="E93" s="1402"/>
      <c r="F93" s="1402"/>
      <c r="G93" s="1402"/>
      <c r="H93" s="365"/>
      <c r="I93" s="1377"/>
      <c r="J93" s="1401"/>
      <c r="K93" s="666" t="s">
        <v>860</v>
      </c>
      <c r="L93" s="399" t="s">
        <v>861</v>
      </c>
      <c r="M93" s="370" t="s">
        <v>862</v>
      </c>
      <c r="N93" s="367">
        <v>1</v>
      </c>
      <c r="O93" s="367">
        <v>1</v>
      </c>
      <c r="P93" s="367">
        <v>1</v>
      </c>
      <c r="Q93" s="367">
        <v>1</v>
      </c>
      <c r="R93" s="1469"/>
      <c r="S93" s="1469"/>
      <c r="T93" s="1469"/>
      <c r="U93" s="1469"/>
      <c r="V93" s="1494"/>
      <c r="W93" s="392" t="s">
        <v>854</v>
      </c>
      <c r="X93" s="1450"/>
      <c r="Y93" s="1437"/>
      <c r="Z93" s="1437"/>
      <c r="AA93" s="1437"/>
      <c r="AB93" s="1437"/>
      <c r="AC93" s="1437"/>
      <c r="AD93" s="1437"/>
      <c r="AE93" s="1437"/>
      <c r="AF93" s="1437"/>
      <c r="AG93" s="1437"/>
      <c r="AH93" s="1437"/>
      <c r="AI93" s="1437"/>
      <c r="AJ93" s="1437"/>
      <c r="AK93" s="1446"/>
      <c r="AL93" s="1437"/>
      <c r="AM93" s="1437"/>
      <c r="AN93" s="1437"/>
      <c r="AO93" s="1549"/>
      <c r="AP93" s="1437"/>
      <c r="AQ93" s="1437"/>
      <c r="AR93" s="1437"/>
      <c r="AS93" s="1437"/>
      <c r="AT93" s="1437"/>
      <c r="AU93" s="1437"/>
      <c r="AV93" s="1437"/>
      <c r="AW93" s="1437"/>
      <c r="AX93" s="1437"/>
      <c r="AY93" s="1437"/>
      <c r="AZ93" s="1437"/>
      <c r="BA93" s="1446"/>
      <c r="BB93" s="1437"/>
      <c r="BC93" s="1437"/>
      <c r="BD93" s="1437"/>
      <c r="BE93" s="1437"/>
      <c r="BF93" s="1437"/>
      <c r="BG93" s="1437"/>
      <c r="BH93" s="1437"/>
      <c r="BI93" s="1437"/>
      <c r="BJ93" s="1437"/>
      <c r="BK93" s="1437"/>
      <c r="BL93" s="1437"/>
      <c r="BM93" s="1437"/>
      <c r="BN93" s="1437">
        <f t="shared" si="10"/>
        <v>0</v>
      </c>
    </row>
    <row r="94" spans="1:66" ht="84" customHeight="1">
      <c r="A94" s="1377"/>
      <c r="B94" s="1375"/>
      <c r="C94" s="1377"/>
      <c r="D94" s="1379"/>
      <c r="E94" s="1402"/>
      <c r="F94" s="1402"/>
      <c r="G94" s="1402"/>
      <c r="H94" s="365"/>
      <c r="I94" s="1377"/>
      <c r="J94" s="1401"/>
      <c r="K94" s="666" t="s">
        <v>851</v>
      </c>
      <c r="L94" s="400" t="s">
        <v>863</v>
      </c>
      <c r="M94" s="370" t="s">
        <v>864</v>
      </c>
      <c r="N94" s="367">
        <v>1</v>
      </c>
      <c r="O94" s="367">
        <v>1</v>
      </c>
      <c r="P94" s="367">
        <v>1</v>
      </c>
      <c r="Q94" s="367">
        <v>1</v>
      </c>
      <c r="R94" s="1469"/>
      <c r="S94" s="1469"/>
      <c r="T94" s="1469"/>
      <c r="U94" s="1469"/>
      <c r="V94" s="1494"/>
      <c r="W94" s="392" t="s">
        <v>854</v>
      </c>
      <c r="X94" s="1450"/>
      <c r="Y94" s="1437"/>
      <c r="Z94" s="1437"/>
      <c r="AA94" s="1437"/>
      <c r="AB94" s="1437"/>
      <c r="AC94" s="1437"/>
      <c r="AD94" s="1437"/>
      <c r="AE94" s="1437"/>
      <c r="AF94" s="1437"/>
      <c r="AG94" s="1437"/>
      <c r="AH94" s="1437"/>
      <c r="AI94" s="1437"/>
      <c r="AJ94" s="1437"/>
      <c r="AK94" s="1446"/>
      <c r="AL94" s="1437"/>
      <c r="AM94" s="1437"/>
      <c r="AN94" s="1437"/>
      <c r="AO94" s="1549"/>
      <c r="AP94" s="1437"/>
      <c r="AQ94" s="1437"/>
      <c r="AR94" s="1437"/>
      <c r="AS94" s="1437"/>
      <c r="AT94" s="1437"/>
      <c r="AU94" s="1437"/>
      <c r="AV94" s="1437"/>
      <c r="AW94" s="1437"/>
      <c r="AX94" s="1437"/>
      <c r="AY94" s="1437"/>
      <c r="AZ94" s="1437"/>
      <c r="BA94" s="1446"/>
      <c r="BB94" s="1437"/>
      <c r="BC94" s="1437"/>
      <c r="BD94" s="1437"/>
      <c r="BE94" s="1437"/>
      <c r="BF94" s="1437"/>
      <c r="BG94" s="1437"/>
      <c r="BH94" s="1437"/>
      <c r="BI94" s="1437"/>
      <c r="BJ94" s="1437"/>
      <c r="BK94" s="1437"/>
      <c r="BL94" s="1437"/>
      <c r="BM94" s="1437"/>
      <c r="BN94" s="1437">
        <f t="shared" si="10"/>
        <v>0</v>
      </c>
    </row>
    <row r="95" spans="1:66" ht="72" customHeight="1">
      <c r="A95" s="1377"/>
      <c r="B95" s="1375"/>
      <c r="C95" s="1377"/>
      <c r="D95" s="1379"/>
      <c r="E95" s="1402"/>
      <c r="F95" s="1402"/>
      <c r="G95" s="1402"/>
      <c r="H95" s="365"/>
      <c r="I95" s="1377"/>
      <c r="J95" s="1401"/>
      <c r="K95" s="666" t="s">
        <v>855</v>
      </c>
      <c r="L95" s="400" t="s">
        <v>865</v>
      </c>
      <c r="M95" s="371" t="s">
        <v>866</v>
      </c>
      <c r="N95" s="367"/>
      <c r="O95" s="367">
        <v>1</v>
      </c>
      <c r="P95" s="367"/>
      <c r="Q95" s="367"/>
      <c r="R95" s="1469"/>
      <c r="S95" s="1469"/>
      <c r="T95" s="1469"/>
      <c r="U95" s="1469"/>
      <c r="V95" s="1494"/>
      <c r="W95" s="392" t="s">
        <v>854</v>
      </c>
      <c r="X95" s="1450"/>
      <c r="Y95" s="1437"/>
      <c r="Z95" s="1437"/>
      <c r="AA95" s="1437"/>
      <c r="AB95" s="1437"/>
      <c r="AC95" s="1437"/>
      <c r="AD95" s="1437"/>
      <c r="AE95" s="1437"/>
      <c r="AF95" s="1437"/>
      <c r="AG95" s="1437"/>
      <c r="AH95" s="1437"/>
      <c r="AI95" s="1437"/>
      <c r="AJ95" s="1437"/>
      <c r="AK95" s="1446"/>
      <c r="AL95" s="1437"/>
      <c r="AM95" s="1437"/>
      <c r="AN95" s="1437"/>
      <c r="AO95" s="1549"/>
      <c r="AP95" s="1437"/>
      <c r="AQ95" s="1437"/>
      <c r="AR95" s="1437"/>
      <c r="AS95" s="1437"/>
      <c r="AT95" s="1437"/>
      <c r="AU95" s="1437"/>
      <c r="AV95" s="1437"/>
      <c r="AW95" s="1437"/>
      <c r="AX95" s="1437"/>
      <c r="AY95" s="1437"/>
      <c r="AZ95" s="1437"/>
      <c r="BA95" s="1446"/>
      <c r="BB95" s="1437"/>
      <c r="BC95" s="1437"/>
      <c r="BD95" s="1437"/>
      <c r="BE95" s="1437"/>
      <c r="BF95" s="1437"/>
      <c r="BG95" s="1437"/>
      <c r="BH95" s="1437"/>
      <c r="BI95" s="1437"/>
      <c r="BJ95" s="1437"/>
      <c r="BK95" s="1437"/>
      <c r="BL95" s="1437"/>
      <c r="BM95" s="1437"/>
      <c r="BN95" s="1437">
        <f t="shared" si="10"/>
        <v>0</v>
      </c>
    </row>
    <row r="96" spans="1:66" ht="56.25" customHeight="1">
      <c r="A96" s="1377"/>
      <c r="B96" s="1375"/>
      <c r="C96" s="1377"/>
      <c r="D96" s="1379"/>
      <c r="E96" s="1402"/>
      <c r="F96" s="1402"/>
      <c r="G96" s="1402"/>
      <c r="H96" s="365"/>
      <c r="I96" s="1377"/>
      <c r="J96" s="1401"/>
      <c r="K96" s="666" t="s">
        <v>860</v>
      </c>
      <c r="L96" s="400" t="s">
        <v>867</v>
      </c>
      <c r="M96" s="371" t="s">
        <v>868</v>
      </c>
      <c r="N96" s="367">
        <v>1</v>
      </c>
      <c r="O96" s="367"/>
      <c r="P96" s="367"/>
      <c r="Q96" s="367"/>
      <c r="R96" s="1469"/>
      <c r="S96" s="1469"/>
      <c r="T96" s="1469"/>
      <c r="U96" s="1469"/>
      <c r="V96" s="1494"/>
      <c r="W96" s="392" t="s">
        <v>854</v>
      </c>
      <c r="X96" s="1450"/>
      <c r="Y96" s="1437"/>
      <c r="Z96" s="1437"/>
      <c r="AA96" s="1437"/>
      <c r="AB96" s="1437"/>
      <c r="AC96" s="1437"/>
      <c r="AD96" s="1437"/>
      <c r="AE96" s="1437"/>
      <c r="AF96" s="1437"/>
      <c r="AG96" s="1437"/>
      <c r="AH96" s="1437"/>
      <c r="AI96" s="1437"/>
      <c r="AJ96" s="1437"/>
      <c r="AK96" s="1446"/>
      <c r="AL96" s="1437"/>
      <c r="AM96" s="1437"/>
      <c r="AN96" s="1437"/>
      <c r="AO96" s="1549"/>
      <c r="AP96" s="1437"/>
      <c r="AQ96" s="1437"/>
      <c r="AR96" s="1437"/>
      <c r="AS96" s="1437"/>
      <c r="AT96" s="1437"/>
      <c r="AU96" s="1437"/>
      <c r="AV96" s="1437"/>
      <c r="AW96" s="1437"/>
      <c r="AX96" s="1437"/>
      <c r="AY96" s="1437"/>
      <c r="AZ96" s="1437"/>
      <c r="BA96" s="1446"/>
      <c r="BB96" s="1437"/>
      <c r="BC96" s="1437"/>
      <c r="BD96" s="1437"/>
      <c r="BE96" s="1437"/>
      <c r="BF96" s="1437"/>
      <c r="BG96" s="1437"/>
      <c r="BH96" s="1437"/>
      <c r="BI96" s="1437"/>
      <c r="BJ96" s="1437"/>
      <c r="BK96" s="1437"/>
      <c r="BL96" s="1437"/>
      <c r="BM96" s="1437"/>
      <c r="BN96" s="1437">
        <f t="shared" si="10"/>
        <v>0</v>
      </c>
    </row>
    <row r="97" spans="1:66" ht="56.25" customHeight="1">
      <c r="A97" s="1377"/>
      <c r="B97" s="1375"/>
      <c r="C97" s="1377"/>
      <c r="D97" s="1379"/>
      <c r="E97" s="1402"/>
      <c r="F97" s="1402"/>
      <c r="G97" s="1402"/>
      <c r="H97" s="365"/>
      <c r="I97" s="1377"/>
      <c r="J97" s="1401"/>
      <c r="K97" s="666" t="s">
        <v>869</v>
      </c>
      <c r="L97" s="400" t="s">
        <v>870</v>
      </c>
      <c r="M97" s="371" t="s">
        <v>871</v>
      </c>
      <c r="N97" s="367">
        <v>1</v>
      </c>
      <c r="O97" s="367">
        <v>1</v>
      </c>
      <c r="P97" s="367"/>
      <c r="Q97" s="367"/>
      <c r="R97" s="1469"/>
      <c r="S97" s="1469"/>
      <c r="T97" s="1469"/>
      <c r="U97" s="1469"/>
      <c r="V97" s="1494"/>
      <c r="W97" s="392" t="s">
        <v>854</v>
      </c>
      <c r="X97" s="1450"/>
      <c r="Y97" s="1437"/>
      <c r="Z97" s="1437"/>
      <c r="AA97" s="1437"/>
      <c r="AB97" s="1437"/>
      <c r="AC97" s="1437"/>
      <c r="AD97" s="1437"/>
      <c r="AE97" s="1437"/>
      <c r="AF97" s="1437"/>
      <c r="AG97" s="1437"/>
      <c r="AH97" s="1437"/>
      <c r="AI97" s="1437"/>
      <c r="AJ97" s="1437"/>
      <c r="AK97" s="1446"/>
      <c r="AL97" s="1437"/>
      <c r="AM97" s="1437"/>
      <c r="AN97" s="1437"/>
      <c r="AO97" s="1549"/>
      <c r="AP97" s="1437"/>
      <c r="AQ97" s="1437"/>
      <c r="AR97" s="1437"/>
      <c r="AS97" s="1437"/>
      <c r="AT97" s="1437"/>
      <c r="AU97" s="1437"/>
      <c r="AV97" s="1437"/>
      <c r="AW97" s="1437"/>
      <c r="AX97" s="1437"/>
      <c r="AY97" s="1437"/>
      <c r="AZ97" s="1437"/>
      <c r="BA97" s="1446"/>
      <c r="BB97" s="1437"/>
      <c r="BC97" s="1437"/>
      <c r="BD97" s="1437"/>
      <c r="BE97" s="1437"/>
      <c r="BF97" s="1437"/>
      <c r="BG97" s="1437"/>
      <c r="BH97" s="1437"/>
      <c r="BI97" s="1437"/>
      <c r="BJ97" s="1437"/>
      <c r="BK97" s="1437"/>
      <c r="BL97" s="1437"/>
      <c r="BM97" s="1437"/>
      <c r="BN97" s="1437">
        <f t="shared" si="10"/>
        <v>0</v>
      </c>
    </row>
    <row r="98" spans="1:66" ht="74.25" customHeight="1">
      <c r="A98" s="1377"/>
      <c r="B98" s="1375"/>
      <c r="C98" s="1377"/>
      <c r="D98" s="1379"/>
      <c r="E98" s="1402"/>
      <c r="F98" s="1402"/>
      <c r="G98" s="1402"/>
      <c r="H98" s="365"/>
      <c r="I98" s="1377"/>
      <c r="J98" s="1401"/>
      <c r="K98" s="666" t="s">
        <v>860</v>
      </c>
      <c r="L98" s="400" t="s">
        <v>872</v>
      </c>
      <c r="M98" s="370" t="s">
        <v>873</v>
      </c>
      <c r="N98" s="367">
        <v>1</v>
      </c>
      <c r="O98" s="367"/>
      <c r="P98" s="367"/>
      <c r="Q98" s="367"/>
      <c r="R98" s="1469"/>
      <c r="S98" s="1469"/>
      <c r="T98" s="1469"/>
      <c r="U98" s="1469"/>
      <c r="V98" s="1494"/>
      <c r="W98" s="392" t="s">
        <v>854</v>
      </c>
      <c r="X98" s="1450"/>
      <c r="Y98" s="1437"/>
      <c r="Z98" s="1437"/>
      <c r="AA98" s="1437"/>
      <c r="AB98" s="1437"/>
      <c r="AC98" s="1437"/>
      <c r="AD98" s="1437"/>
      <c r="AE98" s="1437"/>
      <c r="AF98" s="1437"/>
      <c r="AG98" s="1437"/>
      <c r="AH98" s="1437"/>
      <c r="AI98" s="1437"/>
      <c r="AJ98" s="1437"/>
      <c r="AK98" s="1446"/>
      <c r="AL98" s="1437"/>
      <c r="AM98" s="1437"/>
      <c r="AN98" s="1437"/>
      <c r="AO98" s="1549"/>
      <c r="AP98" s="1437"/>
      <c r="AQ98" s="1437"/>
      <c r="AR98" s="1437"/>
      <c r="AS98" s="1437"/>
      <c r="AT98" s="1437"/>
      <c r="AU98" s="1437"/>
      <c r="AV98" s="1437"/>
      <c r="AW98" s="1437"/>
      <c r="AX98" s="1437"/>
      <c r="AY98" s="1437"/>
      <c r="AZ98" s="1437"/>
      <c r="BA98" s="1446"/>
      <c r="BB98" s="1437"/>
      <c r="BC98" s="1437"/>
      <c r="BD98" s="1437"/>
      <c r="BE98" s="1437"/>
      <c r="BF98" s="1437"/>
      <c r="BG98" s="1437"/>
      <c r="BH98" s="1437"/>
      <c r="BI98" s="1437"/>
      <c r="BJ98" s="1437"/>
      <c r="BK98" s="1437"/>
      <c r="BL98" s="1437"/>
      <c r="BM98" s="1437"/>
      <c r="BN98" s="1437">
        <f t="shared" si="10"/>
        <v>0</v>
      </c>
    </row>
    <row r="99" spans="1:66" ht="56.25" customHeight="1">
      <c r="A99" s="1377"/>
      <c r="B99" s="1375"/>
      <c r="C99" s="1377"/>
      <c r="D99" s="1379"/>
      <c r="E99" s="1402"/>
      <c r="F99" s="1402"/>
      <c r="G99" s="1402"/>
      <c r="H99" s="365"/>
      <c r="I99" s="1377"/>
      <c r="J99" s="1401"/>
      <c r="K99" s="666" t="s">
        <v>860</v>
      </c>
      <c r="L99" s="400" t="s">
        <v>874</v>
      </c>
      <c r="M99" s="370" t="s">
        <v>875</v>
      </c>
      <c r="N99" s="367">
        <v>1</v>
      </c>
      <c r="O99" s="367"/>
      <c r="P99" s="367"/>
      <c r="Q99" s="367"/>
      <c r="R99" s="1469"/>
      <c r="S99" s="1469"/>
      <c r="T99" s="1469"/>
      <c r="U99" s="1469"/>
      <c r="V99" s="1494"/>
      <c r="W99" s="392" t="s">
        <v>854</v>
      </c>
      <c r="X99" s="1450"/>
      <c r="Y99" s="1437"/>
      <c r="Z99" s="1437"/>
      <c r="AA99" s="1437"/>
      <c r="AB99" s="1437"/>
      <c r="AC99" s="1437"/>
      <c r="AD99" s="1437"/>
      <c r="AE99" s="1437"/>
      <c r="AF99" s="1437"/>
      <c r="AG99" s="1437"/>
      <c r="AH99" s="1437"/>
      <c r="AI99" s="1437"/>
      <c r="AJ99" s="1437"/>
      <c r="AK99" s="1446"/>
      <c r="AL99" s="1437"/>
      <c r="AM99" s="1437"/>
      <c r="AN99" s="1437"/>
      <c r="AO99" s="1549"/>
      <c r="AP99" s="1437"/>
      <c r="AQ99" s="1437"/>
      <c r="AR99" s="1437"/>
      <c r="AS99" s="1437"/>
      <c r="AT99" s="1437"/>
      <c r="AU99" s="1437"/>
      <c r="AV99" s="1437"/>
      <c r="AW99" s="1437"/>
      <c r="AX99" s="1437"/>
      <c r="AY99" s="1437"/>
      <c r="AZ99" s="1437"/>
      <c r="BA99" s="1446"/>
      <c r="BB99" s="1437"/>
      <c r="BC99" s="1437"/>
      <c r="BD99" s="1437"/>
      <c r="BE99" s="1437"/>
      <c r="BF99" s="1437"/>
      <c r="BG99" s="1437"/>
      <c r="BH99" s="1437"/>
      <c r="BI99" s="1437"/>
      <c r="BJ99" s="1437"/>
      <c r="BK99" s="1437"/>
      <c r="BL99" s="1437"/>
      <c r="BM99" s="1437"/>
      <c r="BN99" s="1437">
        <f t="shared" si="10"/>
        <v>0</v>
      </c>
    </row>
    <row r="100" spans="1:66" ht="78.75" customHeight="1">
      <c r="A100" s="1377"/>
      <c r="B100" s="1375"/>
      <c r="C100" s="1377"/>
      <c r="D100" s="1379"/>
      <c r="E100" s="1402"/>
      <c r="F100" s="1402"/>
      <c r="G100" s="1402"/>
      <c r="H100" s="365"/>
      <c r="I100" s="1377"/>
      <c r="J100" s="1401"/>
      <c r="K100" s="666" t="s">
        <v>876</v>
      </c>
      <c r="L100" s="400" t="s">
        <v>877</v>
      </c>
      <c r="M100" s="372" t="s">
        <v>878</v>
      </c>
      <c r="N100" s="367"/>
      <c r="O100" s="367">
        <v>1</v>
      </c>
      <c r="P100" s="367"/>
      <c r="Q100" s="367"/>
      <c r="R100" s="1469"/>
      <c r="S100" s="1469"/>
      <c r="T100" s="1469"/>
      <c r="U100" s="1469"/>
      <c r="V100" s="1494"/>
      <c r="W100" s="392" t="s">
        <v>854</v>
      </c>
      <c r="X100" s="1461"/>
      <c r="Y100" s="1454"/>
      <c r="Z100" s="1454"/>
      <c r="AA100" s="1454"/>
      <c r="AB100" s="1454"/>
      <c r="AC100" s="1454"/>
      <c r="AD100" s="1454"/>
      <c r="AE100" s="1454"/>
      <c r="AF100" s="1454"/>
      <c r="AG100" s="1454"/>
      <c r="AH100" s="1454"/>
      <c r="AI100" s="1454"/>
      <c r="AJ100" s="1454"/>
      <c r="AK100" s="1363"/>
      <c r="AL100" s="1454"/>
      <c r="AM100" s="1454"/>
      <c r="AN100" s="1454"/>
      <c r="AO100" s="1479"/>
      <c r="AP100" s="1454"/>
      <c r="AQ100" s="1454"/>
      <c r="AR100" s="1454"/>
      <c r="AS100" s="1454"/>
      <c r="AT100" s="1454"/>
      <c r="AU100" s="1454"/>
      <c r="AV100" s="1454"/>
      <c r="AW100" s="1454"/>
      <c r="AX100" s="1454"/>
      <c r="AY100" s="1454"/>
      <c r="AZ100" s="1454"/>
      <c r="BA100" s="1363"/>
      <c r="BB100" s="1454"/>
      <c r="BC100" s="1454"/>
      <c r="BD100" s="1454"/>
      <c r="BE100" s="1454"/>
      <c r="BF100" s="1454"/>
      <c r="BG100" s="1454"/>
      <c r="BH100" s="1454"/>
      <c r="BI100" s="1454"/>
      <c r="BJ100" s="1454"/>
      <c r="BK100" s="1454"/>
      <c r="BL100" s="1454"/>
      <c r="BM100" s="1454"/>
      <c r="BN100" s="1454">
        <f t="shared" si="10"/>
        <v>0</v>
      </c>
    </row>
    <row r="101" spans="1:66" ht="80.25" customHeight="1">
      <c r="A101" s="1377"/>
      <c r="B101" s="1375"/>
      <c r="C101" s="1377"/>
      <c r="D101" s="1379"/>
      <c r="E101" s="1402"/>
      <c r="F101" s="1402"/>
      <c r="G101" s="1402"/>
      <c r="H101" s="365"/>
      <c r="I101" s="1377"/>
      <c r="J101" s="1401"/>
      <c r="K101" s="666" t="s">
        <v>879</v>
      </c>
      <c r="L101" s="400" t="s">
        <v>880</v>
      </c>
      <c r="M101" s="370" t="s">
        <v>881</v>
      </c>
      <c r="N101" s="367">
        <v>1</v>
      </c>
      <c r="O101" s="367">
        <v>1</v>
      </c>
      <c r="P101" s="367">
        <v>1</v>
      </c>
      <c r="Q101" s="367">
        <v>1</v>
      </c>
      <c r="R101" s="1469"/>
      <c r="S101" s="1469"/>
      <c r="T101" s="1469"/>
      <c r="U101" s="1469"/>
      <c r="V101" s="1494"/>
      <c r="W101" s="392" t="s">
        <v>854</v>
      </c>
      <c r="X101" s="457" t="s">
        <v>1523</v>
      </c>
      <c r="Y101" s="460"/>
      <c r="Z101" s="460"/>
      <c r="AA101" s="460"/>
      <c r="AB101" s="460"/>
      <c r="AC101" s="460"/>
      <c r="AD101" s="460"/>
      <c r="AE101" s="460"/>
      <c r="AF101" s="460"/>
      <c r="AG101" s="460"/>
      <c r="AH101" s="460"/>
      <c r="AI101" s="460"/>
      <c r="AJ101" s="460"/>
      <c r="AK101" s="460"/>
      <c r="AL101" s="460">
        <f>70000000-20000000</f>
        <v>50000000</v>
      </c>
      <c r="AM101" s="460"/>
      <c r="AN101" s="460"/>
      <c r="AO101" s="460"/>
      <c r="AP101" s="460"/>
      <c r="AQ101" s="460"/>
      <c r="AR101" s="460"/>
      <c r="AS101" s="460"/>
      <c r="AT101" s="460"/>
      <c r="AU101" s="460"/>
      <c r="AV101" s="460"/>
      <c r="AW101" s="460"/>
      <c r="AX101" s="460"/>
      <c r="AY101" s="460"/>
      <c r="AZ101" s="460"/>
      <c r="BA101" s="460"/>
      <c r="BB101" s="460"/>
      <c r="BC101" s="460"/>
      <c r="BD101" s="460"/>
      <c r="BE101" s="460"/>
      <c r="BF101" s="460"/>
      <c r="BG101" s="460"/>
      <c r="BH101" s="460"/>
      <c r="BI101" s="460"/>
      <c r="BJ101" s="460"/>
      <c r="BK101" s="460"/>
      <c r="BL101" s="460"/>
      <c r="BM101" s="460"/>
      <c r="BN101" s="460">
        <f t="shared" si="10"/>
        <v>50000000</v>
      </c>
    </row>
    <row r="102" spans="1:66" ht="89.25" customHeight="1">
      <c r="A102" s="1377"/>
      <c r="B102" s="1375"/>
      <c r="C102" s="1377"/>
      <c r="D102" s="1379"/>
      <c r="E102" s="1402"/>
      <c r="F102" s="1402"/>
      <c r="G102" s="1402"/>
      <c r="H102" s="365"/>
      <c r="I102" s="1377"/>
      <c r="J102" s="1401"/>
      <c r="K102" s="666" t="s">
        <v>860</v>
      </c>
      <c r="L102" s="400" t="s">
        <v>882</v>
      </c>
      <c r="M102" s="370" t="s">
        <v>883</v>
      </c>
      <c r="N102" s="367"/>
      <c r="O102" s="367">
        <v>1</v>
      </c>
      <c r="P102" s="367"/>
      <c r="Q102" s="367"/>
      <c r="R102" s="1469"/>
      <c r="S102" s="1469"/>
      <c r="T102" s="1469"/>
      <c r="U102" s="1469"/>
      <c r="V102" s="1494"/>
      <c r="W102" s="392" t="s">
        <v>854</v>
      </c>
      <c r="X102" s="1555" t="s">
        <v>1514</v>
      </c>
      <c r="Y102" s="1550"/>
      <c r="Z102" s="1550"/>
      <c r="AA102" s="1550"/>
      <c r="AB102" s="1550"/>
      <c r="AC102" s="1550"/>
      <c r="AD102" s="1550"/>
      <c r="AE102" s="1550"/>
      <c r="AF102" s="1550"/>
      <c r="AG102" s="1550"/>
      <c r="AH102" s="1550"/>
      <c r="AI102" s="1550"/>
      <c r="AJ102" s="1550"/>
      <c r="AK102" s="1445"/>
      <c r="AL102" s="1550">
        <f>70000000-20000000</f>
        <v>50000000</v>
      </c>
      <c r="AM102" s="1550"/>
      <c r="AN102" s="1550"/>
      <c r="AO102" s="1445"/>
      <c r="AP102" s="1550"/>
      <c r="AQ102" s="1550"/>
      <c r="AR102" s="1550"/>
      <c r="AS102" s="1550"/>
      <c r="AT102" s="1550"/>
      <c r="AU102" s="1550"/>
      <c r="AV102" s="1550"/>
      <c r="AW102" s="1550"/>
      <c r="AX102" s="1550"/>
      <c r="AY102" s="1550"/>
      <c r="AZ102" s="1550"/>
      <c r="BA102" s="1445"/>
      <c r="BB102" s="1550"/>
      <c r="BC102" s="1550"/>
      <c r="BD102" s="1550"/>
      <c r="BE102" s="1550"/>
      <c r="BF102" s="1550"/>
      <c r="BG102" s="1550"/>
      <c r="BH102" s="1550"/>
      <c r="BI102" s="1550"/>
      <c r="BJ102" s="1550"/>
      <c r="BK102" s="1550"/>
      <c r="BL102" s="1550"/>
      <c r="BM102" s="1550"/>
      <c r="BN102" s="1550">
        <f t="shared" si="10"/>
        <v>50000000</v>
      </c>
    </row>
    <row r="103" spans="1:66" ht="94.5" customHeight="1">
      <c r="A103" s="1377"/>
      <c r="B103" s="1375"/>
      <c r="C103" s="1377"/>
      <c r="D103" s="1379"/>
      <c r="E103" s="1402"/>
      <c r="F103" s="1402"/>
      <c r="G103" s="1402"/>
      <c r="H103" s="365"/>
      <c r="I103" s="1378"/>
      <c r="J103" s="1401"/>
      <c r="K103" s="666" t="s">
        <v>876</v>
      </c>
      <c r="L103" s="400" t="s">
        <v>884</v>
      </c>
      <c r="M103" s="370" t="s">
        <v>885</v>
      </c>
      <c r="N103" s="367"/>
      <c r="O103" s="367">
        <v>1</v>
      </c>
      <c r="P103" s="367">
        <v>1</v>
      </c>
      <c r="Q103" s="367"/>
      <c r="R103" s="1469"/>
      <c r="S103" s="1469"/>
      <c r="T103" s="1469"/>
      <c r="U103" s="1469"/>
      <c r="V103" s="1494"/>
      <c r="W103" s="392" t="s">
        <v>854</v>
      </c>
      <c r="X103" s="1556"/>
      <c r="Y103" s="1551"/>
      <c r="Z103" s="1551"/>
      <c r="AA103" s="1551"/>
      <c r="AB103" s="1551"/>
      <c r="AC103" s="1551"/>
      <c r="AD103" s="1551"/>
      <c r="AE103" s="1551"/>
      <c r="AF103" s="1551"/>
      <c r="AG103" s="1551"/>
      <c r="AH103" s="1551"/>
      <c r="AI103" s="1551"/>
      <c r="AJ103" s="1551"/>
      <c r="AK103" s="1363"/>
      <c r="AL103" s="1551"/>
      <c r="AM103" s="1551"/>
      <c r="AN103" s="1551"/>
      <c r="AO103" s="1363"/>
      <c r="AP103" s="1551"/>
      <c r="AQ103" s="1551"/>
      <c r="AR103" s="1551"/>
      <c r="AS103" s="1551"/>
      <c r="AT103" s="1551"/>
      <c r="AU103" s="1551"/>
      <c r="AV103" s="1551"/>
      <c r="AW103" s="1551"/>
      <c r="AX103" s="1551"/>
      <c r="AY103" s="1551"/>
      <c r="AZ103" s="1551"/>
      <c r="BA103" s="1363"/>
      <c r="BB103" s="1551"/>
      <c r="BC103" s="1551"/>
      <c r="BD103" s="1551"/>
      <c r="BE103" s="1551"/>
      <c r="BF103" s="1551"/>
      <c r="BG103" s="1551"/>
      <c r="BH103" s="1551"/>
      <c r="BI103" s="1551"/>
      <c r="BJ103" s="1551"/>
      <c r="BK103" s="1551"/>
      <c r="BL103" s="1551"/>
      <c r="BM103" s="1551"/>
      <c r="BN103" s="1551">
        <f t="shared" si="10"/>
        <v>0</v>
      </c>
    </row>
    <row r="104" spans="1:68" ht="27" customHeight="1">
      <c r="A104" s="1377"/>
      <c r="B104" s="1375"/>
      <c r="C104" s="1377"/>
      <c r="D104" s="1379"/>
      <c r="E104" s="667"/>
      <c r="F104" s="667"/>
      <c r="G104" s="667"/>
      <c r="H104" s="365"/>
      <c r="I104" s="653"/>
      <c r="J104" s="1552" t="s">
        <v>1466</v>
      </c>
      <c r="K104" s="1553"/>
      <c r="L104" s="1553"/>
      <c r="M104" s="1553"/>
      <c r="N104" s="1553"/>
      <c r="O104" s="1553"/>
      <c r="P104" s="1553"/>
      <c r="Q104" s="1553"/>
      <c r="R104" s="1553"/>
      <c r="S104" s="1553"/>
      <c r="T104" s="1553"/>
      <c r="U104" s="1553"/>
      <c r="V104" s="1553"/>
      <c r="W104" s="1553"/>
      <c r="X104" s="1554"/>
      <c r="Y104" s="462">
        <f>SUM(Y90:Y103)</f>
        <v>0</v>
      </c>
      <c r="Z104" s="462">
        <f aca="true" t="shared" si="11" ref="Z104:BL104">SUM(Z90:Z103)</f>
        <v>0</v>
      </c>
      <c r="AA104" s="462">
        <f t="shared" si="11"/>
        <v>0</v>
      </c>
      <c r="AB104" s="462">
        <f t="shared" si="11"/>
        <v>0</v>
      </c>
      <c r="AC104" s="462">
        <f t="shared" si="11"/>
        <v>0</v>
      </c>
      <c r="AD104" s="462">
        <f t="shared" si="11"/>
        <v>0</v>
      </c>
      <c r="AE104" s="462">
        <f t="shared" si="11"/>
        <v>0</v>
      </c>
      <c r="AF104" s="462">
        <f t="shared" si="11"/>
        <v>0</v>
      </c>
      <c r="AG104" s="462">
        <f t="shared" si="11"/>
        <v>0</v>
      </c>
      <c r="AH104" s="462">
        <f t="shared" si="11"/>
        <v>0</v>
      </c>
      <c r="AI104" s="462">
        <f t="shared" si="11"/>
        <v>0</v>
      </c>
      <c r="AJ104" s="462">
        <f t="shared" si="11"/>
        <v>0</v>
      </c>
      <c r="AK104" s="462">
        <f t="shared" si="11"/>
        <v>0</v>
      </c>
      <c r="AL104" s="462">
        <f t="shared" si="11"/>
        <v>240000000</v>
      </c>
      <c r="AM104" s="462">
        <f t="shared" si="11"/>
        <v>0</v>
      </c>
      <c r="AN104" s="462">
        <f t="shared" si="11"/>
        <v>0</v>
      </c>
      <c r="AO104" s="462">
        <f t="shared" si="11"/>
        <v>0</v>
      </c>
      <c r="AP104" s="462">
        <f t="shared" si="11"/>
        <v>0</v>
      </c>
      <c r="AQ104" s="462">
        <f t="shared" si="11"/>
        <v>0</v>
      </c>
      <c r="AR104" s="462">
        <f t="shared" si="11"/>
        <v>0</v>
      </c>
      <c r="AS104" s="462">
        <f t="shared" si="11"/>
        <v>0</v>
      </c>
      <c r="AT104" s="462">
        <f t="shared" si="11"/>
        <v>0</v>
      </c>
      <c r="AU104" s="462">
        <f t="shared" si="11"/>
        <v>0</v>
      </c>
      <c r="AV104" s="462">
        <f t="shared" si="11"/>
        <v>0</v>
      </c>
      <c r="AW104" s="462">
        <f t="shared" si="11"/>
        <v>0</v>
      </c>
      <c r="AX104" s="462">
        <f t="shared" si="11"/>
        <v>0</v>
      </c>
      <c r="AY104" s="462">
        <f t="shared" si="11"/>
        <v>0</v>
      </c>
      <c r="AZ104" s="462">
        <f t="shared" si="11"/>
        <v>0</v>
      </c>
      <c r="BA104" s="462">
        <f t="shared" si="11"/>
        <v>0</v>
      </c>
      <c r="BB104" s="462">
        <f t="shared" si="11"/>
        <v>0</v>
      </c>
      <c r="BC104" s="462">
        <f t="shared" si="11"/>
        <v>0</v>
      </c>
      <c r="BD104" s="462">
        <f t="shared" si="11"/>
        <v>0</v>
      </c>
      <c r="BE104" s="462">
        <f t="shared" si="11"/>
        <v>0</v>
      </c>
      <c r="BF104" s="462">
        <f t="shared" si="11"/>
        <v>0</v>
      </c>
      <c r="BG104" s="462">
        <f t="shared" si="11"/>
        <v>0</v>
      </c>
      <c r="BH104" s="462">
        <f t="shared" si="11"/>
        <v>0</v>
      </c>
      <c r="BI104" s="462">
        <f t="shared" si="11"/>
        <v>0</v>
      </c>
      <c r="BJ104" s="462">
        <f t="shared" si="11"/>
        <v>0</v>
      </c>
      <c r="BK104" s="462">
        <f t="shared" si="11"/>
        <v>0</v>
      </c>
      <c r="BL104" s="462">
        <f t="shared" si="11"/>
        <v>0</v>
      </c>
      <c r="BM104" s="462">
        <f>SUM(BM90:BM103)</f>
        <v>0</v>
      </c>
      <c r="BN104" s="462">
        <f>SUM(BN90:BN103)</f>
        <v>240000000</v>
      </c>
      <c r="BO104" s="412" t="s">
        <v>1616</v>
      </c>
      <c r="BP104" s="412">
        <v>240000000</v>
      </c>
    </row>
    <row r="105" spans="1:66" ht="75" customHeight="1">
      <c r="A105" s="1377"/>
      <c r="B105" s="1375"/>
      <c r="C105" s="1377"/>
      <c r="D105" s="1379"/>
      <c r="E105" s="1374" t="s">
        <v>886</v>
      </c>
      <c r="F105" s="1374" t="s">
        <v>887</v>
      </c>
      <c r="G105" s="1374" t="s">
        <v>888</v>
      </c>
      <c r="H105" s="1487">
        <v>0.5</v>
      </c>
      <c r="I105" s="1400">
        <v>1</v>
      </c>
      <c r="J105" s="1374" t="s">
        <v>889</v>
      </c>
      <c r="K105" s="657">
        <v>1</v>
      </c>
      <c r="L105" s="658" t="s">
        <v>890</v>
      </c>
      <c r="M105" s="657" t="s">
        <v>891</v>
      </c>
      <c r="N105" s="657">
        <v>1</v>
      </c>
      <c r="O105" s="657">
        <v>1</v>
      </c>
      <c r="P105" s="657">
        <v>1</v>
      </c>
      <c r="Q105" s="657">
        <v>1</v>
      </c>
      <c r="R105" s="1485">
        <v>3081560</v>
      </c>
      <c r="S105" s="1485">
        <v>3740025</v>
      </c>
      <c r="T105" s="1485">
        <v>3747505</v>
      </c>
      <c r="U105" s="1485">
        <v>1047904</v>
      </c>
      <c r="V105" s="1485">
        <v>11616994</v>
      </c>
      <c r="W105" s="374" t="s">
        <v>854</v>
      </c>
      <c r="X105" s="1486" t="s">
        <v>1546</v>
      </c>
      <c r="Y105" s="1484"/>
      <c r="Z105" s="1484"/>
      <c r="AA105" s="1484"/>
      <c r="AB105" s="1484"/>
      <c r="AC105" s="1484"/>
      <c r="AD105" s="1484"/>
      <c r="AE105" s="1484"/>
      <c r="AF105" s="1484"/>
      <c r="AG105" s="1484"/>
      <c r="AH105" s="1484"/>
      <c r="AI105" s="1484"/>
      <c r="AJ105" s="1484"/>
      <c r="AK105" s="1445"/>
      <c r="AL105" s="1484"/>
      <c r="AM105" s="1484"/>
      <c r="AN105" s="1484"/>
      <c r="AO105" s="1445"/>
      <c r="AP105" s="1484"/>
      <c r="AQ105" s="1484">
        <v>1883140579</v>
      </c>
      <c r="AR105" s="1484"/>
      <c r="AS105" s="1484"/>
      <c r="AT105" s="1484"/>
      <c r="AU105" s="1484"/>
      <c r="AV105" s="1484"/>
      <c r="AW105" s="1484"/>
      <c r="AX105" s="1484"/>
      <c r="AY105" s="1484"/>
      <c r="AZ105" s="1484"/>
      <c r="BA105" s="1445"/>
      <c r="BB105" s="1484"/>
      <c r="BC105" s="1484"/>
      <c r="BD105" s="1484"/>
      <c r="BE105" s="1484"/>
      <c r="BF105" s="1484"/>
      <c r="BG105" s="1484"/>
      <c r="BH105" s="1484"/>
      <c r="BI105" s="1484"/>
      <c r="BJ105" s="1484"/>
      <c r="BK105" s="1484"/>
      <c r="BL105" s="1484"/>
      <c r="BM105" s="1484"/>
      <c r="BN105" s="1484">
        <f t="shared" si="10"/>
        <v>1883140579</v>
      </c>
    </row>
    <row r="106" spans="1:66" ht="68.25" customHeight="1">
      <c r="A106" s="1377"/>
      <c r="B106" s="1375"/>
      <c r="C106" s="1377"/>
      <c r="D106" s="1379"/>
      <c r="E106" s="1374"/>
      <c r="F106" s="1374"/>
      <c r="G106" s="1374"/>
      <c r="H106" s="1374"/>
      <c r="I106" s="1400"/>
      <c r="J106" s="1374"/>
      <c r="K106" s="657" t="s">
        <v>876</v>
      </c>
      <c r="L106" s="658" t="s">
        <v>892</v>
      </c>
      <c r="M106" s="657" t="s">
        <v>893</v>
      </c>
      <c r="N106" s="657">
        <v>1</v>
      </c>
      <c r="O106" s="657">
        <v>1</v>
      </c>
      <c r="P106" s="657">
        <v>1</v>
      </c>
      <c r="Q106" s="657">
        <v>1</v>
      </c>
      <c r="R106" s="1485"/>
      <c r="S106" s="1485"/>
      <c r="T106" s="1485"/>
      <c r="U106" s="1485"/>
      <c r="V106" s="1485"/>
      <c r="W106" s="374" t="s">
        <v>854</v>
      </c>
      <c r="X106" s="1486"/>
      <c r="Y106" s="1484"/>
      <c r="Z106" s="1484"/>
      <c r="AA106" s="1484"/>
      <c r="AB106" s="1484"/>
      <c r="AC106" s="1484"/>
      <c r="AD106" s="1484"/>
      <c r="AE106" s="1484"/>
      <c r="AF106" s="1484"/>
      <c r="AG106" s="1484"/>
      <c r="AH106" s="1484"/>
      <c r="AI106" s="1484"/>
      <c r="AJ106" s="1484"/>
      <c r="AK106" s="1363"/>
      <c r="AL106" s="1484"/>
      <c r="AM106" s="1484"/>
      <c r="AN106" s="1484"/>
      <c r="AO106" s="1363"/>
      <c r="AP106" s="1484"/>
      <c r="AQ106" s="1484"/>
      <c r="AR106" s="1484"/>
      <c r="AS106" s="1484"/>
      <c r="AT106" s="1484"/>
      <c r="AU106" s="1484"/>
      <c r="AV106" s="1484"/>
      <c r="AW106" s="1484"/>
      <c r="AX106" s="1484"/>
      <c r="AY106" s="1484"/>
      <c r="AZ106" s="1484"/>
      <c r="BA106" s="1363"/>
      <c r="BB106" s="1484"/>
      <c r="BC106" s="1484"/>
      <c r="BD106" s="1484"/>
      <c r="BE106" s="1484"/>
      <c r="BF106" s="1484"/>
      <c r="BG106" s="1484"/>
      <c r="BH106" s="1484"/>
      <c r="BI106" s="1484"/>
      <c r="BJ106" s="1484"/>
      <c r="BK106" s="1484"/>
      <c r="BL106" s="1484"/>
      <c r="BM106" s="1484"/>
      <c r="BN106" s="1484"/>
    </row>
    <row r="107" spans="1:66" ht="92.25" customHeight="1">
      <c r="A107" s="1377"/>
      <c r="B107" s="1375"/>
      <c r="C107" s="1377"/>
      <c r="D107" s="1379"/>
      <c r="E107" s="1374"/>
      <c r="F107" s="1374"/>
      <c r="G107" s="1374"/>
      <c r="H107" s="1374"/>
      <c r="I107" s="1400"/>
      <c r="J107" s="1374"/>
      <c r="K107" s="657"/>
      <c r="L107" s="658" t="s">
        <v>894</v>
      </c>
      <c r="M107" s="657" t="s">
        <v>895</v>
      </c>
      <c r="N107" s="657">
        <v>5</v>
      </c>
      <c r="O107" s="657">
        <v>5</v>
      </c>
      <c r="P107" s="657">
        <v>5</v>
      </c>
      <c r="Q107" s="657">
        <v>5</v>
      </c>
      <c r="R107" s="1485"/>
      <c r="S107" s="1485"/>
      <c r="T107" s="1485"/>
      <c r="U107" s="1485"/>
      <c r="V107" s="1485"/>
      <c r="W107" s="374" t="s">
        <v>854</v>
      </c>
      <c r="X107" s="451" t="s">
        <v>1515</v>
      </c>
      <c r="Y107" s="460"/>
      <c r="Z107" s="460"/>
      <c r="AA107" s="460"/>
      <c r="AB107" s="460"/>
      <c r="AC107" s="460"/>
      <c r="AD107" s="460"/>
      <c r="AE107" s="460"/>
      <c r="AF107" s="460"/>
      <c r="AG107" s="460"/>
      <c r="AH107" s="460"/>
      <c r="AI107" s="460"/>
      <c r="AJ107" s="460"/>
      <c r="AK107" s="460"/>
      <c r="AL107" s="460"/>
      <c r="AM107" s="460"/>
      <c r="AN107" s="460"/>
      <c r="AO107" s="460"/>
      <c r="AP107" s="460"/>
      <c r="AQ107" s="460">
        <v>300000000</v>
      </c>
      <c r="AR107" s="460"/>
      <c r="AS107" s="460"/>
      <c r="AT107" s="460"/>
      <c r="AU107" s="460"/>
      <c r="AV107" s="460"/>
      <c r="AW107" s="460"/>
      <c r="AX107" s="460"/>
      <c r="AY107" s="460"/>
      <c r="AZ107" s="460"/>
      <c r="BA107" s="460"/>
      <c r="BB107" s="460"/>
      <c r="BC107" s="460"/>
      <c r="BD107" s="460"/>
      <c r="BE107" s="460"/>
      <c r="BF107" s="460"/>
      <c r="BG107" s="460"/>
      <c r="BH107" s="460"/>
      <c r="BI107" s="460"/>
      <c r="BJ107" s="460"/>
      <c r="BK107" s="460"/>
      <c r="BL107" s="460"/>
      <c r="BM107" s="460"/>
      <c r="BN107" s="468">
        <f t="shared" si="10"/>
        <v>300000000</v>
      </c>
    </row>
    <row r="108" spans="1:66" ht="56.25" customHeight="1">
      <c r="A108" s="1377"/>
      <c r="B108" s="1375"/>
      <c r="C108" s="1377"/>
      <c r="D108" s="1379"/>
      <c r="E108" s="1374"/>
      <c r="F108" s="1374"/>
      <c r="G108" s="1374"/>
      <c r="H108" s="1374"/>
      <c r="I108" s="1400"/>
      <c r="J108" s="1374"/>
      <c r="K108" s="657" t="s">
        <v>876</v>
      </c>
      <c r="L108" s="658" t="s">
        <v>896</v>
      </c>
      <c r="M108" s="657" t="s">
        <v>897</v>
      </c>
      <c r="N108" s="657">
        <v>1</v>
      </c>
      <c r="O108" s="657"/>
      <c r="P108" s="657"/>
      <c r="Q108" s="657"/>
      <c r="R108" s="1485"/>
      <c r="S108" s="1485"/>
      <c r="T108" s="1485"/>
      <c r="U108" s="1485"/>
      <c r="V108" s="1485"/>
      <c r="W108" s="374" t="s">
        <v>854</v>
      </c>
      <c r="X108" s="449" t="s">
        <v>1547</v>
      </c>
      <c r="Y108" s="460"/>
      <c r="Z108" s="460"/>
      <c r="AA108" s="460"/>
      <c r="AB108" s="460"/>
      <c r="AC108" s="460"/>
      <c r="AD108" s="460"/>
      <c r="AE108" s="460"/>
      <c r="AF108" s="460"/>
      <c r="AG108" s="460"/>
      <c r="AH108" s="460"/>
      <c r="AI108" s="460"/>
      <c r="AJ108" s="460"/>
      <c r="AK108" s="460"/>
      <c r="AL108" s="460"/>
      <c r="AM108" s="460"/>
      <c r="AN108" s="460"/>
      <c r="AO108" s="460"/>
      <c r="AP108" s="460"/>
      <c r="AQ108" s="460">
        <v>500000000</v>
      </c>
      <c r="AR108" s="460"/>
      <c r="AS108" s="460"/>
      <c r="AT108" s="460"/>
      <c r="AU108" s="460"/>
      <c r="AV108" s="460"/>
      <c r="AW108" s="460"/>
      <c r="AX108" s="460">
        <v>15000000</v>
      </c>
      <c r="AY108" s="460"/>
      <c r="AZ108" s="460"/>
      <c r="BA108" s="460"/>
      <c r="BB108" s="460"/>
      <c r="BC108" s="460"/>
      <c r="BD108" s="460"/>
      <c r="BE108" s="460"/>
      <c r="BF108" s="460"/>
      <c r="BG108" s="460"/>
      <c r="BH108" s="460"/>
      <c r="BI108" s="460"/>
      <c r="BJ108" s="460"/>
      <c r="BK108" s="460"/>
      <c r="BL108" s="460"/>
      <c r="BM108" s="460"/>
      <c r="BN108" s="468">
        <f t="shared" si="10"/>
        <v>515000000</v>
      </c>
    </row>
    <row r="109" spans="1:66" ht="56.25" customHeight="1">
      <c r="A109" s="1377"/>
      <c r="B109" s="1375"/>
      <c r="C109" s="1377"/>
      <c r="D109" s="1379"/>
      <c r="E109" s="1374"/>
      <c r="F109" s="1374"/>
      <c r="G109" s="1374"/>
      <c r="H109" s="1374"/>
      <c r="I109" s="1400"/>
      <c r="J109" s="1374"/>
      <c r="K109" s="657"/>
      <c r="L109" s="658" t="s">
        <v>898</v>
      </c>
      <c r="M109" s="657" t="s">
        <v>899</v>
      </c>
      <c r="N109" s="657"/>
      <c r="O109" s="657">
        <v>1</v>
      </c>
      <c r="P109" s="657"/>
      <c r="Q109" s="657"/>
      <c r="R109" s="1485"/>
      <c r="S109" s="1485"/>
      <c r="T109" s="1485"/>
      <c r="U109" s="1485"/>
      <c r="V109" s="1485"/>
      <c r="W109" s="374" t="s">
        <v>854</v>
      </c>
      <c r="X109" s="450" t="s">
        <v>1516</v>
      </c>
      <c r="Y109" s="460"/>
      <c r="Z109" s="460"/>
      <c r="AA109" s="460"/>
      <c r="AB109" s="460"/>
      <c r="AC109" s="460"/>
      <c r="AD109" s="460"/>
      <c r="AE109" s="460"/>
      <c r="AF109" s="460"/>
      <c r="AG109" s="460"/>
      <c r="AH109" s="460"/>
      <c r="AI109" s="460"/>
      <c r="AJ109" s="460"/>
      <c r="AK109" s="460"/>
      <c r="AL109" s="460"/>
      <c r="AM109" s="460"/>
      <c r="AN109" s="460"/>
      <c r="AO109" s="460"/>
      <c r="AP109" s="460"/>
      <c r="AQ109" s="460">
        <v>300000000</v>
      </c>
      <c r="AR109" s="460"/>
      <c r="AS109" s="460"/>
      <c r="AT109" s="460"/>
      <c r="AU109" s="460"/>
      <c r="AV109" s="460"/>
      <c r="AW109" s="460"/>
      <c r="AX109" s="460"/>
      <c r="AY109" s="460"/>
      <c r="AZ109" s="460"/>
      <c r="BA109" s="460"/>
      <c r="BB109" s="460"/>
      <c r="BC109" s="460"/>
      <c r="BD109" s="460"/>
      <c r="BE109" s="460"/>
      <c r="BF109" s="460"/>
      <c r="BG109" s="460"/>
      <c r="BH109" s="460"/>
      <c r="BI109" s="460"/>
      <c r="BJ109" s="460"/>
      <c r="BK109" s="460"/>
      <c r="BL109" s="460"/>
      <c r="BM109" s="460"/>
      <c r="BN109" s="468">
        <f t="shared" si="10"/>
        <v>300000000</v>
      </c>
    </row>
    <row r="110" spans="1:66" ht="79.5" customHeight="1">
      <c r="A110" s="1377"/>
      <c r="B110" s="1375"/>
      <c r="C110" s="1377"/>
      <c r="D110" s="1379"/>
      <c r="E110" s="1374"/>
      <c r="F110" s="1374"/>
      <c r="G110" s="1374"/>
      <c r="H110" s="1374"/>
      <c r="I110" s="1400"/>
      <c r="J110" s="1374"/>
      <c r="K110" s="657"/>
      <c r="L110" s="658" t="s">
        <v>900</v>
      </c>
      <c r="M110" s="657" t="s">
        <v>901</v>
      </c>
      <c r="N110" s="657">
        <v>1</v>
      </c>
      <c r="O110" s="657">
        <v>1</v>
      </c>
      <c r="P110" s="657">
        <v>1</v>
      </c>
      <c r="Q110" s="657">
        <v>1</v>
      </c>
      <c r="R110" s="1485"/>
      <c r="S110" s="1485"/>
      <c r="T110" s="1485"/>
      <c r="U110" s="1485"/>
      <c r="V110" s="1485"/>
      <c r="W110" s="374" t="s">
        <v>854</v>
      </c>
      <c r="X110" s="476" t="s">
        <v>1581</v>
      </c>
      <c r="Y110" s="460"/>
      <c r="Z110" s="460"/>
      <c r="AA110" s="460"/>
      <c r="AB110" s="460"/>
      <c r="AC110" s="460"/>
      <c r="AD110" s="460"/>
      <c r="AE110" s="460"/>
      <c r="AF110" s="460"/>
      <c r="AG110" s="460"/>
      <c r="AH110" s="460"/>
      <c r="AI110" s="460"/>
      <c r="AJ110" s="460"/>
      <c r="AK110" s="460"/>
      <c r="AL110" s="460"/>
      <c r="AM110" s="460"/>
      <c r="AN110" s="460"/>
      <c r="AO110" s="460"/>
      <c r="AP110" s="460"/>
      <c r="AQ110" s="460">
        <v>150000000</v>
      </c>
      <c r="AR110" s="460"/>
      <c r="AS110" s="460"/>
      <c r="AT110" s="460"/>
      <c r="AU110" s="460"/>
      <c r="AV110" s="460"/>
      <c r="AW110" s="460"/>
      <c r="AX110" s="460"/>
      <c r="AY110" s="460"/>
      <c r="AZ110" s="460"/>
      <c r="BA110" s="460"/>
      <c r="BB110" s="460"/>
      <c r="BC110" s="460"/>
      <c r="BD110" s="460"/>
      <c r="BE110" s="460"/>
      <c r="BF110" s="460"/>
      <c r="BG110" s="460"/>
      <c r="BH110" s="460"/>
      <c r="BI110" s="460"/>
      <c r="BJ110" s="460"/>
      <c r="BK110" s="460"/>
      <c r="BL110" s="460"/>
      <c r="BM110" s="460"/>
      <c r="BN110" s="468">
        <f t="shared" si="10"/>
        <v>150000000</v>
      </c>
    </row>
    <row r="111" spans="1:67" ht="30" customHeight="1">
      <c r="A111" s="1377"/>
      <c r="B111" s="1375"/>
      <c r="C111" s="1377"/>
      <c r="D111" s="1379"/>
      <c r="E111" s="406"/>
      <c r="F111" s="406"/>
      <c r="G111" s="406"/>
      <c r="H111" s="406"/>
      <c r="I111" s="407"/>
      <c r="J111" s="1462" t="s">
        <v>1467</v>
      </c>
      <c r="K111" s="1463"/>
      <c r="L111" s="1463"/>
      <c r="M111" s="1463"/>
      <c r="N111" s="1463"/>
      <c r="O111" s="1463"/>
      <c r="P111" s="1463"/>
      <c r="Q111" s="1463"/>
      <c r="R111" s="1463"/>
      <c r="S111" s="1463"/>
      <c r="T111" s="1463"/>
      <c r="U111" s="1463"/>
      <c r="V111" s="1463"/>
      <c r="W111" s="1463"/>
      <c r="X111" s="1464"/>
      <c r="Y111" s="462">
        <f>SUM(Y105:Y110)</f>
        <v>0</v>
      </c>
      <c r="Z111" s="462">
        <f aca="true" t="shared" si="12" ref="Z111:BM111">SUM(Z105:Z110)</f>
        <v>0</v>
      </c>
      <c r="AA111" s="462">
        <f t="shared" si="12"/>
        <v>0</v>
      </c>
      <c r="AB111" s="462">
        <f t="shared" si="12"/>
        <v>0</v>
      </c>
      <c r="AC111" s="462">
        <f t="shared" si="12"/>
        <v>0</v>
      </c>
      <c r="AD111" s="462">
        <f t="shared" si="12"/>
        <v>0</v>
      </c>
      <c r="AE111" s="462">
        <f t="shared" si="12"/>
        <v>0</v>
      </c>
      <c r="AF111" s="462">
        <f t="shared" si="12"/>
        <v>0</v>
      </c>
      <c r="AG111" s="462">
        <f t="shared" si="12"/>
        <v>0</v>
      </c>
      <c r="AH111" s="462">
        <f t="shared" si="12"/>
        <v>0</v>
      </c>
      <c r="AI111" s="462">
        <f t="shared" si="12"/>
        <v>0</v>
      </c>
      <c r="AJ111" s="462">
        <f t="shared" si="12"/>
        <v>0</v>
      </c>
      <c r="AK111" s="462">
        <f t="shared" si="12"/>
        <v>0</v>
      </c>
      <c r="AL111" s="462">
        <f t="shared" si="12"/>
        <v>0</v>
      </c>
      <c r="AM111" s="462">
        <f t="shared" si="12"/>
        <v>0</v>
      </c>
      <c r="AN111" s="462">
        <f t="shared" si="12"/>
        <v>0</v>
      </c>
      <c r="AO111" s="462">
        <f t="shared" si="12"/>
        <v>0</v>
      </c>
      <c r="AP111" s="462">
        <f t="shared" si="12"/>
        <v>0</v>
      </c>
      <c r="AQ111" s="462">
        <f t="shared" si="12"/>
        <v>3133140579</v>
      </c>
      <c r="AR111" s="462">
        <f t="shared" si="12"/>
        <v>0</v>
      </c>
      <c r="AS111" s="462">
        <f t="shared" si="12"/>
        <v>0</v>
      </c>
      <c r="AT111" s="462">
        <f t="shared" si="12"/>
        <v>0</v>
      </c>
      <c r="AU111" s="462">
        <f t="shared" si="12"/>
        <v>0</v>
      </c>
      <c r="AV111" s="462">
        <f t="shared" si="12"/>
        <v>0</v>
      </c>
      <c r="AW111" s="462">
        <f t="shared" si="12"/>
        <v>0</v>
      </c>
      <c r="AX111" s="462">
        <f t="shared" si="12"/>
        <v>15000000</v>
      </c>
      <c r="AY111" s="462">
        <f t="shared" si="12"/>
        <v>0</v>
      </c>
      <c r="AZ111" s="462">
        <f t="shared" si="12"/>
        <v>0</v>
      </c>
      <c r="BA111" s="462">
        <f t="shared" si="12"/>
        <v>0</v>
      </c>
      <c r="BB111" s="462">
        <f t="shared" si="12"/>
        <v>0</v>
      </c>
      <c r="BC111" s="462">
        <f t="shared" si="12"/>
        <v>0</v>
      </c>
      <c r="BD111" s="462">
        <f t="shared" si="12"/>
        <v>0</v>
      </c>
      <c r="BE111" s="462">
        <f t="shared" si="12"/>
        <v>0</v>
      </c>
      <c r="BF111" s="462">
        <f t="shared" si="12"/>
        <v>0</v>
      </c>
      <c r="BG111" s="462">
        <f t="shared" si="12"/>
        <v>0</v>
      </c>
      <c r="BH111" s="462">
        <f t="shared" si="12"/>
        <v>0</v>
      </c>
      <c r="BI111" s="462">
        <f t="shared" si="12"/>
        <v>0</v>
      </c>
      <c r="BJ111" s="462">
        <f t="shared" si="12"/>
        <v>0</v>
      </c>
      <c r="BK111" s="462">
        <f t="shared" si="12"/>
        <v>0</v>
      </c>
      <c r="BL111" s="462">
        <f t="shared" si="12"/>
        <v>0</v>
      </c>
      <c r="BM111" s="462">
        <f t="shared" si="12"/>
        <v>0</v>
      </c>
      <c r="BN111" s="462">
        <f>SUM(BN105:BN110)</f>
        <v>3148140579</v>
      </c>
      <c r="BO111" s="412" t="s">
        <v>1617</v>
      </c>
    </row>
    <row r="112" spans="1:66" ht="86.25" customHeight="1">
      <c r="A112" s="1377"/>
      <c r="B112" s="1375"/>
      <c r="C112" s="1377"/>
      <c r="D112" s="1379"/>
      <c r="E112" s="1374" t="s">
        <v>902</v>
      </c>
      <c r="F112" s="1374" t="s">
        <v>903</v>
      </c>
      <c r="G112" s="1374" t="s">
        <v>888</v>
      </c>
      <c r="H112" s="1487">
        <v>0.6</v>
      </c>
      <c r="I112" s="1400">
        <v>1</v>
      </c>
      <c r="J112" s="1374" t="s">
        <v>904</v>
      </c>
      <c r="K112" s="657"/>
      <c r="L112" s="658" t="s">
        <v>905</v>
      </c>
      <c r="M112" s="657" t="s">
        <v>906</v>
      </c>
      <c r="N112" s="657"/>
      <c r="O112" s="657">
        <v>1</v>
      </c>
      <c r="P112" s="657"/>
      <c r="Q112" s="657"/>
      <c r="R112" s="1447">
        <v>1550000</v>
      </c>
      <c r="S112" s="1447">
        <v>1400000</v>
      </c>
      <c r="T112" s="1447">
        <v>1300000</v>
      </c>
      <c r="U112" s="1447">
        <v>950000</v>
      </c>
      <c r="V112" s="1447">
        <v>5200000</v>
      </c>
      <c r="W112" s="374" t="s">
        <v>854</v>
      </c>
      <c r="X112" s="1449" t="s">
        <v>1548</v>
      </c>
      <c r="Y112" s="1436"/>
      <c r="Z112" s="1436"/>
      <c r="AA112" s="1436"/>
      <c r="AB112" s="1436"/>
      <c r="AC112" s="1436"/>
      <c r="AD112" s="1436"/>
      <c r="AE112" s="1436"/>
      <c r="AF112" s="1436"/>
      <c r="AG112" s="1436"/>
      <c r="AH112" s="1436"/>
      <c r="AI112" s="1436"/>
      <c r="AJ112" s="1436"/>
      <c r="AK112" s="1445"/>
      <c r="AL112" s="1436">
        <f>90000000-40000000</f>
        <v>50000000</v>
      </c>
      <c r="AM112" s="1436"/>
      <c r="AN112" s="1436"/>
      <c r="AO112" s="460"/>
      <c r="AP112" s="1436"/>
      <c r="AQ112" s="1436"/>
      <c r="AR112" s="1436"/>
      <c r="AS112" s="1436"/>
      <c r="AT112" s="1436"/>
      <c r="AU112" s="1436"/>
      <c r="AV112" s="1436"/>
      <c r="AW112" s="1436"/>
      <c r="AX112" s="1436"/>
      <c r="AY112" s="1436"/>
      <c r="AZ112" s="1436"/>
      <c r="BA112" s="1478"/>
      <c r="BB112" s="1436"/>
      <c r="BC112" s="1436"/>
      <c r="BD112" s="1436"/>
      <c r="BE112" s="1436"/>
      <c r="BF112" s="1436"/>
      <c r="BG112" s="1436"/>
      <c r="BH112" s="1436"/>
      <c r="BI112" s="1436"/>
      <c r="BJ112" s="1436"/>
      <c r="BK112" s="1436"/>
      <c r="BL112" s="1436"/>
      <c r="BM112" s="1436"/>
      <c r="BN112" s="1436">
        <f t="shared" si="10"/>
        <v>50000000</v>
      </c>
    </row>
    <row r="113" spans="1:66" ht="93" customHeight="1">
      <c r="A113" s="1377"/>
      <c r="B113" s="1375"/>
      <c r="C113" s="1377"/>
      <c r="D113" s="1379"/>
      <c r="E113" s="1374"/>
      <c r="F113" s="1374"/>
      <c r="G113" s="1374"/>
      <c r="H113" s="1374"/>
      <c r="I113" s="1400"/>
      <c r="J113" s="1374"/>
      <c r="K113" s="657"/>
      <c r="L113" s="658" t="s">
        <v>907</v>
      </c>
      <c r="M113" s="657" t="s">
        <v>908</v>
      </c>
      <c r="N113" s="657"/>
      <c r="O113" s="657">
        <v>1</v>
      </c>
      <c r="P113" s="657"/>
      <c r="Q113" s="657"/>
      <c r="R113" s="1447"/>
      <c r="S113" s="1447"/>
      <c r="T113" s="1447"/>
      <c r="U113" s="1447"/>
      <c r="V113" s="1447"/>
      <c r="W113" s="374" t="s">
        <v>854</v>
      </c>
      <c r="X113" s="1450"/>
      <c r="Y113" s="1437"/>
      <c r="Z113" s="1437"/>
      <c r="AA113" s="1437"/>
      <c r="AB113" s="1437"/>
      <c r="AC113" s="1437"/>
      <c r="AD113" s="1437"/>
      <c r="AE113" s="1437"/>
      <c r="AF113" s="1437"/>
      <c r="AG113" s="1437"/>
      <c r="AH113" s="1437"/>
      <c r="AI113" s="1437"/>
      <c r="AJ113" s="1437"/>
      <c r="AK113" s="1446"/>
      <c r="AL113" s="1437"/>
      <c r="AM113" s="1437"/>
      <c r="AN113" s="1437"/>
      <c r="AO113" s="460"/>
      <c r="AP113" s="1437"/>
      <c r="AQ113" s="1437"/>
      <c r="AR113" s="1437"/>
      <c r="AS113" s="1437"/>
      <c r="AT113" s="1437"/>
      <c r="AU113" s="1437"/>
      <c r="AV113" s="1437"/>
      <c r="AW113" s="1437"/>
      <c r="AX113" s="1437"/>
      <c r="AY113" s="1437"/>
      <c r="AZ113" s="1437"/>
      <c r="BA113" s="1549"/>
      <c r="BB113" s="1437"/>
      <c r="BC113" s="1437"/>
      <c r="BD113" s="1437"/>
      <c r="BE113" s="1437"/>
      <c r="BF113" s="1437"/>
      <c r="BG113" s="1437"/>
      <c r="BH113" s="1437"/>
      <c r="BI113" s="1437"/>
      <c r="BJ113" s="1437"/>
      <c r="BK113" s="1437"/>
      <c r="BL113" s="1437"/>
      <c r="BM113" s="1437"/>
      <c r="BN113" s="1437">
        <f t="shared" si="10"/>
        <v>0</v>
      </c>
    </row>
    <row r="114" spans="1:66" ht="68.25" customHeight="1">
      <c r="A114" s="1377"/>
      <c r="B114" s="1375"/>
      <c r="C114" s="1377"/>
      <c r="D114" s="1379"/>
      <c r="E114" s="1374"/>
      <c r="F114" s="1374"/>
      <c r="G114" s="1374"/>
      <c r="H114" s="1374"/>
      <c r="I114" s="1400"/>
      <c r="J114" s="1374"/>
      <c r="K114" s="657"/>
      <c r="L114" s="658" t="s">
        <v>909</v>
      </c>
      <c r="M114" s="657" t="s">
        <v>910</v>
      </c>
      <c r="N114" s="657">
        <v>1</v>
      </c>
      <c r="O114" s="657"/>
      <c r="P114" s="657"/>
      <c r="Q114" s="657"/>
      <c r="R114" s="1447"/>
      <c r="S114" s="1447"/>
      <c r="T114" s="1447"/>
      <c r="U114" s="1447"/>
      <c r="V114" s="1447"/>
      <c r="W114" s="374" t="s">
        <v>854</v>
      </c>
      <c r="X114" s="1450"/>
      <c r="Y114" s="1437"/>
      <c r="Z114" s="1437"/>
      <c r="AA114" s="1437"/>
      <c r="AB114" s="1437"/>
      <c r="AC114" s="1437"/>
      <c r="AD114" s="1437"/>
      <c r="AE114" s="1437"/>
      <c r="AF114" s="1437"/>
      <c r="AG114" s="1437"/>
      <c r="AH114" s="1437"/>
      <c r="AI114" s="1437"/>
      <c r="AJ114" s="1437"/>
      <c r="AK114" s="1446"/>
      <c r="AL114" s="1437"/>
      <c r="AM114" s="1437"/>
      <c r="AN114" s="1437"/>
      <c r="AO114" s="460"/>
      <c r="AP114" s="1437"/>
      <c r="AQ114" s="1437"/>
      <c r="AR114" s="1437"/>
      <c r="AS114" s="1437"/>
      <c r="AT114" s="1437"/>
      <c r="AU114" s="1437"/>
      <c r="AV114" s="1437"/>
      <c r="AW114" s="1437"/>
      <c r="AX114" s="1437"/>
      <c r="AY114" s="1437"/>
      <c r="AZ114" s="1437"/>
      <c r="BA114" s="1549"/>
      <c r="BB114" s="1437"/>
      <c r="BC114" s="1437"/>
      <c r="BD114" s="1437"/>
      <c r="BE114" s="1437"/>
      <c r="BF114" s="1437"/>
      <c r="BG114" s="1437"/>
      <c r="BH114" s="1437"/>
      <c r="BI114" s="1437"/>
      <c r="BJ114" s="1437"/>
      <c r="BK114" s="1437"/>
      <c r="BL114" s="1437"/>
      <c r="BM114" s="1437"/>
      <c r="BN114" s="1437">
        <f t="shared" si="10"/>
        <v>0</v>
      </c>
    </row>
    <row r="115" spans="1:66" ht="90.75" customHeight="1">
      <c r="A115" s="1377"/>
      <c r="B115" s="1375"/>
      <c r="C115" s="1377"/>
      <c r="D115" s="1379"/>
      <c r="E115" s="1374"/>
      <c r="F115" s="1374"/>
      <c r="G115" s="1374"/>
      <c r="H115" s="1374"/>
      <c r="I115" s="1400"/>
      <c r="J115" s="1374"/>
      <c r="K115" s="657"/>
      <c r="L115" s="658" t="s">
        <v>911</v>
      </c>
      <c r="M115" s="657" t="s">
        <v>912</v>
      </c>
      <c r="N115" s="657"/>
      <c r="O115" s="657">
        <v>1</v>
      </c>
      <c r="P115" s="657"/>
      <c r="Q115" s="657"/>
      <c r="R115" s="1447"/>
      <c r="S115" s="1447"/>
      <c r="T115" s="1447"/>
      <c r="U115" s="1447"/>
      <c r="V115" s="1447"/>
      <c r="W115" s="374" t="s">
        <v>854</v>
      </c>
      <c r="X115" s="1450"/>
      <c r="Y115" s="1437"/>
      <c r="Z115" s="1437"/>
      <c r="AA115" s="1437"/>
      <c r="AB115" s="1437"/>
      <c r="AC115" s="1437"/>
      <c r="AD115" s="1437"/>
      <c r="AE115" s="1437"/>
      <c r="AF115" s="1437"/>
      <c r="AG115" s="1437"/>
      <c r="AH115" s="1437"/>
      <c r="AI115" s="1437"/>
      <c r="AJ115" s="1437"/>
      <c r="AK115" s="1446"/>
      <c r="AL115" s="1437"/>
      <c r="AM115" s="1437"/>
      <c r="AN115" s="1437"/>
      <c r="AO115" s="460"/>
      <c r="AP115" s="1437"/>
      <c r="AQ115" s="1437"/>
      <c r="AR115" s="1437"/>
      <c r="AS115" s="1437"/>
      <c r="AT115" s="1437"/>
      <c r="AU115" s="1437"/>
      <c r="AV115" s="1437"/>
      <c r="AW115" s="1437"/>
      <c r="AX115" s="1437"/>
      <c r="AY115" s="1437"/>
      <c r="AZ115" s="1437"/>
      <c r="BA115" s="1549"/>
      <c r="BB115" s="1437"/>
      <c r="BC115" s="1437"/>
      <c r="BD115" s="1437"/>
      <c r="BE115" s="1437"/>
      <c r="BF115" s="1437"/>
      <c r="BG115" s="1437"/>
      <c r="BH115" s="1437"/>
      <c r="BI115" s="1437"/>
      <c r="BJ115" s="1437"/>
      <c r="BK115" s="1437"/>
      <c r="BL115" s="1437"/>
      <c r="BM115" s="1437"/>
      <c r="BN115" s="1437">
        <f t="shared" si="10"/>
        <v>0</v>
      </c>
    </row>
    <row r="116" spans="1:66" ht="56.25" customHeight="1">
      <c r="A116" s="1377"/>
      <c r="B116" s="1375"/>
      <c r="C116" s="1377"/>
      <c r="D116" s="1379"/>
      <c r="E116" s="1374"/>
      <c r="F116" s="1374"/>
      <c r="G116" s="1374"/>
      <c r="H116" s="1374"/>
      <c r="I116" s="1400"/>
      <c r="J116" s="1374"/>
      <c r="K116" s="657"/>
      <c r="L116" s="658" t="s">
        <v>913</v>
      </c>
      <c r="M116" s="657" t="s">
        <v>914</v>
      </c>
      <c r="N116" s="657"/>
      <c r="O116" s="657">
        <v>1</v>
      </c>
      <c r="P116" s="657">
        <v>1</v>
      </c>
      <c r="Q116" s="657">
        <v>1</v>
      </c>
      <c r="R116" s="1447"/>
      <c r="S116" s="1447"/>
      <c r="T116" s="1447"/>
      <c r="U116" s="1447"/>
      <c r="V116" s="1447"/>
      <c r="W116" s="374" t="s">
        <v>854</v>
      </c>
      <c r="X116" s="1450"/>
      <c r="Y116" s="1437"/>
      <c r="Z116" s="1437"/>
      <c r="AA116" s="1437"/>
      <c r="AB116" s="1437"/>
      <c r="AC116" s="1437"/>
      <c r="AD116" s="1437"/>
      <c r="AE116" s="1437"/>
      <c r="AF116" s="1437"/>
      <c r="AG116" s="1437"/>
      <c r="AH116" s="1437"/>
      <c r="AI116" s="1437"/>
      <c r="AJ116" s="1437"/>
      <c r="AK116" s="1446"/>
      <c r="AL116" s="1437"/>
      <c r="AM116" s="1437"/>
      <c r="AN116" s="1437"/>
      <c r="AO116" s="460"/>
      <c r="AP116" s="1437"/>
      <c r="AQ116" s="1437"/>
      <c r="AR116" s="1437"/>
      <c r="AS116" s="1437"/>
      <c r="AT116" s="1437"/>
      <c r="AU116" s="1437"/>
      <c r="AV116" s="1437"/>
      <c r="AW116" s="1437"/>
      <c r="AX116" s="1437"/>
      <c r="AY116" s="1437"/>
      <c r="AZ116" s="1437"/>
      <c r="BA116" s="1549"/>
      <c r="BB116" s="1437"/>
      <c r="BC116" s="1437"/>
      <c r="BD116" s="1437"/>
      <c r="BE116" s="1437"/>
      <c r="BF116" s="1437"/>
      <c r="BG116" s="1437"/>
      <c r="BH116" s="1437"/>
      <c r="BI116" s="1437"/>
      <c r="BJ116" s="1437"/>
      <c r="BK116" s="1437"/>
      <c r="BL116" s="1437"/>
      <c r="BM116" s="1437"/>
      <c r="BN116" s="1437">
        <f t="shared" si="10"/>
        <v>0</v>
      </c>
    </row>
    <row r="117" spans="1:66" ht="81.75" customHeight="1">
      <c r="A117" s="1377"/>
      <c r="B117" s="1375"/>
      <c r="C117" s="1377"/>
      <c r="D117" s="1379"/>
      <c r="E117" s="1374"/>
      <c r="F117" s="1374"/>
      <c r="G117" s="1374"/>
      <c r="H117" s="1374"/>
      <c r="I117" s="1400"/>
      <c r="J117" s="1374"/>
      <c r="K117" s="657"/>
      <c r="L117" s="658" t="s">
        <v>915</v>
      </c>
      <c r="M117" s="657" t="s">
        <v>916</v>
      </c>
      <c r="N117" s="657">
        <v>1</v>
      </c>
      <c r="O117" s="657">
        <v>1</v>
      </c>
      <c r="P117" s="657"/>
      <c r="Q117" s="657">
        <v>1</v>
      </c>
      <c r="R117" s="1447"/>
      <c r="S117" s="1447"/>
      <c r="T117" s="1447"/>
      <c r="U117" s="1447"/>
      <c r="V117" s="1447"/>
      <c r="W117" s="374" t="s">
        <v>854</v>
      </c>
      <c r="X117" s="1450"/>
      <c r="Y117" s="1437"/>
      <c r="Z117" s="1437"/>
      <c r="AA117" s="1437"/>
      <c r="AB117" s="1437"/>
      <c r="AC117" s="1437"/>
      <c r="AD117" s="1437"/>
      <c r="AE117" s="1437"/>
      <c r="AF117" s="1437"/>
      <c r="AG117" s="1437"/>
      <c r="AH117" s="1437"/>
      <c r="AI117" s="1437"/>
      <c r="AJ117" s="1437"/>
      <c r="AK117" s="1446"/>
      <c r="AL117" s="1437"/>
      <c r="AM117" s="1437"/>
      <c r="AN117" s="1437"/>
      <c r="AO117" s="460"/>
      <c r="AP117" s="1437"/>
      <c r="AQ117" s="1437"/>
      <c r="AR117" s="1437"/>
      <c r="AS117" s="1437"/>
      <c r="AT117" s="1437"/>
      <c r="AU117" s="1437"/>
      <c r="AV117" s="1437"/>
      <c r="AW117" s="1437"/>
      <c r="AX117" s="1437"/>
      <c r="AY117" s="1437"/>
      <c r="AZ117" s="1437"/>
      <c r="BA117" s="1549"/>
      <c r="BB117" s="1437"/>
      <c r="BC117" s="1437"/>
      <c r="BD117" s="1437"/>
      <c r="BE117" s="1437"/>
      <c r="BF117" s="1437"/>
      <c r="BG117" s="1437"/>
      <c r="BH117" s="1437"/>
      <c r="BI117" s="1437"/>
      <c r="BJ117" s="1437"/>
      <c r="BK117" s="1437"/>
      <c r="BL117" s="1437"/>
      <c r="BM117" s="1437"/>
      <c r="BN117" s="1437">
        <f t="shared" si="10"/>
        <v>0</v>
      </c>
    </row>
    <row r="118" spans="1:66" ht="99.75" customHeight="1">
      <c r="A118" s="1377"/>
      <c r="B118" s="1375"/>
      <c r="C118" s="1377"/>
      <c r="D118" s="1379"/>
      <c r="E118" s="1374"/>
      <c r="F118" s="1374"/>
      <c r="G118" s="1374"/>
      <c r="H118" s="1374"/>
      <c r="I118" s="1400"/>
      <c r="J118" s="1374"/>
      <c r="K118" s="657"/>
      <c r="L118" s="658" t="s">
        <v>917</v>
      </c>
      <c r="M118" s="657" t="s">
        <v>918</v>
      </c>
      <c r="N118" s="657">
        <v>1</v>
      </c>
      <c r="O118" s="657">
        <v>1</v>
      </c>
      <c r="P118" s="657">
        <v>1</v>
      </c>
      <c r="Q118" s="657">
        <v>1</v>
      </c>
      <c r="R118" s="1447"/>
      <c r="S118" s="1447"/>
      <c r="T118" s="1447"/>
      <c r="U118" s="1447"/>
      <c r="V118" s="1447"/>
      <c r="W118" s="374" t="s">
        <v>854</v>
      </c>
      <c r="X118" s="1450"/>
      <c r="Y118" s="1437"/>
      <c r="Z118" s="1437"/>
      <c r="AA118" s="1437"/>
      <c r="AB118" s="1437"/>
      <c r="AC118" s="1437"/>
      <c r="AD118" s="1437"/>
      <c r="AE118" s="1437"/>
      <c r="AF118" s="1437"/>
      <c r="AG118" s="1437"/>
      <c r="AH118" s="1437"/>
      <c r="AI118" s="1437"/>
      <c r="AJ118" s="1437"/>
      <c r="AK118" s="1446"/>
      <c r="AL118" s="1437"/>
      <c r="AM118" s="1437"/>
      <c r="AN118" s="1437"/>
      <c r="AO118" s="460"/>
      <c r="AP118" s="1437"/>
      <c r="AQ118" s="1437"/>
      <c r="AR118" s="1437"/>
      <c r="AS118" s="1437"/>
      <c r="AT118" s="1437"/>
      <c r="AU118" s="1437"/>
      <c r="AV118" s="1437"/>
      <c r="AW118" s="1437"/>
      <c r="AX118" s="1437"/>
      <c r="AY118" s="1437"/>
      <c r="AZ118" s="1437"/>
      <c r="BA118" s="1549"/>
      <c r="BB118" s="1437"/>
      <c r="BC118" s="1437"/>
      <c r="BD118" s="1437"/>
      <c r="BE118" s="1437"/>
      <c r="BF118" s="1437"/>
      <c r="BG118" s="1437"/>
      <c r="BH118" s="1437"/>
      <c r="BI118" s="1437"/>
      <c r="BJ118" s="1437"/>
      <c r="BK118" s="1437"/>
      <c r="BL118" s="1437"/>
      <c r="BM118" s="1437"/>
      <c r="BN118" s="1437">
        <f t="shared" si="10"/>
        <v>0</v>
      </c>
    </row>
    <row r="119" spans="1:66" ht="96" customHeight="1">
      <c r="A119" s="1377"/>
      <c r="B119" s="1375"/>
      <c r="C119" s="1377"/>
      <c r="D119" s="1379"/>
      <c r="E119" s="1374"/>
      <c r="F119" s="1374"/>
      <c r="G119" s="1374"/>
      <c r="H119" s="1374"/>
      <c r="I119" s="1400"/>
      <c r="J119" s="1374"/>
      <c r="K119" s="657"/>
      <c r="L119" s="658" t="s">
        <v>919</v>
      </c>
      <c r="M119" s="657" t="s">
        <v>920</v>
      </c>
      <c r="N119" s="657"/>
      <c r="O119" s="657">
        <v>1</v>
      </c>
      <c r="P119" s="657">
        <v>1</v>
      </c>
      <c r="Q119" s="657">
        <v>1</v>
      </c>
      <c r="R119" s="1447"/>
      <c r="S119" s="1447"/>
      <c r="T119" s="1447"/>
      <c r="U119" s="1447"/>
      <c r="V119" s="1447"/>
      <c r="W119" s="374" t="s">
        <v>854</v>
      </c>
      <c r="X119" s="1461"/>
      <c r="Y119" s="1454"/>
      <c r="Z119" s="1454"/>
      <c r="AA119" s="1454"/>
      <c r="AB119" s="1454"/>
      <c r="AC119" s="1454"/>
      <c r="AD119" s="1454"/>
      <c r="AE119" s="1454"/>
      <c r="AF119" s="1454"/>
      <c r="AG119" s="1454"/>
      <c r="AH119" s="1454"/>
      <c r="AI119" s="1454"/>
      <c r="AJ119" s="1454"/>
      <c r="AK119" s="1363"/>
      <c r="AL119" s="1454"/>
      <c r="AM119" s="1454"/>
      <c r="AN119" s="1454"/>
      <c r="AO119" s="460"/>
      <c r="AP119" s="1454"/>
      <c r="AQ119" s="1454"/>
      <c r="AR119" s="1454"/>
      <c r="AS119" s="1454"/>
      <c r="AT119" s="1454"/>
      <c r="AU119" s="1454"/>
      <c r="AV119" s="1454"/>
      <c r="AW119" s="1454"/>
      <c r="AX119" s="1454"/>
      <c r="AY119" s="1454"/>
      <c r="AZ119" s="1454"/>
      <c r="BA119" s="1479"/>
      <c r="BB119" s="1454"/>
      <c r="BC119" s="1454"/>
      <c r="BD119" s="1454"/>
      <c r="BE119" s="1454"/>
      <c r="BF119" s="1454"/>
      <c r="BG119" s="1454"/>
      <c r="BH119" s="1454"/>
      <c r="BI119" s="1454"/>
      <c r="BJ119" s="1454"/>
      <c r="BK119" s="1454"/>
      <c r="BL119" s="1454"/>
      <c r="BM119" s="1454"/>
      <c r="BN119" s="1454">
        <f t="shared" si="10"/>
        <v>0</v>
      </c>
    </row>
    <row r="120" spans="1:68" ht="27.75" customHeight="1">
      <c r="A120" s="1377"/>
      <c r="B120" s="1375"/>
      <c r="C120" s="1377"/>
      <c r="D120" s="1379"/>
      <c r="E120" s="406"/>
      <c r="F120" s="406"/>
      <c r="G120" s="406"/>
      <c r="H120" s="406"/>
      <c r="I120" s="421"/>
      <c r="J120" s="1462" t="s">
        <v>1468</v>
      </c>
      <c r="K120" s="1463"/>
      <c r="L120" s="1463"/>
      <c r="M120" s="1463"/>
      <c r="N120" s="1463"/>
      <c r="O120" s="1463"/>
      <c r="P120" s="1463"/>
      <c r="Q120" s="1463"/>
      <c r="R120" s="1463"/>
      <c r="S120" s="1463"/>
      <c r="T120" s="1463"/>
      <c r="U120" s="1463"/>
      <c r="V120" s="1463"/>
      <c r="W120" s="1463"/>
      <c r="X120" s="1464"/>
      <c r="Y120" s="462">
        <f>SUM(Y112)</f>
        <v>0</v>
      </c>
      <c r="Z120" s="462">
        <f aca="true" t="shared" si="13" ref="Z120:BL120">SUM(Z112)</f>
        <v>0</v>
      </c>
      <c r="AA120" s="462">
        <f t="shared" si="13"/>
        <v>0</v>
      </c>
      <c r="AB120" s="462">
        <f t="shared" si="13"/>
        <v>0</v>
      </c>
      <c r="AC120" s="462">
        <f t="shared" si="13"/>
        <v>0</v>
      </c>
      <c r="AD120" s="462">
        <f t="shared" si="13"/>
        <v>0</v>
      </c>
      <c r="AE120" s="462">
        <f t="shared" si="13"/>
        <v>0</v>
      </c>
      <c r="AF120" s="462">
        <f t="shared" si="13"/>
        <v>0</v>
      </c>
      <c r="AG120" s="462">
        <f t="shared" si="13"/>
        <v>0</v>
      </c>
      <c r="AH120" s="462">
        <f t="shared" si="13"/>
        <v>0</v>
      </c>
      <c r="AI120" s="462">
        <f t="shared" si="13"/>
        <v>0</v>
      </c>
      <c r="AJ120" s="462">
        <f t="shared" si="13"/>
        <v>0</v>
      </c>
      <c r="AK120" s="462">
        <f t="shared" si="13"/>
        <v>0</v>
      </c>
      <c r="AL120" s="462">
        <f t="shared" si="13"/>
        <v>50000000</v>
      </c>
      <c r="AM120" s="462">
        <f t="shared" si="13"/>
        <v>0</v>
      </c>
      <c r="AN120" s="462">
        <f t="shared" si="13"/>
        <v>0</v>
      </c>
      <c r="AO120" s="462">
        <f t="shared" si="13"/>
        <v>0</v>
      </c>
      <c r="AP120" s="462">
        <f t="shared" si="13"/>
        <v>0</v>
      </c>
      <c r="AQ120" s="462">
        <f t="shared" si="13"/>
        <v>0</v>
      </c>
      <c r="AR120" s="462">
        <f t="shared" si="13"/>
        <v>0</v>
      </c>
      <c r="AS120" s="462">
        <f t="shared" si="13"/>
        <v>0</v>
      </c>
      <c r="AT120" s="462">
        <f t="shared" si="13"/>
        <v>0</v>
      </c>
      <c r="AU120" s="462">
        <f t="shared" si="13"/>
        <v>0</v>
      </c>
      <c r="AV120" s="462">
        <f t="shared" si="13"/>
        <v>0</v>
      </c>
      <c r="AW120" s="462">
        <f t="shared" si="13"/>
        <v>0</v>
      </c>
      <c r="AX120" s="462">
        <f t="shared" si="13"/>
        <v>0</v>
      </c>
      <c r="AY120" s="462">
        <f t="shared" si="13"/>
        <v>0</v>
      </c>
      <c r="AZ120" s="462">
        <f t="shared" si="13"/>
        <v>0</v>
      </c>
      <c r="BA120" s="462">
        <f t="shared" si="13"/>
        <v>0</v>
      </c>
      <c r="BB120" s="462">
        <f t="shared" si="13"/>
        <v>0</v>
      </c>
      <c r="BC120" s="462">
        <f t="shared" si="13"/>
        <v>0</v>
      </c>
      <c r="BD120" s="462">
        <f t="shared" si="13"/>
        <v>0</v>
      </c>
      <c r="BE120" s="462">
        <f t="shared" si="13"/>
        <v>0</v>
      </c>
      <c r="BF120" s="462">
        <f t="shared" si="13"/>
        <v>0</v>
      </c>
      <c r="BG120" s="462">
        <f t="shared" si="13"/>
        <v>0</v>
      </c>
      <c r="BH120" s="462">
        <f t="shared" si="13"/>
        <v>0</v>
      </c>
      <c r="BI120" s="462">
        <f t="shared" si="13"/>
        <v>0</v>
      </c>
      <c r="BJ120" s="462">
        <f t="shared" si="13"/>
        <v>0</v>
      </c>
      <c r="BK120" s="462">
        <f t="shared" si="13"/>
        <v>0</v>
      </c>
      <c r="BL120" s="462">
        <f t="shared" si="13"/>
        <v>0</v>
      </c>
      <c r="BM120" s="462">
        <f>SUM(BM112:BM119)</f>
        <v>0</v>
      </c>
      <c r="BN120" s="462">
        <f>SUM(BN112)</f>
        <v>50000000</v>
      </c>
      <c r="BO120" s="412" t="s">
        <v>1616</v>
      </c>
      <c r="BP120" s="412">
        <v>50000000</v>
      </c>
    </row>
    <row r="121" spans="1:66" ht="56.25" customHeight="1">
      <c r="A121" s="1377"/>
      <c r="B121" s="1375"/>
      <c r="C121" s="1377"/>
      <c r="D121" s="1379"/>
      <c r="E121" s="1375" t="s">
        <v>921</v>
      </c>
      <c r="F121" s="1375" t="s">
        <v>922</v>
      </c>
      <c r="G121" s="1375" t="s">
        <v>923</v>
      </c>
      <c r="H121" s="1548"/>
      <c r="I121" s="1376">
        <v>1</v>
      </c>
      <c r="J121" s="1367" t="s">
        <v>924</v>
      </c>
      <c r="K121" s="666"/>
      <c r="L121" s="397" t="s">
        <v>925</v>
      </c>
      <c r="M121" s="655" t="s">
        <v>926</v>
      </c>
      <c r="N121" s="367"/>
      <c r="O121" s="655">
        <v>1</v>
      </c>
      <c r="P121" s="367"/>
      <c r="Q121" s="367"/>
      <c r="R121" s="1460">
        <v>1200000</v>
      </c>
      <c r="S121" s="1460">
        <v>826000</v>
      </c>
      <c r="T121" s="1460">
        <v>300000</v>
      </c>
      <c r="U121" s="1460">
        <v>300000</v>
      </c>
      <c r="V121" s="1460">
        <v>2626000</v>
      </c>
      <c r="W121" s="391" t="s">
        <v>854</v>
      </c>
      <c r="X121" s="1449" t="s">
        <v>1549</v>
      </c>
      <c r="Y121" s="1436"/>
      <c r="Z121" s="1436"/>
      <c r="AA121" s="1436"/>
      <c r="AB121" s="1436"/>
      <c r="AC121" s="1436"/>
      <c r="AD121" s="1436"/>
      <c r="AE121" s="1436"/>
      <c r="AF121" s="1436"/>
      <c r="AG121" s="1436"/>
      <c r="AH121" s="1436"/>
      <c r="AI121" s="1436"/>
      <c r="AJ121" s="1436">
        <v>50000000</v>
      </c>
      <c r="AK121" s="1445"/>
      <c r="AL121" s="1436">
        <v>100000000</v>
      </c>
      <c r="AM121" s="1436"/>
      <c r="AN121" s="1436"/>
      <c r="AO121" s="460"/>
      <c r="AP121" s="1436"/>
      <c r="AQ121" s="1436"/>
      <c r="AR121" s="1436"/>
      <c r="AS121" s="1436"/>
      <c r="AT121" s="1436"/>
      <c r="AU121" s="1436"/>
      <c r="AV121" s="1436"/>
      <c r="AW121" s="1436"/>
      <c r="AX121" s="1436"/>
      <c r="AY121" s="1436"/>
      <c r="AZ121" s="1436"/>
      <c r="BA121" s="1445"/>
      <c r="BB121" s="1436"/>
      <c r="BC121" s="1436"/>
      <c r="BD121" s="1436"/>
      <c r="BE121" s="1436"/>
      <c r="BF121" s="1436"/>
      <c r="BG121" s="1436"/>
      <c r="BH121" s="1436"/>
      <c r="BI121" s="1436"/>
      <c r="BJ121" s="1436"/>
      <c r="BK121" s="1436"/>
      <c r="BL121" s="1436"/>
      <c r="BM121" s="1436"/>
      <c r="BN121" s="1436">
        <f>SUM(Y121:BM127)</f>
        <v>150000000</v>
      </c>
    </row>
    <row r="122" spans="1:66" ht="56.25" customHeight="1">
      <c r="A122" s="1377"/>
      <c r="B122" s="1375"/>
      <c r="C122" s="1377"/>
      <c r="D122" s="1379"/>
      <c r="E122" s="1375"/>
      <c r="F122" s="1375"/>
      <c r="G122" s="1375"/>
      <c r="H122" s="1548"/>
      <c r="I122" s="1377"/>
      <c r="J122" s="1367"/>
      <c r="K122" s="666"/>
      <c r="L122" s="658" t="s">
        <v>927</v>
      </c>
      <c r="M122" s="655" t="s">
        <v>928</v>
      </c>
      <c r="N122" s="367">
        <v>10</v>
      </c>
      <c r="O122" s="657">
        <v>20</v>
      </c>
      <c r="P122" s="657">
        <v>10</v>
      </c>
      <c r="Q122" s="657">
        <v>10</v>
      </c>
      <c r="R122" s="1460"/>
      <c r="S122" s="1460"/>
      <c r="T122" s="1460"/>
      <c r="U122" s="1460"/>
      <c r="V122" s="1460"/>
      <c r="W122" s="391" t="s">
        <v>854</v>
      </c>
      <c r="X122" s="1450"/>
      <c r="Y122" s="1437"/>
      <c r="Z122" s="1437"/>
      <c r="AA122" s="1437"/>
      <c r="AB122" s="1437"/>
      <c r="AC122" s="1437"/>
      <c r="AD122" s="1437"/>
      <c r="AE122" s="1437"/>
      <c r="AF122" s="1437"/>
      <c r="AG122" s="1437"/>
      <c r="AH122" s="1437"/>
      <c r="AI122" s="1437"/>
      <c r="AJ122" s="1437"/>
      <c r="AK122" s="1446"/>
      <c r="AL122" s="1437"/>
      <c r="AM122" s="1437"/>
      <c r="AN122" s="1437"/>
      <c r="AO122" s="460"/>
      <c r="AP122" s="1437"/>
      <c r="AQ122" s="1437"/>
      <c r="AR122" s="1437"/>
      <c r="AS122" s="1437"/>
      <c r="AT122" s="1437"/>
      <c r="AU122" s="1437"/>
      <c r="AV122" s="1437"/>
      <c r="AW122" s="1437"/>
      <c r="AX122" s="1437"/>
      <c r="AY122" s="1437"/>
      <c r="AZ122" s="1437"/>
      <c r="BA122" s="1446"/>
      <c r="BB122" s="1437"/>
      <c r="BC122" s="1437"/>
      <c r="BD122" s="1437"/>
      <c r="BE122" s="1437"/>
      <c r="BF122" s="1437"/>
      <c r="BG122" s="1437"/>
      <c r="BH122" s="1437"/>
      <c r="BI122" s="1437"/>
      <c r="BJ122" s="1437"/>
      <c r="BK122" s="1437"/>
      <c r="BL122" s="1437"/>
      <c r="BM122" s="1437"/>
      <c r="BN122" s="1437"/>
    </row>
    <row r="123" spans="1:66" ht="56.25" customHeight="1">
      <c r="A123" s="1377"/>
      <c r="B123" s="1375"/>
      <c r="C123" s="1377"/>
      <c r="D123" s="1379"/>
      <c r="E123" s="1375"/>
      <c r="F123" s="1375"/>
      <c r="G123" s="1375"/>
      <c r="H123" s="1548"/>
      <c r="I123" s="1377"/>
      <c r="J123" s="1367"/>
      <c r="K123" s="666"/>
      <c r="L123" s="397" t="s">
        <v>929</v>
      </c>
      <c r="M123" s="655" t="s">
        <v>930</v>
      </c>
      <c r="N123" s="655">
        <v>1</v>
      </c>
      <c r="O123" s="655">
        <v>1</v>
      </c>
      <c r="P123" s="655">
        <v>1</v>
      </c>
      <c r="Q123" s="655">
        <v>1</v>
      </c>
      <c r="R123" s="1460"/>
      <c r="S123" s="1460"/>
      <c r="T123" s="1460"/>
      <c r="U123" s="1460"/>
      <c r="V123" s="1460"/>
      <c r="W123" s="391" t="s">
        <v>854</v>
      </c>
      <c r="X123" s="1450"/>
      <c r="Y123" s="1437"/>
      <c r="Z123" s="1437"/>
      <c r="AA123" s="1437"/>
      <c r="AB123" s="1437"/>
      <c r="AC123" s="1437"/>
      <c r="AD123" s="1437"/>
      <c r="AE123" s="1437"/>
      <c r="AF123" s="1437"/>
      <c r="AG123" s="1437"/>
      <c r="AH123" s="1437"/>
      <c r="AI123" s="1437"/>
      <c r="AJ123" s="1437"/>
      <c r="AK123" s="1446"/>
      <c r="AL123" s="1437"/>
      <c r="AM123" s="1437"/>
      <c r="AN123" s="1437"/>
      <c r="AO123" s="460"/>
      <c r="AP123" s="1437"/>
      <c r="AQ123" s="1437"/>
      <c r="AR123" s="1437"/>
      <c r="AS123" s="1437"/>
      <c r="AT123" s="1437"/>
      <c r="AU123" s="1437"/>
      <c r="AV123" s="1437"/>
      <c r="AW123" s="1437"/>
      <c r="AX123" s="1437"/>
      <c r="AY123" s="1437"/>
      <c r="AZ123" s="1437"/>
      <c r="BA123" s="1446"/>
      <c r="BB123" s="1437"/>
      <c r="BC123" s="1437"/>
      <c r="BD123" s="1437"/>
      <c r="BE123" s="1437"/>
      <c r="BF123" s="1437"/>
      <c r="BG123" s="1437"/>
      <c r="BH123" s="1437"/>
      <c r="BI123" s="1437"/>
      <c r="BJ123" s="1437"/>
      <c r="BK123" s="1437"/>
      <c r="BL123" s="1437"/>
      <c r="BM123" s="1437"/>
      <c r="BN123" s="1437"/>
    </row>
    <row r="124" spans="1:66" ht="70.5" customHeight="1">
      <c r="A124" s="1377"/>
      <c r="B124" s="1375"/>
      <c r="C124" s="1377"/>
      <c r="D124" s="1379"/>
      <c r="E124" s="1375"/>
      <c r="F124" s="1375"/>
      <c r="G124" s="1375"/>
      <c r="H124" s="1548"/>
      <c r="I124" s="1377"/>
      <c r="J124" s="1367"/>
      <c r="K124" s="666"/>
      <c r="L124" s="658" t="s">
        <v>931</v>
      </c>
      <c r="M124" s="655" t="s">
        <v>932</v>
      </c>
      <c r="N124" s="657">
        <v>1</v>
      </c>
      <c r="O124" s="657">
        <v>1</v>
      </c>
      <c r="P124" s="657">
        <v>1</v>
      </c>
      <c r="Q124" s="657">
        <v>1</v>
      </c>
      <c r="R124" s="1460"/>
      <c r="S124" s="1460"/>
      <c r="T124" s="1460"/>
      <c r="U124" s="1460"/>
      <c r="V124" s="1460"/>
      <c r="W124" s="391" t="s">
        <v>854</v>
      </c>
      <c r="X124" s="1450"/>
      <c r="Y124" s="1437"/>
      <c r="Z124" s="1437"/>
      <c r="AA124" s="1437"/>
      <c r="AB124" s="1437"/>
      <c r="AC124" s="1437"/>
      <c r="AD124" s="1437"/>
      <c r="AE124" s="1437"/>
      <c r="AF124" s="1437"/>
      <c r="AG124" s="1437"/>
      <c r="AH124" s="1437"/>
      <c r="AI124" s="1437"/>
      <c r="AJ124" s="1437"/>
      <c r="AK124" s="1446"/>
      <c r="AL124" s="1437"/>
      <c r="AM124" s="1437"/>
      <c r="AN124" s="1437"/>
      <c r="AO124" s="460"/>
      <c r="AP124" s="1437"/>
      <c r="AQ124" s="1437"/>
      <c r="AR124" s="1437"/>
      <c r="AS124" s="1437"/>
      <c r="AT124" s="1437"/>
      <c r="AU124" s="1437"/>
      <c r="AV124" s="1437"/>
      <c r="AW124" s="1437"/>
      <c r="AX124" s="1437"/>
      <c r="AY124" s="1437"/>
      <c r="AZ124" s="1437"/>
      <c r="BA124" s="1446"/>
      <c r="BB124" s="1437"/>
      <c r="BC124" s="1437"/>
      <c r="BD124" s="1437"/>
      <c r="BE124" s="1437"/>
      <c r="BF124" s="1437"/>
      <c r="BG124" s="1437"/>
      <c r="BH124" s="1437"/>
      <c r="BI124" s="1437"/>
      <c r="BJ124" s="1437"/>
      <c r="BK124" s="1437"/>
      <c r="BL124" s="1437"/>
      <c r="BM124" s="1437"/>
      <c r="BN124" s="1437"/>
    </row>
    <row r="125" spans="1:66" ht="56.25" customHeight="1">
      <c r="A125" s="1377"/>
      <c r="B125" s="1375"/>
      <c r="C125" s="1377"/>
      <c r="D125" s="1379"/>
      <c r="E125" s="1375"/>
      <c r="F125" s="1375"/>
      <c r="G125" s="1375"/>
      <c r="H125" s="1548"/>
      <c r="I125" s="1377"/>
      <c r="J125" s="1367"/>
      <c r="K125" s="666"/>
      <c r="L125" s="658" t="s">
        <v>933</v>
      </c>
      <c r="M125" s="655" t="s">
        <v>934</v>
      </c>
      <c r="N125" s="367">
        <v>1</v>
      </c>
      <c r="O125" s="367"/>
      <c r="P125" s="657"/>
      <c r="Q125" s="367"/>
      <c r="R125" s="1460"/>
      <c r="S125" s="1460"/>
      <c r="T125" s="1460"/>
      <c r="U125" s="1460"/>
      <c r="V125" s="1460"/>
      <c r="W125" s="391" t="s">
        <v>854</v>
      </c>
      <c r="X125" s="1450"/>
      <c r="Y125" s="1437"/>
      <c r="Z125" s="1437"/>
      <c r="AA125" s="1437"/>
      <c r="AB125" s="1437"/>
      <c r="AC125" s="1437"/>
      <c r="AD125" s="1437"/>
      <c r="AE125" s="1437"/>
      <c r="AF125" s="1437"/>
      <c r="AG125" s="1437"/>
      <c r="AH125" s="1437"/>
      <c r="AI125" s="1437"/>
      <c r="AJ125" s="1437"/>
      <c r="AK125" s="1446"/>
      <c r="AL125" s="1437"/>
      <c r="AM125" s="1437"/>
      <c r="AN125" s="1437"/>
      <c r="AO125" s="460"/>
      <c r="AP125" s="1437"/>
      <c r="AQ125" s="1437"/>
      <c r="AR125" s="1437"/>
      <c r="AS125" s="1437"/>
      <c r="AT125" s="1437"/>
      <c r="AU125" s="1437"/>
      <c r="AV125" s="1437"/>
      <c r="AW125" s="1437"/>
      <c r="AX125" s="1437"/>
      <c r="AY125" s="1437"/>
      <c r="AZ125" s="1437"/>
      <c r="BA125" s="1446"/>
      <c r="BB125" s="1437"/>
      <c r="BC125" s="1437"/>
      <c r="BD125" s="1437"/>
      <c r="BE125" s="1437"/>
      <c r="BF125" s="1437"/>
      <c r="BG125" s="1437"/>
      <c r="BH125" s="1437"/>
      <c r="BI125" s="1437"/>
      <c r="BJ125" s="1437"/>
      <c r="BK125" s="1437"/>
      <c r="BL125" s="1437"/>
      <c r="BM125" s="1437"/>
      <c r="BN125" s="1437"/>
    </row>
    <row r="126" spans="1:66" ht="78.75" customHeight="1">
      <c r="A126" s="1377"/>
      <c r="B126" s="1375"/>
      <c r="C126" s="1377"/>
      <c r="D126" s="1379"/>
      <c r="E126" s="1375"/>
      <c r="F126" s="1375"/>
      <c r="G126" s="1375"/>
      <c r="H126" s="1548"/>
      <c r="I126" s="1377"/>
      <c r="J126" s="1367"/>
      <c r="K126" s="666"/>
      <c r="L126" s="658" t="s">
        <v>935</v>
      </c>
      <c r="M126" s="655" t="s">
        <v>936</v>
      </c>
      <c r="N126" s="657"/>
      <c r="O126" s="657">
        <v>1</v>
      </c>
      <c r="P126" s="657">
        <v>1</v>
      </c>
      <c r="Q126" s="657">
        <v>1</v>
      </c>
      <c r="R126" s="1460"/>
      <c r="S126" s="1460"/>
      <c r="T126" s="1460"/>
      <c r="U126" s="1460"/>
      <c r="V126" s="1460"/>
      <c r="W126" s="391" t="s">
        <v>854</v>
      </c>
      <c r="X126" s="1450"/>
      <c r="Y126" s="1437"/>
      <c r="Z126" s="1437"/>
      <c r="AA126" s="1437"/>
      <c r="AB126" s="1437"/>
      <c r="AC126" s="1437"/>
      <c r="AD126" s="1437"/>
      <c r="AE126" s="1437"/>
      <c r="AF126" s="1437"/>
      <c r="AG126" s="1437"/>
      <c r="AH126" s="1437"/>
      <c r="AI126" s="1437"/>
      <c r="AJ126" s="1437"/>
      <c r="AK126" s="1446"/>
      <c r="AL126" s="1437"/>
      <c r="AM126" s="1437"/>
      <c r="AN126" s="1437"/>
      <c r="AO126" s="460"/>
      <c r="AP126" s="1437"/>
      <c r="AQ126" s="1437"/>
      <c r="AR126" s="1437"/>
      <c r="AS126" s="1437"/>
      <c r="AT126" s="1437"/>
      <c r="AU126" s="1437"/>
      <c r="AV126" s="1437"/>
      <c r="AW126" s="1437"/>
      <c r="AX126" s="1437"/>
      <c r="AY126" s="1437"/>
      <c r="AZ126" s="1437"/>
      <c r="BA126" s="1446"/>
      <c r="BB126" s="1437"/>
      <c r="BC126" s="1437"/>
      <c r="BD126" s="1437"/>
      <c r="BE126" s="1437"/>
      <c r="BF126" s="1437"/>
      <c r="BG126" s="1437"/>
      <c r="BH126" s="1437"/>
      <c r="BI126" s="1437"/>
      <c r="BJ126" s="1437"/>
      <c r="BK126" s="1437"/>
      <c r="BL126" s="1437"/>
      <c r="BM126" s="1437"/>
      <c r="BN126" s="1437"/>
    </row>
    <row r="127" spans="1:66" ht="65.25" customHeight="1">
      <c r="A127" s="1377"/>
      <c r="B127" s="1375"/>
      <c r="C127" s="1377"/>
      <c r="D127" s="1379"/>
      <c r="E127" s="1375"/>
      <c r="F127" s="1375"/>
      <c r="G127" s="1375"/>
      <c r="H127" s="1548"/>
      <c r="I127" s="1378"/>
      <c r="J127" s="1367"/>
      <c r="K127" s="666"/>
      <c r="L127" s="397" t="s">
        <v>937</v>
      </c>
      <c r="M127" s="655" t="s">
        <v>938</v>
      </c>
      <c r="N127" s="367"/>
      <c r="O127" s="655">
        <v>1</v>
      </c>
      <c r="P127" s="655">
        <v>1</v>
      </c>
      <c r="Q127" s="367"/>
      <c r="R127" s="1460"/>
      <c r="S127" s="1460"/>
      <c r="T127" s="1460"/>
      <c r="U127" s="1460"/>
      <c r="V127" s="1460"/>
      <c r="W127" s="391" t="s">
        <v>854</v>
      </c>
      <c r="X127" s="1461"/>
      <c r="Y127" s="1454"/>
      <c r="Z127" s="1454"/>
      <c r="AA127" s="1454"/>
      <c r="AB127" s="1454"/>
      <c r="AC127" s="1454"/>
      <c r="AD127" s="1454"/>
      <c r="AE127" s="1454"/>
      <c r="AF127" s="1454"/>
      <c r="AG127" s="1454"/>
      <c r="AH127" s="1454"/>
      <c r="AI127" s="1454"/>
      <c r="AJ127" s="1454"/>
      <c r="AK127" s="1363"/>
      <c r="AL127" s="1454"/>
      <c r="AM127" s="1454"/>
      <c r="AN127" s="1454"/>
      <c r="AO127" s="460"/>
      <c r="AP127" s="1454"/>
      <c r="AQ127" s="1454"/>
      <c r="AR127" s="1454"/>
      <c r="AS127" s="1454"/>
      <c r="AT127" s="1454"/>
      <c r="AU127" s="1454"/>
      <c r="AV127" s="1454"/>
      <c r="AW127" s="1454"/>
      <c r="AX127" s="1454"/>
      <c r="AY127" s="1454"/>
      <c r="AZ127" s="1454"/>
      <c r="BA127" s="1363"/>
      <c r="BB127" s="1454"/>
      <c r="BC127" s="1454"/>
      <c r="BD127" s="1454"/>
      <c r="BE127" s="1454"/>
      <c r="BF127" s="1454"/>
      <c r="BG127" s="1454"/>
      <c r="BH127" s="1454"/>
      <c r="BI127" s="1454"/>
      <c r="BJ127" s="1454"/>
      <c r="BK127" s="1454"/>
      <c r="BL127" s="1454"/>
      <c r="BM127" s="1454"/>
      <c r="BN127" s="1454"/>
    </row>
    <row r="128" spans="1:68" ht="36.75" customHeight="1">
      <c r="A128" s="1377"/>
      <c r="B128" s="1375"/>
      <c r="C128" s="1377"/>
      <c r="D128" s="1379"/>
      <c r="E128" s="655"/>
      <c r="F128" s="655"/>
      <c r="G128" s="655"/>
      <c r="H128" s="666"/>
      <c r="I128" s="652"/>
      <c r="J128" s="1495" t="s">
        <v>1469</v>
      </c>
      <c r="K128" s="1496"/>
      <c r="L128" s="1496"/>
      <c r="M128" s="1496"/>
      <c r="N128" s="1496"/>
      <c r="O128" s="1496"/>
      <c r="P128" s="1496"/>
      <c r="Q128" s="1496"/>
      <c r="R128" s="1496"/>
      <c r="S128" s="1496"/>
      <c r="T128" s="1496"/>
      <c r="U128" s="1496"/>
      <c r="V128" s="1496"/>
      <c r="W128" s="1496"/>
      <c r="X128" s="1497"/>
      <c r="Y128" s="462">
        <f aca="true" t="shared" si="14" ref="Y128:BM128">SUM(Y121)</f>
        <v>0</v>
      </c>
      <c r="Z128" s="462">
        <f t="shared" si="14"/>
        <v>0</v>
      </c>
      <c r="AA128" s="462">
        <f t="shared" si="14"/>
        <v>0</v>
      </c>
      <c r="AB128" s="462">
        <f t="shared" si="14"/>
        <v>0</v>
      </c>
      <c r="AC128" s="462">
        <f t="shared" si="14"/>
        <v>0</v>
      </c>
      <c r="AD128" s="462">
        <f t="shared" si="14"/>
        <v>0</v>
      </c>
      <c r="AE128" s="462">
        <f t="shared" si="14"/>
        <v>0</v>
      </c>
      <c r="AF128" s="462">
        <f t="shared" si="14"/>
        <v>0</v>
      </c>
      <c r="AG128" s="462">
        <f t="shared" si="14"/>
        <v>0</v>
      </c>
      <c r="AH128" s="462">
        <f t="shared" si="14"/>
        <v>0</v>
      </c>
      <c r="AI128" s="462">
        <f t="shared" si="14"/>
        <v>0</v>
      </c>
      <c r="AJ128" s="462">
        <f t="shared" si="14"/>
        <v>50000000</v>
      </c>
      <c r="AK128" s="462">
        <f t="shared" si="14"/>
        <v>0</v>
      </c>
      <c r="AL128" s="462">
        <f t="shared" si="14"/>
        <v>100000000</v>
      </c>
      <c r="AM128" s="462">
        <f t="shared" si="14"/>
        <v>0</v>
      </c>
      <c r="AN128" s="462">
        <f t="shared" si="14"/>
        <v>0</v>
      </c>
      <c r="AO128" s="462">
        <f t="shared" si="14"/>
        <v>0</v>
      </c>
      <c r="AP128" s="462">
        <f t="shared" si="14"/>
        <v>0</v>
      </c>
      <c r="AQ128" s="462">
        <f t="shared" si="14"/>
        <v>0</v>
      </c>
      <c r="AR128" s="462">
        <f t="shared" si="14"/>
        <v>0</v>
      </c>
      <c r="AS128" s="462">
        <f t="shared" si="14"/>
        <v>0</v>
      </c>
      <c r="AT128" s="462">
        <f t="shared" si="14"/>
        <v>0</v>
      </c>
      <c r="AU128" s="462">
        <f t="shared" si="14"/>
        <v>0</v>
      </c>
      <c r="AV128" s="462">
        <f t="shared" si="14"/>
        <v>0</v>
      </c>
      <c r="AW128" s="462">
        <f t="shared" si="14"/>
        <v>0</v>
      </c>
      <c r="AX128" s="462">
        <f t="shared" si="14"/>
        <v>0</v>
      </c>
      <c r="AY128" s="462">
        <f t="shared" si="14"/>
        <v>0</v>
      </c>
      <c r="AZ128" s="462">
        <f t="shared" si="14"/>
        <v>0</v>
      </c>
      <c r="BA128" s="462">
        <f t="shared" si="14"/>
        <v>0</v>
      </c>
      <c r="BB128" s="462">
        <f t="shared" si="14"/>
        <v>0</v>
      </c>
      <c r="BC128" s="462">
        <f t="shared" si="14"/>
        <v>0</v>
      </c>
      <c r="BD128" s="462">
        <f t="shared" si="14"/>
        <v>0</v>
      </c>
      <c r="BE128" s="462">
        <f t="shared" si="14"/>
        <v>0</v>
      </c>
      <c r="BF128" s="462">
        <f t="shared" si="14"/>
        <v>0</v>
      </c>
      <c r="BG128" s="462">
        <f t="shared" si="14"/>
        <v>0</v>
      </c>
      <c r="BH128" s="462">
        <f t="shared" si="14"/>
        <v>0</v>
      </c>
      <c r="BI128" s="462">
        <f t="shared" si="14"/>
        <v>0</v>
      </c>
      <c r="BJ128" s="462">
        <f t="shared" si="14"/>
        <v>0</v>
      </c>
      <c r="BK128" s="462">
        <f t="shared" si="14"/>
        <v>0</v>
      </c>
      <c r="BL128" s="462">
        <f t="shared" si="14"/>
        <v>0</v>
      </c>
      <c r="BM128" s="462">
        <f t="shared" si="14"/>
        <v>0</v>
      </c>
      <c r="BN128" s="462">
        <f>SUM(BN121)</f>
        <v>150000000</v>
      </c>
      <c r="BO128" s="412" t="s">
        <v>1616</v>
      </c>
      <c r="BP128" s="412">
        <v>100000000</v>
      </c>
    </row>
    <row r="129" spans="1:66" ht="87.75" customHeight="1">
      <c r="A129" s="1377"/>
      <c r="B129" s="1375"/>
      <c r="C129" s="1377"/>
      <c r="D129" s="1379"/>
      <c r="E129" s="1367" t="s">
        <v>939</v>
      </c>
      <c r="F129" s="1367" t="s">
        <v>940</v>
      </c>
      <c r="G129" s="1367" t="s">
        <v>941</v>
      </c>
      <c r="H129" s="1379" t="s">
        <v>942</v>
      </c>
      <c r="I129" s="1376">
        <v>1</v>
      </c>
      <c r="J129" s="1379" t="s">
        <v>943</v>
      </c>
      <c r="K129" s="666"/>
      <c r="L129" s="658" t="s">
        <v>944</v>
      </c>
      <c r="M129" s="657" t="s">
        <v>945</v>
      </c>
      <c r="N129" s="657">
        <v>2</v>
      </c>
      <c r="O129" s="657">
        <v>2</v>
      </c>
      <c r="P129" s="657">
        <v>2</v>
      </c>
      <c r="Q129" s="657">
        <v>2</v>
      </c>
      <c r="R129" s="1460">
        <v>1700000</v>
      </c>
      <c r="S129" s="1460">
        <v>400000</v>
      </c>
      <c r="T129" s="1460">
        <v>300000</v>
      </c>
      <c r="U129" s="1460">
        <v>400000</v>
      </c>
      <c r="V129" s="1460">
        <v>2800000</v>
      </c>
      <c r="W129" s="374" t="s">
        <v>854</v>
      </c>
      <c r="X129" s="1449" t="s">
        <v>1550</v>
      </c>
      <c r="Y129" s="1436"/>
      <c r="Z129" s="1436"/>
      <c r="AA129" s="1436"/>
      <c r="AB129" s="1436"/>
      <c r="AC129" s="1436"/>
      <c r="AD129" s="1436"/>
      <c r="AE129" s="1436"/>
      <c r="AF129" s="1436"/>
      <c r="AG129" s="1436"/>
      <c r="AH129" s="1436"/>
      <c r="AI129" s="1436"/>
      <c r="AJ129" s="1436">
        <v>80000000</v>
      </c>
      <c r="AK129" s="1445"/>
      <c r="AL129" s="1436">
        <v>170000000</v>
      </c>
      <c r="AM129" s="1436"/>
      <c r="AN129" s="1436"/>
      <c r="AO129" s="460"/>
      <c r="AP129" s="1436"/>
      <c r="AQ129" s="1436"/>
      <c r="AR129" s="1436"/>
      <c r="AS129" s="1436"/>
      <c r="AT129" s="1436"/>
      <c r="AU129" s="1436"/>
      <c r="AV129" s="1436"/>
      <c r="AW129" s="1436"/>
      <c r="AX129" s="1436"/>
      <c r="AY129" s="1436"/>
      <c r="AZ129" s="1436"/>
      <c r="BA129" s="1445"/>
      <c r="BB129" s="1436"/>
      <c r="BC129" s="1436"/>
      <c r="BD129" s="1436"/>
      <c r="BE129" s="1436"/>
      <c r="BF129" s="1436"/>
      <c r="BG129" s="1436"/>
      <c r="BH129" s="1436"/>
      <c r="BI129" s="1436"/>
      <c r="BJ129" s="1436"/>
      <c r="BK129" s="1436"/>
      <c r="BL129" s="1436"/>
      <c r="BM129" s="1436"/>
      <c r="BN129" s="1436">
        <f>SUM(Y129:BM139)</f>
        <v>250000000</v>
      </c>
    </row>
    <row r="130" spans="1:66" ht="56.25" customHeight="1">
      <c r="A130" s="1377"/>
      <c r="B130" s="1375"/>
      <c r="C130" s="1377"/>
      <c r="D130" s="1379"/>
      <c r="E130" s="1367"/>
      <c r="F130" s="1367"/>
      <c r="G130" s="1367"/>
      <c r="H130" s="1379"/>
      <c r="I130" s="1377"/>
      <c r="J130" s="1379"/>
      <c r="K130" s="666"/>
      <c r="L130" s="658" t="s">
        <v>946</v>
      </c>
      <c r="M130" s="657" t="s">
        <v>947</v>
      </c>
      <c r="N130" s="657">
        <v>2</v>
      </c>
      <c r="O130" s="657">
        <v>2</v>
      </c>
      <c r="P130" s="657">
        <v>2</v>
      </c>
      <c r="Q130" s="657">
        <v>2</v>
      </c>
      <c r="R130" s="1460"/>
      <c r="S130" s="1460"/>
      <c r="T130" s="1460"/>
      <c r="U130" s="1460"/>
      <c r="V130" s="1460"/>
      <c r="W130" s="374" t="s">
        <v>854</v>
      </c>
      <c r="X130" s="1450"/>
      <c r="Y130" s="1437"/>
      <c r="Z130" s="1437"/>
      <c r="AA130" s="1437"/>
      <c r="AB130" s="1437"/>
      <c r="AC130" s="1437"/>
      <c r="AD130" s="1437"/>
      <c r="AE130" s="1437"/>
      <c r="AF130" s="1437"/>
      <c r="AG130" s="1437"/>
      <c r="AH130" s="1437"/>
      <c r="AI130" s="1437"/>
      <c r="AJ130" s="1437"/>
      <c r="AK130" s="1446"/>
      <c r="AL130" s="1437"/>
      <c r="AM130" s="1437"/>
      <c r="AN130" s="1437"/>
      <c r="AO130" s="460"/>
      <c r="AP130" s="1437"/>
      <c r="AQ130" s="1437"/>
      <c r="AR130" s="1437"/>
      <c r="AS130" s="1437"/>
      <c r="AT130" s="1437"/>
      <c r="AU130" s="1437"/>
      <c r="AV130" s="1437"/>
      <c r="AW130" s="1437"/>
      <c r="AX130" s="1437"/>
      <c r="AY130" s="1437"/>
      <c r="AZ130" s="1437"/>
      <c r="BA130" s="1446"/>
      <c r="BB130" s="1437"/>
      <c r="BC130" s="1437"/>
      <c r="BD130" s="1437"/>
      <c r="BE130" s="1437"/>
      <c r="BF130" s="1437"/>
      <c r="BG130" s="1437"/>
      <c r="BH130" s="1437"/>
      <c r="BI130" s="1437"/>
      <c r="BJ130" s="1437"/>
      <c r="BK130" s="1437"/>
      <c r="BL130" s="1437"/>
      <c r="BM130" s="1437"/>
      <c r="BN130" s="1437"/>
    </row>
    <row r="131" spans="1:66" ht="90" customHeight="1">
      <c r="A131" s="1377"/>
      <c r="B131" s="1375"/>
      <c r="C131" s="1377"/>
      <c r="D131" s="1379"/>
      <c r="E131" s="1367"/>
      <c r="F131" s="1367"/>
      <c r="G131" s="1367"/>
      <c r="H131" s="1379"/>
      <c r="I131" s="1377"/>
      <c r="J131" s="1379"/>
      <c r="K131" s="666"/>
      <c r="L131" s="658" t="s">
        <v>948</v>
      </c>
      <c r="M131" s="657" t="s">
        <v>949</v>
      </c>
      <c r="N131" s="367"/>
      <c r="O131" s="657">
        <v>1</v>
      </c>
      <c r="P131" s="657"/>
      <c r="Q131" s="367"/>
      <c r="R131" s="1460"/>
      <c r="S131" s="1460"/>
      <c r="T131" s="1460"/>
      <c r="U131" s="1460"/>
      <c r="V131" s="1460"/>
      <c r="W131" s="374" t="s">
        <v>854</v>
      </c>
      <c r="X131" s="1450"/>
      <c r="Y131" s="1437"/>
      <c r="Z131" s="1437"/>
      <c r="AA131" s="1437"/>
      <c r="AB131" s="1437"/>
      <c r="AC131" s="1437"/>
      <c r="AD131" s="1437"/>
      <c r="AE131" s="1437"/>
      <c r="AF131" s="1437"/>
      <c r="AG131" s="1437"/>
      <c r="AH131" s="1437"/>
      <c r="AI131" s="1437"/>
      <c r="AJ131" s="1437"/>
      <c r="AK131" s="1446"/>
      <c r="AL131" s="1437"/>
      <c r="AM131" s="1437"/>
      <c r="AN131" s="1437"/>
      <c r="AO131" s="460"/>
      <c r="AP131" s="1437"/>
      <c r="AQ131" s="1437"/>
      <c r="AR131" s="1437"/>
      <c r="AS131" s="1437"/>
      <c r="AT131" s="1437"/>
      <c r="AU131" s="1437"/>
      <c r="AV131" s="1437"/>
      <c r="AW131" s="1437"/>
      <c r="AX131" s="1437"/>
      <c r="AY131" s="1437"/>
      <c r="AZ131" s="1437"/>
      <c r="BA131" s="1446"/>
      <c r="BB131" s="1437"/>
      <c r="BC131" s="1437"/>
      <c r="BD131" s="1437"/>
      <c r="BE131" s="1437"/>
      <c r="BF131" s="1437"/>
      <c r="BG131" s="1437"/>
      <c r="BH131" s="1437"/>
      <c r="BI131" s="1437"/>
      <c r="BJ131" s="1437"/>
      <c r="BK131" s="1437"/>
      <c r="BL131" s="1437"/>
      <c r="BM131" s="1437"/>
      <c r="BN131" s="1437"/>
    </row>
    <row r="132" spans="1:66" ht="54" customHeight="1">
      <c r="A132" s="1377"/>
      <c r="B132" s="1375"/>
      <c r="C132" s="1377"/>
      <c r="D132" s="1379"/>
      <c r="E132" s="1367"/>
      <c r="F132" s="657" t="s">
        <v>950</v>
      </c>
      <c r="G132" s="657" t="s">
        <v>654</v>
      </c>
      <c r="H132" s="662">
        <v>0.5</v>
      </c>
      <c r="I132" s="1377"/>
      <c r="J132" s="1379"/>
      <c r="K132" s="666"/>
      <c r="L132" s="658" t="s">
        <v>951</v>
      </c>
      <c r="M132" s="657" t="s">
        <v>952</v>
      </c>
      <c r="N132" s="367"/>
      <c r="O132" s="657">
        <v>1</v>
      </c>
      <c r="P132" s="657">
        <v>1</v>
      </c>
      <c r="Q132" s="657">
        <v>1</v>
      </c>
      <c r="R132" s="1460"/>
      <c r="S132" s="1460"/>
      <c r="T132" s="1460"/>
      <c r="U132" s="1460"/>
      <c r="V132" s="1460"/>
      <c r="W132" s="374" t="s">
        <v>854</v>
      </c>
      <c r="X132" s="1450"/>
      <c r="Y132" s="1437"/>
      <c r="Z132" s="1437"/>
      <c r="AA132" s="1437"/>
      <c r="AB132" s="1437"/>
      <c r="AC132" s="1437"/>
      <c r="AD132" s="1437"/>
      <c r="AE132" s="1437"/>
      <c r="AF132" s="1437"/>
      <c r="AG132" s="1437"/>
      <c r="AH132" s="1437"/>
      <c r="AI132" s="1437"/>
      <c r="AJ132" s="1437"/>
      <c r="AK132" s="1446"/>
      <c r="AL132" s="1437"/>
      <c r="AM132" s="1437"/>
      <c r="AN132" s="1437"/>
      <c r="AO132" s="460"/>
      <c r="AP132" s="1437"/>
      <c r="AQ132" s="1437"/>
      <c r="AR132" s="1437"/>
      <c r="AS132" s="1437"/>
      <c r="AT132" s="1437"/>
      <c r="AU132" s="1437"/>
      <c r="AV132" s="1437"/>
      <c r="AW132" s="1437"/>
      <c r="AX132" s="1437"/>
      <c r="AY132" s="1437"/>
      <c r="AZ132" s="1437"/>
      <c r="BA132" s="1446"/>
      <c r="BB132" s="1437"/>
      <c r="BC132" s="1437"/>
      <c r="BD132" s="1437"/>
      <c r="BE132" s="1437"/>
      <c r="BF132" s="1437"/>
      <c r="BG132" s="1437"/>
      <c r="BH132" s="1437"/>
      <c r="BI132" s="1437"/>
      <c r="BJ132" s="1437"/>
      <c r="BK132" s="1437"/>
      <c r="BL132" s="1437"/>
      <c r="BM132" s="1437"/>
      <c r="BN132" s="1437"/>
    </row>
    <row r="133" spans="1:66" ht="77.25" customHeight="1">
      <c r="A133" s="1377"/>
      <c r="B133" s="1375"/>
      <c r="C133" s="1377"/>
      <c r="D133" s="1379"/>
      <c r="E133" s="1367" t="s">
        <v>953</v>
      </c>
      <c r="F133" s="657" t="s">
        <v>954</v>
      </c>
      <c r="G133" s="1367" t="s">
        <v>654</v>
      </c>
      <c r="H133" s="1452">
        <v>0.5</v>
      </c>
      <c r="I133" s="1377"/>
      <c r="J133" s="1379"/>
      <c r="K133" s="666"/>
      <c r="L133" s="658" t="s">
        <v>955</v>
      </c>
      <c r="M133" s="657" t="s">
        <v>956</v>
      </c>
      <c r="N133" s="367"/>
      <c r="O133" s="657">
        <v>1</v>
      </c>
      <c r="P133" s="657">
        <v>1</v>
      </c>
      <c r="Q133" s="367"/>
      <c r="R133" s="1460"/>
      <c r="S133" s="1460"/>
      <c r="T133" s="1460"/>
      <c r="U133" s="1460"/>
      <c r="V133" s="1460"/>
      <c r="W133" s="374" t="s">
        <v>854</v>
      </c>
      <c r="X133" s="1450"/>
      <c r="Y133" s="1437"/>
      <c r="Z133" s="1437"/>
      <c r="AA133" s="1437"/>
      <c r="AB133" s="1437"/>
      <c r="AC133" s="1437"/>
      <c r="AD133" s="1437"/>
      <c r="AE133" s="1437"/>
      <c r="AF133" s="1437"/>
      <c r="AG133" s="1437"/>
      <c r="AH133" s="1437"/>
      <c r="AI133" s="1437"/>
      <c r="AJ133" s="1437"/>
      <c r="AK133" s="1446"/>
      <c r="AL133" s="1437"/>
      <c r="AM133" s="1437"/>
      <c r="AN133" s="1437"/>
      <c r="AO133" s="460"/>
      <c r="AP133" s="1437"/>
      <c r="AQ133" s="1437"/>
      <c r="AR133" s="1437"/>
      <c r="AS133" s="1437"/>
      <c r="AT133" s="1437"/>
      <c r="AU133" s="1437"/>
      <c r="AV133" s="1437"/>
      <c r="AW133" s="1437"/>
      <c r="AX133" s="1437"/>
      <c r="AY133" s="1437"/>
      <c r="AZ133" s="1437"/>
      <c r="BA133" s="1446"/>
      <c r="BB133" s="1437"/>
      <c r="BC133" s="1437"/>
      <c r="BD133" s="1437"/>
      <c r="BE133" s="1437"/>
      <c r="BF133" s="1437"/>
      <c r="BG133" s="1437"/>
      <c r="BH133" s="1437"/>
      <c r="BI133" s="1437"/>
      <c r="BJ133" s="1437"/>
      <c r="BK133" s="1437"/>
      <c r="BL133" s="1437"/>
      <c r="BM133" s="1437"/>
      <c r="BN133" s="1437"/>
    </row>
    <row r="134" spans="1:66" ht="67.5" customHeight="1">
      <c r="A134" s="1377"/>
      <c r="B134" s="1375"/>
      <c r="C134" s="1377"/>
      <c r="D134" s="1379"/>
      <c r="E134" s="1367"/>
      <c r="F134" s="1367" t="s">
        <v>957</v>
      </c>
      <c r="G134" s="1367"/>
      <c r="H134" s="1367"/>
      <c r="I134" s="1377"/>
      <c r="J134" s="1379"/>
      <c r="K134" s="666"/>
      <c r="L134" s="658" t="s">
        <v>958</v>
      </c>
      <c r="M134" s="657" t="s">
        <v>959</v>
      </c>
      <c r="N134" s="657">
        <v>100</v>
      </c>
      <c r="O134" s="657">
        <v>100</v>
      </c>
      <c r="P134" s="657">
        <v>100</v>
      </c>
      <c r="Q134" s="657">
        <v>100</v>
      </c>
      <c r="R134" s="1460"/>
      <c r="S134" s="1460"/>
      <c r="T134" s="1460"/>
      <c r="U134" s="1460"/>
      <c r="V134" s="1460"/>
      <c r="W134" s="374" t="s">
        <v>854</v>
      </c>
      <c r="X134" s="1450"/>
      <c r="Y134" s="1437"/>
      <c r="Z134" s="1437"/>
      <c r="AA134" s="1437"/>
      <c r="AB134" s="1437"/>
      <c r="AC134" s="1437"/>
      <c r="AD134" s="1437"/>
      <c r="AE134" s="1437"/>
      <c r="AF134" s="1437"/>
      <c r="AG134" s="1437"/>
      <c r="AH134" s="1437"/>
      <c r="AI134" s="1437"/>
      <c r="AJ134" s="1437"/>
      <c r="AK134" s="1446"/>
      <c r="AL134" s="1437"/>
      <c r="AM134" s="1437"/>
      <c r="AN134" s="1437"/>
      <c r="AO134" s="460"/>
      <c r="AP134" s="1437"/>
      <c r="AQ134" s="1437"/>
      <c r="AR134" s="1437"/>
      <c r="AS134" s="1437"/>
      <c r="AT134" s="1437"/>
      <c r="AU134" s="1437"/>
      <c r="AV134" s="1437"/>
      <c r="AW134" s="1437"/>
      <c r="AX134" s="1437"/>
      <c r="AY134" s="1437"/>
      <c r="AZ134" s="1437"/>
      <c r="BA134" s="1446"/>
      <c r="BB134" s="1437"/>
      <c r="BC134" s="1437"/>
      <c r="BD134" s="1437"/>
      <c r="BE134" s="1437"/>
      <c r="BF134" s="1437"/>
      <c r="BG134" s="1437"/>
      <c r="BH134" s="1437"/>
      <c r="BI134" s="1437"/>
      <c r="BJ134" s="1437"/>
      <c r="BK134" s="1437"/>
      <c r="BL134" s="1437"/>
      <c r="BM134" s="1437"/>
      <c r="BN134" s="1437"/>
    </row>
    <row r="135" spans="1:66" ht="75" customHeight="1">
      <c r="A135" s="1377"/>
      <c r="B135" s="1375"/>
      <c r="C135" s="1377"/>
      <c r="D135" s="1379"/>
      <c r="E135" s="1367"/>
      <c r="F135" s="1367"/>
      <c r="G135" s="1367"/>
      <c r="H135" s="1367"/>
      <c r="I135" s="1377"/>
      <c r="J135" s="1379"/>
      <c r="K135" s="666"/>
      <c r="L135" s="658" t="s">
        <v>960</v>
      </c>
      <c r="M135" s="657" t="s">
        <v>961</v>
      </c>
      <c r="N135" s="367"/>
      <c r="O135" s="657">
        <v>1</v>
      </c>
      <c r="P135" s="367"/>
      <c r="Q135" s="367"/>
      <c r="R135" s="1460"/>
      <c r="S135" s="1460"/>
      <c r="T135" s="1460"/>
      <c r="U135" s="1460"/>
      <c r="V135" s="1460"/>
      <c r="W135" s="374" t="s">
        <v>854</v>
      </c>
      <c r="X135" s="1450"/>
      <c r="Y135" s="1437"/>
      <c r="Z135" s="1437"/>
      <c r="AA135" s="1437"/>
      <c r="AB135" s="1437"/>
      <c r="AC135" s="1437"/>
      <c r="AD135" s="1437"/>
      <c r="AE135" s="1437"/>
      <c r="AF135" s="1437"/>
      <c r="AG135" s="1437"/>
      <c r="AH135" s="1437"/>
      <c r="AI135" s="1437"/>
      <c r="AJ135" s="1437"/>
      <c r="AK135" s="1446"/>
      <c r="AL135" s="1437"/>
      <c r="AM135" s="1437"/>
      <c r="AN135" s="1437"/>
      <c r="AO135" s="460"/>
      <c r="AP135" s="1437"/>
      <c r="AQ135" s="1437"/>
      <c r="AR135" s="1437"/>
      <c r="AS135" s="1437"/>
      <c r="AT135" s="1437"/>
      <c r="AU135" s="1437"/>
      <c r="AV135" s="1437"/>
      <c r="AW135" s="1437"/>
      <c r="AX135" s="1437"/>
      <c r="AY135" s="1437"/>
      <c r="AZ135" s="1437"/>
      <c r="BA135" s="1446"/>
      <c r="BB135" s="1437"/>
      <c r="BC135" s="1437"/>
      <c r="BD135" s="1437"/>
      <c r="BE135" s="1437"/>
      <c r="BF135" s="1437"/>
      <c r="BG135" s="1437"/>
      <c r="BH135" s="1437"/>
      <c r="BI135" s="1437"/>
      <c r="BJ135" s="1437"/>
      <c r="BK135" s="1437"/>
      <c r="BL135" s="1437"/>
      <c r="BM135" s="1437"/>
      <c r="BN135" s="1437"/>
    </row>
    <row r="136" spans="1:66" ht="63.75" customHeight="1">
      <c r="A136" s="1377"/>
      <c r="B136" s="1375"/>
      <c r="C136" s="1377"/>
      <c r="D136" s="1379"/>
      <c r="E136" s="1367"/>
      <c r="F136" s="1367"/>
      <c r="G136" s="1367"/>
      <c r="H136" s="1367"/>
      <c r="I136" s="1377"/>
      <c r="J136" s="1379"/>
      <c r="K136" s="666"/>
      <c r="L136" s="658" t="s">
        <v>962</v>
      </c>
      <c r="M136" s="657" t="s">
        <v>963</v>
      </c>
      <c r="N136" s="367"/>
      <c r="O136" s="657">
        <v>1</v>
      </c>
      <c r="P136" s="367"/>
      <c r="Q136" s="367"/>
      <c r="R136" s="1460"/>
      <c r="S136" s="1460"/>
      <c r="T136" s="1460"/>
      <c r="U136" s="1460"/>
      <c r="V136" s="1460"/>
      <c r="W136" s="374" t="s">
        <v>854</v>
      </c>
      <c r="X136" s="1450"/>
      <c r="Y136" s="1437"/>
      <c r="Z136" s="1437"/>
      <c r="AA136" s="1437"/>
      <c r="AB136" s="1437"/>
      <c r="AC136" s="1437"/>
      <c r="AD136" s="1437"/>
      <c r="AE136" s="1437"/>
      <c r="AF136" s="1437"/>
      <c r="AG136" s="1437"/>
      <c r="AH136" s="1437"/>
      <c r="AI136" s="1437"/>
      <c r="AJ136" s="1437"/>
      <c r="AK136" s="1446"/>
      <c r="AL136" s="1437"/>
      <c r="AM136" s="1437"/>
      <c r="AN136" s="1437"/>
      <c r="AO136" s="460"/>
      <c r="AP136" s="1437"/>
      <c r="AQ136" s="1437"/>
      <c r="AR136" s="1437"/>
      <c r="AS136" s="1437"/>
      <c r="AT136" s="1437"/>
      <c r="AU136" s="1437"/>
      <c r="AV136" s="1437"/>
      <c r="AW136" s="1437"/>
      <c r="AX136" s="1437"/>
      <c r="AY136" s="1437"/>
      <c r="AZ136" s="1437"/>
      <c r="BA136" s="1446"/>
      <c r="BB136" s="1437"/>
      <c r="BC136" s="1437"/>
      <c r="BD136" s="1437"/>
      <c r="BE136" s="1437"/>
      <c r="BF136" s="1437"/>
      <c r="BG136" s="1437"/>
      <c r="BH136" s="1437"/>
      <c r="BI136" s="1437"/>
      <c r="BJ136" s="1437"/>
      <c r="BK136" s="1437"/>
      <c r="BL136" s="1437"/>
      <c r="BM136" s="1437"/>
      <c r="BN136" s="1437"/>
    </row>
    <row r="137" spans="1:66" ht="56.25" customHeight="1">
      <c r="A137" s="1377"/>
      <c r="B137" s="1375"/>
      <c r="C137" s="1377"/>
      <c r="D137" s="1379"/>
      <c r="E137" s="1367"/>
      <c r="F137" s="657" t="s">
        <v>964</v>
      </c>
      <c r="G137" s="1367"/>
      <c r="H137" s="1367"/>
      <c r="I137" s="1377"/>
      <c r="J137" s="1379"/>
      <c r="K137" s="666"/>
      <c r="L137" s="658" t="s">
        <v>965</v>
      </c>
      <c r="M137" s="657" t="s">
        <v>966</v>
      </c>
      <c r="N137" s="657">
        <v>2</v>
      </c>
      <c r="O137" s="657">
        <v>2</v>
      </c>
      <c r="P137" s="657">
        <v>2</v>
      </c>
      <c r="Q137" s="657">
        <v>2</v>
      </c>
      <c r="R137" s="1460"/>
      <c r="S137" s="1460"/>
      <c r="T137" s="1460"/>
      <c r="U137" s="1460"/>
      <c r="V137" s="1460"/>
      <c r="W137" s="374" t="s">
        <v>854</v>
      </c>
      <c r="X137" s="1450"/>
      <c r="Y137" s="1437"/>
      <c r="Z137" s="1437"/>
      <c r="AA137" s="1437"/>
      <c r="AB137" s="1437"/>
      <c r="AC137" s="1437"/>
      <c r="AD137" s="1437"/>
      <c r="AE137" s="1437"/>
      <c r="AF137" s="1437"/>
      <c r="AG137" s="1437"/>
      <c r="AH137" s="1437"/>
      <c r="AI137" s="1437"/>
      <c r="AJ137" s="1437"/>
      <c r="AK137" s="1446"/>
      <c r="AL137" s="1437"/>
      <c r="AM137" s="1437"/>
      <c r="AN137" s="1437"/>
      <c r="AO137" s="460"/>
      <c r="AP137" s="1437"/>
      <c r="AQ137" s="1437"/>
      <c r="AR137" s="1437"/>
      <c r="AS137" s="1437"/>
      <c r="AT137" s="1437"/>
      <c r="AU137" s="1437"/>
      <c r="AV137" s="1437"/>
      <c r="AW137" s="1437"/>
      <c r="AX137" s="1437"/>
      <c r="AY137" s="1437"/>
      <c r="AZ137" s="1437"/>
      <c r="BA137" s="1446"/>
      <c r="BB137" s="1437"/>
      <c r="BC137" s="1437"/>
      <c r="BD137" s="1437"/>
      <c r="BE137" s="1437"/>
      <c r="BF137" s="1437"/>
      <c r="BG137" s="1437"/>
      <c r="BH137" s="1437"/>
      <c r="BI137" s="1437"/>
      <c r="BJ137" s="1437"/>
      <c r="BK137" s="1437"/>
      <c r="BL137" s="1437"/>
      <c r="BM137" s="1437"/>
      <c r="BN137" s="1437"/>
    </row>
    <row r="138" spans="1:66" ht="56.25" customHeight="1">
      <c r="A138" s="1377"/>
      <c r="B138" s="1375"/>
      <c r="C138" s="1377"/>
      <c r="D138" s="1379"/>
      <c r="E138" s="1367" t="s">
        <v>967</v>
      </c>
      <c r="F138" s="1367" t="s">
        <v>968</v>
      </c>
      <c r="G138" s="1367" t="s">
        <v>654</v>
      </c>
      <c r="H138" s="1367" t="s">
        <v>969</v>
      </c>
      <c r="I138" s="1377"/>
      <c r="J138" s="1379"/>
      <c r="K138" s="666"/>
      <c r="L138" s="658" t="s">
        <v>970</v>
      </c>
      <c r="M138" s="657" t="s">
        <v>971</v>
      </c>
      <c r="N138" s="657">
        <v>1</v>
      </c>
      <c r="O138" s="657"/>
      <c r="P138" s="657"/>
      <c r="Q138" s="367"/>
      <c r="R138" s="1460"/>
      <c r="S138" s="1460"/>
      <c r="T138" s="1460"/>
      <c r="U138" s="1460"/>
      <c r="V138" s="1460"/>
      <c r="W138" s="374" t="s">
        <v>854</v>
      </c>
      <c r="X138" s="1450"/>
      <c r="Y138" s="1437"/>
      <c r="Z138" s="1437"/>
      <c r="AA138" s="1437"/>
      <c r="AB138" s="1437"/>
      <c r="AC138" s="1437"/>
      <c r="AD138" s="1437"/>
      <c r="AE138" s="1437"/>
      <c r="AF138" s="1437"/>
      <c r="AG138" s="1437"/>
      <c r="AH138" s="1437"/>
      <c r="AI138" s="1437"/>
      <c r="AJ138" s="1437"/>
      <c r="AK138" s="1446"/>
      <c r="AL138" s="1437"/>
      <c r="AM138" s="1437"/>
      <c r="AN138" s="1437"/>
      <c r="AO138" s="460"/>
      <c r="AP138" s="1437"/>
      <c r="AQ138" s="1437"/>
      <c r="AR138" s="1437"/>
      <c r="AS138" s="1437"/>
      <c r="AT138" s="1437"/>
      <c r="AU138" s="1437"/>
      <c r="AV138" s="1437"/>
      <c r="AW138" s="1437"/>
      <c r="AX138" s="1437"/>
      <c r="AY138" s="1437"/>
      <c r="AZ138" s="1437"/>
      <c r="BA138" s="1446"/>
      <c r="BB138" s="1437"/>
      <c r="BC138" s="1437"/>
      <c r="BD138" s="1437"/>
      <c r="BE138" s="1437"/>
      <c r="BF138" s="1437"/>
      <c r="BG138" s="1437"/>
      <c r="BH138" s="1437"/>
      <c r="BI138" s="1437"/>
      <c r="BJ138" s="1437"/>
      <c r="BK138" s="1437"/>
      <c r="BL138" s="1437"/>
      <c r="BM138" s="1437"/>
      <c r="BN138" s="1437"/>
    </row>
    <row r="139" spans="1:66" ht="56.25" customHeight="1">
      <c r="A139" s="1377"/>
      <c r="B139" s="1375"/>
      <c r="C139" s="1377"/>
      <c r="D139" s="1379"/>
      <c r="E139" s="1367"/>
      <c r="F139" s="1367"/>
      <c r="G139" s="1367"/>
      <c r="H139" s="1367"/>
      <c r="I139" s="1377"/>
      <c r="J139" s="1379"/>
      <c r="K139" s="666"/>
      <c r="L139" s="658" t="s">
        <v>972</v>
      </c>
      <c r="M139" s="657" t="s">
        <v>973</v>
      </c>
      <c r="N139" s="657"/>
      <c r="O139" s="367">
        <v>1</v>
      </c>
      <c r="P139" s="657"/>
      <c r="Q139" s="657"/>
      <c r="R139" s="1460"/>
      <c r="S139" s="1460"/>
      <c r="T139" s="1460"/>
      <c r="U139" s="1460"/>
      <c r="V139" s="1460"/>
      <c r="W139" s="374" t="s">
        <v>854</v>
      </c>
      <c r="X139" s="1461"/>
      <c r="Y139" s="1454"/>
      <c r="Z139" s="1454"/>
      <c r="AA139" s="1454"/>
      <c r="AB139" s="1454"/>
      <c r="AC139" s="1454"/>
      <c r="AD139" s="1454"/>
      <c r="AE139" s="1454"/>
      <c r="AF139" s="1454"/>
      <c r="AG139" s="1454"/>
      <c r="AH139" s="1454"/>
      <c r="AI139" s="1454"/>
      <c r="AJ139" s="1454"/>
      <c r="AK139" s="1363"/>
      <c r="AL139" s="1454"/>
      <c r="AM139" s="1454"/>
      <c r="AN139" s="1454"/>
      <c r="AO139" s="460"/>
      <c r="AP139" s="1454"/>
      <c r="AQ139" s="1454"/>
      <c r="AR139" s="1454"/>
      <c r="AS139" s="1454"/>
      <c r="AT139" s="1454"/>
      <c r="AU139" s="1454"/>
      <c r="AV139" s="1454"/>
      <c r="AW139" s="1454"/>
      <c r="AX139" s="1454"/>
      <c r="AY139" s="1454"/>
      <c r="AZ139" s="1454"/>
      <c r="BA139" s="1363"/>
      <c r="BB139" s="1454"/>
      <c r="BC139" s="1454"/>
      <c r="BD139" s="1454"/>
      <c r="BE139" s="1454"/>
      <c r="BF139" s="1454"/>
      <c r="BG139" s="1454"/>
      <c r="BH139" s="1454"/>
      <c r="BI139" s="1454"/>
      <c r="BJ139" s="1454"/>
      <c r="BK139" s="1454"/>
      <c r="BL139" s="1454"/>
      <c r="BM139" s="1454"/>
      <c r="BN139" s="1454"/>
    </row>
    <row r="140" spans="1:66" ht="71.25" customHeight="1">
      <c r="A140" s="1377"/>
      <c r="B140" s="1375"/>
      <c r="C140" s="1377"/>
      <c r="D140" s="1379"/>
      <c r="E140" s="657" t="s">
        <v>974</v>
      </c>
      <c r="F140" s="1367"/>
      <c r="G140" s="1367"/>
      <c r="H140" s="1367"/>
      <c r="I140" s="1378"/>
      <c r="J140" s="1379"/>
      <c r="K140" s="666"/>
      <c r="L140" s="658" t="s">
        <v>975</v>
      </c>
      <c r="M140" s="657" t="s">
        <v>976</v>
      </c>
      <c r="N140" s="367"/>
      <c r="O140" s="657">
        <v>1</v>
      </c>
      <c r="P140" s="657"/>
      <c r="Q140" s="367"/>
      <c r="R140" s="1460"/>
      <c r="S140" s="1460"/>
      <c r="T140" s="1460"/>
      <c r="U140" s="1460"/>
      <c r="V140" s="1460"/>
      <c r="W140" s="374" t="s">
        <v>854</v>
      </c>
      <c r="X140" s="444" t="s">
        <v>1524</v>
      </c>
      <c r="Y140" s="460"/>
      <c r="Z140" s="460"/>
      <c r="AA140" s="460"/>
      <c r="AB140" s="460"/>
      <c r="AC140" s="460"/>
      <c r="AD140" s="460"/>
      <c r="AE140" s="460"/>
      <c r="AF140" s="460"/>
      <c r="AG140" s="460"/>
      <c r="AH140" s="460"/>
      <c r="AI140" s="460"/>
      <c r="AJ140" s="460">
        <v>20000000</v>
      </c>
      <c r="AK140" s="460"/>
      <c r="AL140" s="460">
        <v>30000000</v>
      </c>
      <c r="AM140" s="460"/>
      <c r="AN140" s="460"/>
      <c r="AO140" s="460"/>
      <c r="AP140" s="460"/>
      <c r="AQ140" s="460"/>
      <c r="AR140" s="460"/>
      <c r="AS140" s="460"/>
      <c r="AT140" s="460"/>
      <c r="AU140" s="460"/>
      <c r="AV140" s="460"/>
      <c r="AW140" s="460"/>
      <c r="AX140" s="460"/>
      <c r="AY140" s="460"/>
      <c r="AZ140" s="460"/>
      <c r="BA140" s="460"/>
      <c r="BB140" s="460"/>
      <c r="BC140" s="460"/>
      <c r="BD140" s="460"/>
      <c r="BE140" s="460"/>
      <c r="BF140" s="460"/>
      <c r="BG140" s="460"/>
      <c r="BH140" s="460"/>
      <c r="BI140" s="460"/>
      <c r="BJ140" s="460"/>
      <c r="BK140" s="460"/>
      <c r="BL140" s="460"/>
      <c r="BM140" s="460"/>
      <c r="BN140" s="460">
        <f>SUM(Y140:BM140)</f>
        <v>50000000</v>
      </c>
    </row>
    <row r="141" spans="1:68" ht="30.75" customHeight="1">
      <c r="A141" s="1377"/>
      <c r="B141" s="1375"/>
      <c r="C141" s="1377"/>
      <c r="D141" s="1379"/>
      <c r="E141" s="657"/>
      <c r="F141" s="657"/>
      <c r="G141" s="657"/>
      <c r="H141" s="657"/>
      <c r="I141" s="652"/>
      <c r="J141" s="1495" t="s">
        <v>1470</v>
      </c>
      <c r="K141" s="1496"/>
      <c r="L141" s="1496"/>
      <c r="M141" s="1496"/>
      <c r="N141" s="1496"/>
      <c r="O141" s="1496"/>
      <c r="P141" s="1496"/>
      <c r="Q141" s="1496"/>
      <c r="R141" s="1496"/>
      <c r="S141" s="1496"/>
      <c r="T141" s="1496"/>
      <c r="U141" s="1496"/>
      <c r="V141" s="1496"/>
      <c r="W141" s="1496"/>
      <c r="X141" s="1497"/>
      <c r="Y141" s="462">
        <f>SUM(Y129:Y140)</f>
        <v>0</v>
      </c>
      <c r="Z141" s="462">
        <f aca="true" t="shared" si="15" ref="Z141:BL141">SUM(Z129:Z140)</f>
        <v>0</v>
      </c>
      <c r="AA141" s="462">
        <f t="shared" si="15"/>
        <v>0</v>
      </c>
      <c r="AB141" s="462">
        <f t="shared" si="15"/>
        <v>0</v>
      </c>
      <c r="AC141" s="462">
        <f t="shared" si="15"/>
        <v>0</v>
      </c>
      <c r="AD141" s="462">
        <f t="shared" si="15"/>
        <v>0</v>
      </c>
      <c r="AE141" s="462">
        <f t="shared" si="15"/>
        <v>0</v>
      </c>
      <c r="AF141" s="462">
        <f t="shared" si="15"/>
        <v>0</v>
      </c>
      <c r="AG141" s="462">
        <f t="shared" si="15"/>
        <v>0</v>
      </c>
      <c r="AH141" s="462">
        <f t="shared" si="15"/>
        <v>0</v>
      </c>
      <c r="AI141" s="462">
        <f t="shared" si="15"/>
        <v>0</v>
      </c>
      <c r="AJ141" s="462">
        <f t="shared" si="15"/>
        <v>100000000</v>
      </c>
      <c r="AK141" s="462">
        <f t="shared" si="15"/>
        <v>0</v>
      </c>
      <c r="AL141" s="462">
        <f t="shared" si="15"/>
        <v>200000000</v>
      </c>
      <c r="AM141" s="462">
        <f t="shared" si="15"/>
        <v>0</v>
      </c>
      <c r="AN141" s="462">
        <f t="shared" si="15"/>
        <v>0</v>
      </c>
      <c r="AO141" s="462">
        <f t="shared" si="15"/>
        <v>0</v>
      </c>
      <c r="AP141" s="462">
        <f t="shared" si="15"/>
        <v>0</v>
      </c>
      <c r="AQ141" s="462">
        <f t="shared" si="15"/>
        <v>0</v>
      </c>
      <c r="AR141" s="462">
        <f t="shared" si="15"/>
        <v>0</v>
      </c>
      <c r="AS141" s="462">
        <f t="shared" si="15"/>
        <v>0</v>
      </c>
      <c r="AT141" s="462">
        <f t="shared" si="15"/>
        <v>0</v>
      </c>
      <c r="AU141" s="462">
        <f t="shared" si="15"/>
        <v>0</v>
      </c>
      <c r="AV141" s="462">
        <f t="shared" si="15"/>
        <v>0</v>
      </c>
      <c r="AW141" s="462">
        <f t="shared" si="15"/>
        <v>0</v>
      </c>
      <c r="AX141" s="462">
        <f t="shared" si="15"/>
        <v>0</v>
      </c>
      <c r="AY141" s="462">
        <f t="shared" si="15"/>
        <v>0</v>
      </c>
      <c r="AZ141" s="462">
        <f t="shared" si="15"/>
        <v>0</v>
      </c>
      <c r="BA141" s="462">
        <f t="shared" si="15"/>
        <v>0</v>
      </c>
      <c r="BB141" s="462">
        <f t="shared" si="15"/>
        <v>0</v>
      </c>
      <c r="BC141" s="462">
        <f t="shared" si="15"/>
        <v>0</v>
      </c>
      <c r="BD141" s="462">
        <f t="shared" si="15"/>
        <v>0</v>
      </c>
      <c r="BE141" s="462">
        <f t="shared" si="15"/>
        <v>0</v>
      </c>
      <c r="BF141" s="462">
        <f t="shared" si="15"/>
        <v>0</v>
      </c>
      <c r="BG141" s="462">
        <f t="shared" si="15"/>
        <v>0</v>
      </c>
      <c r="BH141" s="462">
        <f t="shared" si="15"/>
        <v>0</v>
      </c>
      <c r="BI141" s="462">
        <f t="shared" si="15"/>
        <v>0</v>
      </c>
      <c r="BJ141" s="462">
        <f t="shared" si="15"/>
        <v>0</v>
      </c>
      <c r="BK141" s="462">
        <f t="shared" si="15"/>
        <v>0</v>
      </c>
      <c r="BL141" s="462">
        <f t="shared" si="15"/>
        <v>0</v>
      </c>
      <c r="BM141" s="462">
        <f>SUM(BM129:BM140)</f>
        <v>0</v>
      </c>
      <c r="BN141" s="462">
        <f>SUM(BN129:BN140)</f>
        <v>300000000</v>
      </c>
      <c r="BO141" s="412" t="s">
        <v>1616</v>
      </c>
      <c r="BP141" s="412">
        <v>200000000</v>
      </c>
    </row>
    <row r="142" spans="1:66" ht="56.25" customHeight="1">
      <c r="A142" s="1377"/>
      <c r="B142" s="1375"/>
      <c r="C142" s="1377"/>
      <c r="D142" s="1379"/>
      <c r="E142" s="1367" t="s">
        <v>977</v>
      </c>
      <c r="F142" s="1367" t="s">
        <v>978</v>
      </c>
      <c r="G142" s="1452">
        <v>0</v>
      </c>
      <c r="H142" s="1452">
        <v>0.03</v>
      </c>
      <c r="I142" s="1376">
        <v>1</v>
      </c>
      <c r="J142" s="1375" t="s">
        <v>979</v>
      </c>
      <c r="K142" s="666"/>
      <c r="L142" s="658" t="s">
        <v>980</v>
      </c>
      <c r="M142" s="657" t="s">
        <v>981</v>
      </c>
      <c r="N142" s="657">
        <v>1</v>
      </c>
      <c r="O142" s="657">
        <v>1</v>
      </c>
      <c r="P142" s="657">
        <v>1</v>
      </c>
      <c r="Q142" s="657">
        <v>1</v>
      </c>
      <c r="R142" s="1460">
        <v>50000</v>
      </c>
      <c r="S142" s="1460">
        <v>70000</v>
      </c>
      <c r="T142" s="1460">
        <v>80000</v>
      </c>
      <c r="U142" s="1460">
        <v>50000</v>
      </c>
      <c r="V142" s="1460">
        <v>250000</v>
      </c>
      <c r="W142" s="374" t="s">
        <v>647</v>
      </c>
      <c r="X142" s="1514" t="s">
        <v>1525</v>
      </c>
      <c r="Y142" s="1475"/>
      <c r="Z142" s="1475"/>
      <c r="AA142" s="1475"/>
      <c r="AB142" s="1475"/>
      <c r="AC142" s="1475"/>
      <c r="AD142" s="1475"/>
      <c r="AE142" s="1475"/>
      <c r="AF142" s="1475"/>
      <c r="AG142" s="1475"/>
      <c r="AH142" s="1475"/>
      <c r="AI142" s="1475"/>
      <c r="AJ142" s="1475"/>
      <c r="AK142" s="1445"/>
      <c r="AL142" s="1475">
        <f>50000000-10000000</f>
        <v>40000000</v>
      </c>
      <c r="AM142" s="1475"/>
      <c r="AN142" s="1475"/>
      <c r="AO142" s="1445"/>
      <c r="AP142" s="1475"/>
      <c r="AQ142" s="1475"/>
      <c r="AR142" s="1475"/>
      <c r="AS142" s="1475"/>
      <c r="AT142" s="1475"/>
      <c r="AU142" s="1475"/>
      <c r="AV142" s="1475"/>
      <c r="AW142" s="1475"/>
      <c r="AX142" s="1475"/>
      <c r="AY142" s="1475"/>
      <c r="AZ142" s="1475"/>
      <c r="BA142" s="1445"/>
      <c r="BB142" s="1475"/>
      <c r="BC142" s="1475"/>
      <c r="BD142" s="1475"/>
      <c r="BE142" s="1475"/>
      <c r="BF142" s="1475"/>
      <c r="BG142" s="1475"/>
      <c r="BH142" s="1475"/>
      <c r="BI142" s="1475"/>
      <c r="BJ142" s="1475"/>
      <c r="BK142" s="1475"/>
      <c r="BL142" s="1475"/>
      <c r="BM142" s="1475"/>
      <c r="BN142" s="1475">
        <f>SUM(Y142:BM143)</f>
        <v>40000000</v>
      </c>
    </row>
    <row r="143" spans="1:66" ht="64.5" customHeight="1">
      <c r="A143" s="1377"/>
      <c r="B143" s="1375"/>
      <c r="C143" s="1378"/>
      <c r="D143" s="1379"/>
      <c r="E143" s="1367"/>
      <c r="F143" s="1367"/>
      <c r="G143" s="1367"/>
      <c r="H143" s="1367"/>
      <c r="I143" s="1378"/>
      <c r="J143" s="1375"/>
      <c r="K143" s="666"/>
      <c r="L143" s="658" t="s">
        <v>982</v>
      </c>
      <c r="M143" s="657" t="s">
        <v>983</v>
      </c>
      <c r="N143" s="657">
        <v>1</v>
      </c>
      <c r="O143" s="657">
        <v>1</v>
      </c>
      <c r="P143" s="657">
        <v>1</v>
      </c>
      <c r="Q143" s="657">
        <v>1</v>
      </c>
      <c r="R143" s="1460"/>
      <c r="S143" s="1460"/>
      <c r="T143" s="1460"/>
      <c r="U143" s="1460"/>
      <c r="V143" s="1460"/>
      <c r="W143" s="374" t="s">
        <v>854</v>
      </c>
      <c r="X143" s="1514"/>
      <c r="Y143" s="1475"/>
      <c r="Z143" s="1475"/>
      <c r="AA143" s="1475"/>
      <c r="AB143" s="1475"/>
      <c r="AC143" s="1475"/>
      <c r="AD143" s="1475"/>
      <c r="AE143" s="1475"/>
      <c r="AF143" s="1475"/>
      <c r="AG143" s="1475"/>
      <c r="AH143" s="1475"/>
      <c r="AI143" s="1475"/>
      <c r="AJ143" s="1475"/>
      <c r="AK143" s="1363"/>
      <c r="AL143" s="1475"/>
      <c r="AM143" s="1475"/>
      <c r="AN143" s="1475"/>
      <c r="AO143" s="1363"/>
      <c r="AP143" s="1475"/>
      <c r="AQ143" s="1475"/>
      <c r="AR143" s="1475"/>
      <c r="AS143" s="1475"/>
      <c r="AT143" s="1475"/>
      <c r="AU143" s="1475"/>
      <c r="AV143" s="1475"/>
      <c r="AW143" s="1475"/>
      <c r="AX143" s="1475"/>
      <c r="AY143" s="1475"/>
      <c r="AZ143" s="1475"/>
      <c r="BA143" s="1363"/>
      <c r="BB143" s="1475"/>
      <c r="BC143" s="1475"/>
      <c r="BD143" s="1475"/>
      <c r="BE143" s="1475"/>
      <c r="BF143" s="1475"/>
      <c r="BG143" s="1475"/>
      <c r="BH143" s="1475"/>
      <c r="BI143" s="1475"/>
      <c r="BJ143" s="1475"/>
      <c r="BK143" s="1475"/>
      <c r="BL143" s="1475"/>
      <c r="BM143" s="1475"/>
      <c r="BN143" s="1475"/>
    </row>
    <row r="144" spans="1:68" ht="33" customHeight="1">
      <c r="A144" s="1377"/>
      <c r="B144" s="1375"/>
      <c r="C144" s="652"/>
      <c r="D144" s="668"/>
      <c r="E144" s="422"/>
      <c r="F144" s="422"/>
      <c r="G144" s="422"/>
      <c r="H144" s="668"/>
      <c r="I144" s="420"/>
      <c r="J144" s="1456" t="s">
        <v>1471</v>
      </c>
      <c r="K144" s="1457"/>
      <c r="L144" s="1457"/>
      <c r="M144" s="1457"/>
      <c r="N144" s="1457"/>
      <c r="O144" s="1457"/>
      <c r="P144" s="1457"/>
      <c r="Q144" s="1457"/>
      <c r="R144" s="1457"/>
      <c r="S144" s="1457"/>
      <c r="T144" s="1457"/>
      <c r="U144" s="1457"/>
      <c r="V144" s="1457"/>
      <c r="W144" s="1457"/>
      <c r="X144" s="1458"/>
      <c r="Y144" s="462">
        <f aca="true" t="shared" si="16" ref="Y144:BM144">SUM(Y142)</f>
        <v>0</v>
      </c>
      <c r="Z144" s="462">
        <f t="shared" si="16"/>
        <v>0</v>
      </c>
      <c r="AA144" s="462">
        <f t="shared" si="16"/>
        <v>0</v>
      </c>
      <c r="AB144" s="462">
        <f t="shared" si="16"/>
        <v>0</v>
      </c>
      <c r="AC144" s="462">
        <f t="shared" si="16"/>
        <v>0</v>
      </c>
      <c r="AD144" s="462">
        <f t="shared" si="16"/>
        <v>0</v>
      </c>
      <c r="AE144" s="462">
        <f t="shared" si="16"/>
        <v>0</v>
      </c>
      <c r="AF144" s="462">
        <f t="shared" si="16"/>
        <v>0</v>
      </c>
      <c r="AG144" s="462">
        <f t="shared" si="16"/>
        <v>0</v>
      </c>
      <c r="AH144" s="462">
        <f t="shared" si="16"/>
        <v>0</v>
      </c>
      <c r="AI144" s="462">
        <f t="shared" si="16"/>
        <v>0</v>
      </c>
      <c r="AJ144" s="462">
        <f t="shared" si="16"/>
        <v>0</v>
      </c>
      <c r="AK144" s="462">
        <f t="shared" si="16"/>
        <v>0</v>
      </c>
      <c r="AL144" s="462">
        <f t="shared" si="16"/>
        <v>40000000</v>
      </c>
      <c r="AM144" s="462">
        <f t="shared" si="16"/>
        <v>0</v>
      </c>
      <c r="AN144" s="462">
        <f t="shared" si="16"/>
        <v>0</v>
      </c>
      <c r="AO144" s="462">
        <f t="shared" si="16"/>
        <v>0</v>
      </c>
      <c r="AP144" s="462">
        <f t="shared" si="16"/>
        <v>0</v>
      </c>
      <c r="AQ144" s="462">
        <f t="shared" si="16"/>
        <v>0</v>
      </c>
      <c r="AR144" s="462">
        <f t="shared" si="16"/>
        <v>0</v>
      </c>
      <c r="AS144" s="462">
        <f t="shared" si="16"/>
        <v>0</v>
      </c>
      <c r="AT144" s="462">
        <f t="shared" si="16"/>
        <v>0</v>
      </c>
      <c r="AU144" s="462">
        <f t="shared" si="16"/>
        <v>0</v>
      </c>
      <c r="AV144" s="462">
        <f t="shared" si="16"/>
        <v>0</v>
      </c>
      <c r="AW144" s="462">
        <f t="shared" si="16"/>
        <v>0</v>
      </c>
      <c r="AX144" s="462">
        <f t="shared" si="16"/>
        <v>0</v>
      </c>
      <c r="AY144" s="462">
        <f t="shared" si="16"/>
        <v>0</v>
      </c>
      <c r="AZ144" s="462">
        <f t="shared" si="16"/>
        <v>0</v>
      </c>
      <c r="BA144" s="462">
        <f t="shared" si="16"/>
        <v>0</v>
      </c>
      <c r="BB144" s="462">
        <f t="shared" si="16"/>
        <v>0</v>
      </c>
      <c r="BC144" s="462">
        <f t="shared" si="16"/>
        <v>0</v>
      </c>
      <c r="BD144" s="462">
        <f t="shared" si="16"/>
        <v>0</v>
      </c>
      <c r="BE144" s="462">
        <f t="shared" si="16"/>
        <v>0</v>
      </c>
      <c r="BF144" s="462">
        <f t="shared" si="16"/>
        <v>0</v>
      </c>
      <c r="BG144" s="462">
        <f t="shared" si="16"/>
        <v>0</v>
      </c>
      <c r="BH144" s="462">
        <f t="shared" si="16"/>
        <v>0</v>
      </c>
      <c r="BI144" s="462">
        <f t="shared" si="16"/>
        <v>0</v>
      </c>
      <c r="BJ144" s="462">
        <f t="shared" si="16"/>
        <v>0</v>
      </c>
      <c r="BK144" s="462">
        <f t="shared" si="16"/>
        <v>0</v>
      </c>
      <c r="BL144" s="462">
        <f t="shared" si="16"/>
        <v>0</v>
      </c>
      <c r="BM144" s="462">
        <f t="shared" si="16"/>
        <v>0</v>
      </c>
      <c r="BN144" s="462">
        <f>SUM(BN142)</f>
        <v>40000000</v>
      </c>
      <c r="BO144" s="412" t="s">
        <v>1616</v>
      </c>
      <c r="BP144" s="412">
        <v>40000000</v>
      </c>
    </row>
    <row r="145" spans="1:66" ht="237.75" customHeight="1">
      <c r="A145" s="1377"/>
      <c r="B145" s="1375"/>
      <c r="C145" s="1376">
        <v>20</v>
      </c>
      <c r="D145" s="1379" t="s">
        <v>984</v>
      </c>
      <c r="E145" s="1362" t="s">
        <v>985</v>
      </c>
      <c r="F145" s="1362" t="s">
        <v>986</v>
      </c>
      <c r="G145" s="1362" t="s">
        <v>987</v>
      </c>
      <c r="H145" s="365"/>
      <c r="I145" s="1376">
        <v>4</v>
      </c>
      <c r="J145" s="1385"/>
      <c r="K145" s="666"/>
      <c r="L145" s="401" t="s">
        <v>988</v>
      </c>
      <c r="M145" s="1398" t="s">
        <v>989</v>
      </c>
      <c r="N145" s="647">
        <v>1</v>
      </c>
      <c r="O145" s="647">
        <v>1</v>
      </c>
      <c r="P145" s="647">
        <v>1</v>
      </c>
      <c r="Q145" s="647">
        <v>1</v>
      </c>
      <c r="R145" s="1547">
        <v>12169233</v>
      </c>
      <c r="S145" s="1547">
        <v>2600000</v>
      </c>
      <c r="T145" s="1547">
        <v>1600000</v>
      </c>
      <c r="U145" s="1547">
        <v>700000</v>
      </c>
      <c r="V145" s="1547">
        <v>17069233</v>
      </c>
      <c r="W145" s="393" t="s">
        <v>990</v>
      </c>
      <c r="X145" s="1449" t="s">
        <v>1551</v>
      </c>
      <c r="Y145" s="1436"/>
      <c r="Z145" s="1436"/>
      <c r="AA145" s="1436"/>
      <c r="AB145" s="1436"/>
      <c r="AC145" s="1436"/>
      <c r="AD145" s="1436"/>
      <c r="AE145" s="1436"/>
      <c r="AF145" s="1436"/>
      <c r="AG145" s="1436"/>
      <c r="AH145" s="1436"/>
      <c r="AI145" s="1436"/>
      <c r="AJ145" s="1436">
        <v>50000000</v>
      </c>
      <c r="AK145" s="1445"/>
      <c r="AL145" s="1436">
        <f>500000000-150000000</f>
        <v>350000000</v>
      </c>
      <c r="AM145" s="1436">
        <v>1846615067</v>
      </c>
      <c r="AN145" s="1436">
        <v>70856481</v>
      </c>
      <c r="AO145" s="1445"/>
      <c r="AP145" s="1436"/>
      <c r="AQ145" s="1436"/>
      <c r="AR145" s="1436"/>
      <c r="AS145" s="1436"/>
      <c r="AT145" s="1436"/>
      <c r="AU145" s="1436"/>
      <c r="AV145" s="1436"/>
      <c r="AW145" s="1436"/>
      <c r="AX145" s="1436"/>
      <c r="AY145" s="1436"/>
      <c r="AZ145" s="1436"/>
      <c r="BA145" s="1445"/>
      <c r="BB145" s="1436"/>
      <c r="BC145" s="1436"/>
      <c r="BD145" s="1436"/>
      <c r="BE145" s="1436"/>
      <c r="BF145" s="1436"/>
      <c r="BG145" s="1436"/>
      <c r="BH145" s="1436"/>
      <c r="BI145" s="1436"/>
      <c r="BJ145" s="1436"/>
      <c r="BK145" s="1436"/>
      <c r="BL145" s="1436"/>
      <c r="BM145" s="1436"/>
      <c r="BN145" s="1436">
        <f>SUM(Y145:BM156)</f>
        <v>2317471548</v>
      </c>
    </row>
    <row r="146" spans="1:66" ht="249" customHeight="1">
      <c r="A146" s="1377"/>
      <c r="B146" s="1375"/>
      <c r="C146" s="1377"/>
      <c r="D146" s="1379"/>
      <c r="E146" s="1395"/>
      <c r="F146" s="1395"/>
      <c r="G146" s="1395"/>
      <c r="H146" s="365"/>
      <c r="I146" s="1377"/>
      <c r="J146" s="1399"/>
      <c r="K146" s="666"/>
      <c r="L146" s="401" t="s">
        <v>991</v>
      </c>
      <c r="M146" s="1398"/>
      <c r="N146" s="647">
        <v>1</v>
      </c>
      <c r="O146" s="647">
        <v>1</v>
      </c>
      <c r="P146" s="647">
        <v>1</v>
      </c>
      <c r="Q146" s="647">
        <v>1</v>
      </c>
      <c r="R146" s="1547"/>
      <c r="S146" s="1547"/>
      <c r="T146" s="1547"/>
      <c r="U146" s="1547"/>
      <c r="V146" s="1547"/>
      <c r="W146" s="393" t="s">
        <v>990</v>
      </c>
      <c r="X146" s="1450"/>
      <c r="Y146" s="1437"/>
      <c r="Z146" s="1437"/>
      <c r="AA146" s="1437"/>
      <c r="AB146" s="1437"/>
      <c r="AC146" s="1437"/>
      <c r="AD146" s="1437"/>
      <c r="AE146" s="1437"/>
      <c r="AF146" s="1437"/>
      <c r="AG146" s="1437"/>
      <c r="AH146" s="1437"/>
      <c r="AI146" s="1437"/>
      <c r="AJ146" s="1437"/>
      <c r="AK146" s="1446"/>
      <c r="AL146" s="1437"/>
      <c r="AM146" s="1437"/>
      <c r="AN146" s="1437"/>
      <c r="AO146" s="1446"/>
      <c r="AP146" s="1437"/>
      <c r="AQ146" s="1437"/>
      <c r="AR146" s="1437"/>
      <c r="AS146" s="1437"/>
      <c r="AT146" s="1437"/>
      <c r="AU146" s="1437"/>
      <c r="AV146" s="1437"/>
      <c r="AW146" s="1437"/>
      <c r="AX146" s="1437"/>
      <c r="AY146" s="1437"/>
      <c r="AZ146" s="1437"/>
      <c r="BA146" s="1446"/>
      <c r="BB146" s="1437"/>
      <c r="BC146" s="1437"/>
      <c r="BD146" s="1437"/>
      <c r="BE146" s="1437"/>
      <c r="BF146" s="1437"/>
      <c r="BG146" s="1437"/>
      <c r="BH146" s="1437"/>
      <c r="BI146" s="1437"/>
      <c r="BJ146" s="1437"/>
      <c r="BK146" s="1437"/>
      <c r="BL146" s="1437"/>
      <c r="BM146" s="1437"/>
      <c r="BN146" s="1437"/>
    </row>
    <row r="147" spans="1:66" ht="163.5" customHeight="1">
      <c r="A147" s="1377"/>
      <c r="B147" s="1375"/>
      <c r="C147" s="1377"/>
      <c r="D147" s="1379"/>
      <c r="E147" s="1395"/>
      <c r="F147" s="1395"/>
      <c r="G147" s="1395"/>
      <c r="H147" s="365"/>
      <c r="I147" s="1377"/>
      <c r="J147" s="1399"/>
      <c r="K147" s="666"/>
      <c r="L147" s="401" t="s">
        <v>992</v>
      </c>
      <c r="M147" s="1398"/>
      <c r="N147" s="647">
        <v>1</v>
      </c>
      <c r="O147" s="647">
        <v>1</v>
      </c>
      <c r="P147" s="647">
        <v>1</v>
      </c>
      <c r="Q147" s="647">
        <v>1</v>
      </c>
      <c r="R147" s="1547"/>
      <c r="S147" s="1547"/>
      <c r="T147" s="1547"/>
      <c r="U147" s="1547"/>
      <c r="V147" s="1547"/>
      <c r="W147" s="393" t="s">
        <v>990</v>
      </c>
      <c r="X147" s="1450"/>
      <c r="Y147" s="1437"/>
      <c r="Z147" s="1437"/>
      <c r="AA147" s="1437"/>
      <c r="AB147" s="1437"/>
      <c r="AC147" s="1437"/>
      <c r="AD147" s="1437"/>
      <c r="AE147" s="1437"/>
      <c r="AF147" s="1437"/>
      <c r="AG147" s="1437"/>
      <c r="AH147" s="1437"/>
      <c r="AI147" s="1437"/>
      <c r="AJ147" s="1437"/>
      <c r="AK147" s="1446"/>
      <c r="AL147" s="1437"/>
      <c r="AM147" s="1437"/>
      <c r="AN147" s="1437"/>
      <c r="AO147" s="1446"/>
      <c r="AP147" s="1437"/>
      <c r="AQ147" s="1437"/>
      <c r="AR147" s="1437"/>
      <c r="AS147" s="1437"/>
      <c r="AT147" s="1437"/>
      <c r="AU147" s="1437"/>
      <c r="AV147" s="1437"/>
      <c r="AW147" s="1437"/>
      <c r="AX147" s="1437"/>
      <c r="AY147" s="1437"/>
      <c r="AZ147" s="1437"/>
      <c r="BA147" s="1446"/>
      <c r="BB147" s="1437"/>
      <c r="BC147" s="1437"/>
      <c r="BD147" s="1437"/>
      <c r="BE147" s="1437"/>
      <c r="BF147" s="1437"/>
      <c r="BG147" s="1437"/>
      <c r="BH147" s="1437"/>
      <c r="BI147" s="1437"/>
      <c r="BJ147" s="1437"/>
      <c r="BK147" s="1437"/>
      <c r="BL147" s="1437"/>
      <c r="BM147" s="1437"/>
      <c r="BN147" s="1437"/>
    </row>
    <row r="148" spans="1:66" ht="222.75" customHeight="1">
      <c r="A148" s="1377"/>
      <c r="B148" s="1375"/>
      <c r="C148" s="1377"/>
      <c r="D148" s="1379"/>
      <c r="E148" s="1395"/>
      <c r="F148" s="1395"/>
      <c r="G148" s="1395"/>
      <c r="H148" s="365"/>
      <c r="I148" s="1377"/>
      <c r="J148" s="1399"/>
      <c r="K148" s="666"/>
      <c r="L148" s="401" t="s">
        <v>993</v>
      </c>
      <c r="M148" s="1398"/>
      <c r="N148" s="647">
        <v>1</v>
      </c>
      <c r="O148" s="647">
        <v>1</v>
      </c>
      <c r="P148" s="647">
        <v>1</v>
      </c>
      <c r="Q148" s="647">
        <v>1</v>
      </c>
      <c r="R148" s="1547"/>
      <c r="S148" s="1547"/>
      <c r="T148" s="1547"/>
      <c r="U148" s="1547"/>
      <c r="V148" s="1547"/>
      <c r="W148" s="393" t="s">
        <v>990</v>
      </c>
      <c r="X148" s="1450"/>
      <c r="Y148" s="1437"/>
      <c r="Z148" s="1437"/>
      <c r="AA148" s="1437"/>
      <c r="AB148" s="1437"/>
      <c r="AC148" s="1437"/>
      <c r="AD148" s="1437"/>
      <c r="AE148" s="1437"/>
      <c r="AF148" s="1437"/>
      <c r="AG148" s="1437"/>
      <c r="AH148" s="1437"/>
      <c r="AI148" s="1437"/>
      <c r="AJ148" s="1437"/>
      <c r="AK148" s="1446"/>
      <c r="AL148" s="1437"/>
      <c r="AM148" s="1437"/>
      <c r="AN148" s="1437"/>
      <c r="AO148" s="1446"/>
      <c r="AP148" s="1437"/>
      <c r="AQ148" s="1437"/>
      <c r="AR148" s="1437"/>
      <c r="AS148" s="1437"/>
      <c r="AT148" s="1437"/>
      <c r="AU148" s="1437"/>
      <c r="AV148" s="1437"/>
      <c r="AW148" s="1437"/>
      <c r="AX148" s="1437"/>
      <c r="AY148" s="1437"/>
      <c r="AZ148" s="1437"/>
      <c r="BA148" s="1446"/>
      <c r="BB148" s="1437"/>
      <c r="BC148" s="1437"/>
      <c r="BD148" s="1437"/>
      <c r="BE148" s="1437"/>
      <c r="BF148" s="1437"/>
      <c r="BG148" s="1437"/>
      <c r="BH148" s="1437"/>
      <c r="BI148" s="1437"/>
      <c r="BJ148" s="1437"/>
      <c r="BK148" s="1437"/>
      <c r="BL148" s="1437"/>
      <c r="BM148" s="1437"/>
      <c r="BN148" s="1437"/>
    </row>
    <row r="149" spans="1:66" ht="65.25" customHeight="1">
      <c r="A149" s="1377"/>
      <c r="B149" s="1375"/>
      <c r="C149" s="1377"/>
      <c r="D149" s="1379"/>
      <c r="E149" s="1395"/>
      <c r="F149" s="1395"/>
      <c r="G149" s="1395"/>
      <c r="H149" s="365"/>
      <c r="I149" s="1377"/>
      <c r="J149" s="1399"/>
      <c r="K149" s="666"/>
      <c r="L149" s="400" t="s">
        <v>994</v>
      </c>
      <c r="M149" s="665" t="s">
        <v>995</v>
      </c>
      <c r="N149" s="647">
        <v>1</v>
      </c>
      <c r="O149" s="647"/>
      <c r="P149" s="647"/>
      <c r="Q149" s="647"/>
      <c r="R149" s="1547"/>
      <c r="S149" s="1547"/>
      <c r="T149" s="1547"/>
      <c r="U149" s="1547"/>
      <c r="V149" s="1547"/>
      <c r="W149" s="393" t="s">
        <v>990</v>
      </c>
      <c r="X149" s="1450"/>
      <c r="Y149" s="1437"/>
      <c r="Z149" s="1437"/>
      <c r="AA149" s="1437"/>
      <c r="AB149" s="1437"/>
      <c r="AC149" s="1437"/>
      <c r="AD149" s="1437"/>
      <c r="AE149" s="1437"/>
      <c r="AF149" s="1437"/>
      <c r="AG149" s="1437"/>
      <c r="AH149" s="1437"/>
      <c r="AI149" s="1437"/>
      <c r="AJ149" s="1437"/>
      <c r="AK149" s="1446"/>
      <c r="AL149" s="1437"/>
      <c r="AM149" s="1437"/>
      <c r="AN149" s="1437"/>
      <c r="AO149" s="1446"/>
      <c r="AP149" s="1437"/>
      <c r="AQ149" s="1437"/>
      <c r="AR149" s="1437"/>
      <c r="AS149" s="1437"/>
      <c r="AT149" s="1437"/>
      <c r="AU149" s="1437"/>
      <c r="AV149" s="1437"/>
      <c r="AW149" s="1437"/>
      <c r="AX149" s="1437"/>
      <c r="AY149" s="1437"/>
      <c r="AZ149" s="1437"/>
      <c r="BA149" s="1446"/>
      <c r="BB149" s="1437"/>
      <c r="BC149" s="1437"/>
      <c r="BD149" s="1437"/>
      <c r="BE149" s="1437"/>
      <c r="BF149" s="1437"/>
      <c r="BG149" s="1437"/>
      <c r="BH149" s="1437"/>
      <c r="BI149" s="1437"/>
      <c r="BJ149" s="1437"/>
      <c r="BK149" s="1437"/>
      <c r="BL149" s="1437"/>
      <c r="BM149" s="1437"/>
      <c r="BN149" s="1437"/>
    </row>
    <row r="150" spans="1:66" ht="58.5" customHeight="1">
      <c r="A150" s="1377"/>
      <c r="B150" s="1375"/>
      <c r="C150" s="1377"/>
      <c r="D150" s="1379"/>
      <c r="E150" s="1395"/>
      <c r="F150" s="1395"/>
      <c r="G150" s="1395"/>
      <c r="H150" s="365"/>
      <c r="I150" s="1377"/>
      <c r="J150" s="1399"/>
      <c r="K150" s="666"/>
      <c r="L150" s="400" t="s">
        <v>996</v>
      </c>
      <c r="M150" s="665" t="s">
        <v>997</v>
      </c>
      <c r="N150" s="647">
        <v>1</v>
      </c>
      <c r="O150" s="647"/>
      <c r="P150" s="647"/>
      <c r="Q150" s="647"/>
      <c r="R150" s="1547"/>
      <c r="S150" s="1547"/>
      <c r="T150" s="1547"/>
      <c r="U150" s="1547"/>
      <c r="V150" s="1547"/>
      <c r="W150" s="393" t="s">
        <v>990</v>
      </c>
      <c r="X150" s="1450"/>
      <c r="Y150" s="1437"/>
      <c r="Z150" s="1437"/>
      <c r="AA150" s="1437"/>
      <c r="AB150" s="1437"/>
      <c r="AC150" s="1437"/>
      <c r="AD150" s="1437"/>
      <c r="AE150" s="1437"/>
      <c r="AF150" s="1437"/>
      <c r="AG150" s="1437"/>
      <c r="AH150" s="1437"/>
      <c r="AI150" s="1437"/>
      <c r="AJ150" s="1437"/>
      <c r="AK150" s="1446"/>
      <c r="AL150" s="1437"/>
      <c r="AM150" s="1437"/>
      <c r="AN150" s="1437"/>
      <c r="AO150" s="1446"/>
      <c r="AP150" s="1437"/>
      <c r="AQ150" s="1437"/>
      <c r="AR150" s="1437"/>
      <c r="AS150" s="1437"/>
      <c r="AT150" s="1437"/>
      <c r="AU150" s="1437"/>
      <c r="AV150" s="1437"/>
      <c r="AW150" s="1437"/>
      <c r="AX150" s="1437"/>
      <c r="AY150" s="1437"/>
      <c r="AZ150" s="1437"/>
      <c r="BA150" s="1446"/>
      <c r="BB150" s="1437"/>
      <c r="BC150" s="1437"/>
      <c r="BD150" s="1437"/>
      <c r="BE150" s="1437"/>
      <c r="BF150" s="1437"/>
      <c r="BG150" s="1437"/>
      <c r="BH150" s="1437"/>
      <c r="BI150" s="1437"/>
      <c r="BJ150" s="1437"/>
      <c r="BK150" s="1437"/>
      <c r="BL150" s="1437"/>
      <c r="BM150" s="1437"/>
      <c r="BN150" s="1437"/>
    </row>
    <row r="151" spans="1:66" ht="50.25" customHeight="1">
      <c r="A151" s="1377"/>
      <c r="B151" s="1375"/>
      <c r="C151" s="1377"/>
      <c r="D151" s="1379"/>
      <c r="E151" s="1395"/>
      <c r="F151" s="1395"/>
      <c r="G151" s="1395"/>
      <c r="H151" s="365"/>
      <c r="I151" s="1377"/>
      <c r="J151" s="1399"/>
      <c r="K151" s="666"/>
      <c r="L151" s="400" t="s">
        <v>998</v>
      </c>
      <c r="M151" s="665" t="s">
        <v>999</v>
      </c>
      <c r="N151" s="647">
        <v>1</v>
      </c>
      <c r="O151" s="647">
        <v>1</v>
      </c>
      <c r="P151" s="647">
        <v>1</v>
      </c>
      <c r="Q151" s="647">
        <v>1</v>
      </c>
      <c r="R151" s="1547"/>
      <c r="S151" s="1547"/>
      <c r="T151" s="1547"/>
      <c r="U151" s="1547"/>
      <c r="V151" s="1547"/>
      <c r="W151" s="393" t="s">
        <v>990</v>
      </c>
      <c r="X151" s="1450"/>
      <c r="Y151" s="1437"/>
      <c r="Z151" s="1437"/>
      <c r="AA151" s="1437"/>
      <c r="AB151" s="1437"/>
      <c r="AC151" s="1437"/>
      <c r="AD151" s="1437"/>
      <c r="AE151" s="1437"/>
      <c r="AF151" s="1437"/>
      <c r="AG151" s="1437"/>
      <c r="AH151" s="1437"/>
      <c r="AI151" s="1437"/>
      <c r="AJ151" s="1437"/>
      <c r="AK151" s="1446"/>
      <c r="AL151" s="1437"/>
      <c r="AM151" s="1437"/>
      <c r="AN151" s="1437"/>
      <c r="AO151" s="1446"/>
      <c r="AP151" s="1437"/>
      <c r="AQ151" s="1437"/>
      <c r="AR151" s="1437"/>
      <c r="AS151" s="1437"/>
      <c r="AT151" s="1437"/>
      <c r="AU151" s="1437"/>
      <c r="AV151" s="1437"/>
      <c r="AW151" s="1437"/>
      <c r="AX151" s="1437"/>
      <c r="AY151" s="1437"/>
      <c r="AZ151" s="1437"/>
      <c r="BA151" s="1446"/>
      <c r="BB151" s="1437"/>
      <c r="BC151" s="1437"/>
      <c r="BD151" s="1437"/>
      <c r="BE151" s="1437"/>
      <c r="BF151" s="1437"/>
      <c r="BG151" s="1437"/>
      <c r="BH151" s="1437"/>
      <c r="BI151" s="1437"/>
      <c r="BJ151" s="1437"/>
      <c r="BK151" s="1437"/>
      <c r="BL151" s="1437"/>
      <c r="BM151" s="1437"/>
      <c r="BN151" s="1437"/>
    </row>
    <row r="152" spans="1:66" ht="75.75" customHeight="1">
      <c r="A152" s="1377"/>
      <c r="B152" s="1375"/>
      <c r="C152" s="1377"/>
      <c r="D152" s="1379"/>
      <c r="E152" s="1395"/>
      <c r="F152" s="1395"/>
      <c r="G152" s="1395"/>
      <c r="H152" s="365"/>
      <c r="I152" s="1377"/>
      <c r="J152" s="1399"/>
      <c r="K152" s="666"/>
      <c r="L152" s="400" t="s">
        <v>1000</v>
      </c>
      <c r="M152" s="377" t="s">
        <v>1001</v>
      </c>
      <c r="N152" s="647">
        <v>1</v>
      </c>
      <c r="O152" s="647">
        <v>1</v>
      </c>
      <c r="P152" s="647">
        <v>1</v>
      </c>
      <c r="Q152" s="647">
        <v>1</v>
      </c>
      <c r="R152" s="1547"/>
      <c r="S152" s="1547"/>
      <c r="T152" s="1547"/>
      <c r="U152" s="1547"/>
      <c r="V152" s="1547"/>
      <c r="W152" s="393" t="s">
        <v>990</v>
      </c>
      <c r="X152" s="1450"/>
      <c r="Y152" s="1437"/>
      <c r="Z152" s="1437"/>
      <c r="AA152" s="1437"/>
      <c r="AB152" s="1437"/>
      <c r="AC152" s="1437"/>
      <c r="AD152" s="1437"/>
      <c r="AE152" s="1437"/>
      <c r="AF152" s="1437"/>
      <c r="AG152" s="1437"/>
      <c r="AH152" s="1437"/>
      <c r="AI152" s="1437"/>
      <c r="AJ152" s="1437"/>
      <c r="AK152" s="1446"/>
      <c r="AL152" s="1437"/>
      <c r="AM152" s="1437"/>
      <c r="AN152" s="1437"/>
      <c r="AO152" s="1446"/>
      <c r="AP152" s="1437"/>
      <c r="AQ152" s="1437"/>
      <c r="AR152" s="1437"/>
      <c r="AS152" s="1437"/>
      <c r="AT152" s="1437"/>
      <c r="AU152" s="1437"/>
      <c r="AV152" s="1437"/>
      <c r="AW152" s="1437"/>
      <c r="AX152" s="1437"/>
      <c r="AY152" s="1437"/>
      <c r="AZ152" s="1437"/>
      <c r="BA152" s="1446"/>
      <c r="BB152" s="1437"/>
      <c r="BC152" s="1437"/>
      <c r="BD152" s="1437"/>
      <c r="BE152" s="1437"/>
      <c r="BF152" s="1437"/>
      <c r="BG152" s="1437"/>
      <c r="BH152" s="1437"/>
      <c r="BI152" s="1437"/>
      <c r="BJ152" s="1437"/>
      <c r="BK152" s="1437"/>
      <c r="BL152" s="1437"/>
      <c r="BM152" s="1437"/>
      <c r="BN152" s="1437"/>
    </row>
    <row r="153" spans="1:66" ht="63" customHeight="1">
      <c r="A153" s="1377"/>
      <c r="B153" s="1375"/>
      <c r="C153" s="1377"/>
      <c r="D153" s="1379"/>
      <c r="E153" s="1366"/>
      <c r="F153" s="1366"/>
      <c r="G153" s="1366"/>
      <c r="H153" s="365"/>
      <c r="I153" s="1377"/>
      <c r="J153" s="1399"/>
      <c r="K153" s="666"/>
      <c r="L153" s="400" t="s">
        <v>1002</v>
      </c>
      <c r="M153" s="377" t="s">
        <v>1003</v>
      </c>
      <c r="N153" s="647">
        <v>1</v>
      </c>
      <c r="O153" s="647">
        <v>1</v>
      </c>
      <c r="P153" s="647">
        <v>1</v>
      </c>
      <c r="Q153" s="647">
        <v>1</v>
      </c>
      <c r="R153" s="1547"/>
      <c r="S153" s="1547"/>
      <c r="T153" s="1547"/>
      <c r="U153" s="1547"/>
      <c r="V153" s="1547"/>
      <c r="W153" s="392" t="s">
        <v>854</v>
      </c>
      <c r="X153" s="1450"/>
      <c r="Y153" s="1437"/>
      <c r="Z153" s="1437"/>
      <c r="AA153" s="1437"/>
      <c r="AB153" s="1437"/>
      <c r="AC153" s="1437"/>
      <c r="AD153" s="1437"/>
      <c r="AE153" s="1437"/>
      <c r="AF153" s="1437"/>
      <c r="AG153" s="1437"/>
      <c r="AH153" s="1437"/>
      <c r="AI153" s="1437"/>
      <c r="AJ153" s="1437"/>
      <c r="AK153" s="1446"/>
      <c r="AL153" s="1437"/>
      <c r="AM153" s="1437"/>
      <c r="AN153" s="1437"/>
      <c r="AO153" s="1446"/>
      <c r="AP153" s="1437"/>
      <c r="AQ153" s="1437"/>
      <c r="AR153" s="1437"/>
      <c r="AS153" s="1437"/>
      <c r="AT153" s="1437"/>
      <c r="AU153" s="1437"/>
      <c r="AV153" s="1437"/>
      <c r="AW153" s="1437"/>
      <c r="AX153" s="1437"/>
      <c r="AY153" s="1437"/>
      <c r="AZ153" s="1437"/>
      <c r="BA153" s="1446"/>
      <c r="BB153" s="1437"/>
      <c r="BC153" s="1437"/>
      <c r="BD153" s="1437"/>
      <c r="BE153" s="1437"/>
      <c r="BF153" s="1437"/>
      <c r="BG153" s="1437"/>
      <c r="BH153" s="1437"/>
      <c r="BI153" s="1437"/>
      <c r="BJ153" s="1437"/>
      <c r="BK153" s="1437"/>
      <c r="BL153" s="1437"/>
      <c r="BM153" s="1437"/>
      <c r="BN153" s="1437"/>
    </row>
    <row r="154" spans="1:66" ht="69" customHeight="1">
      <c r="A154" s="1377"/>
      <c r="B154" s="1375"/>
      <c r="C154" s="1377"/>
      <c r="D154" s="1379"/>
      <c r="E154" s="1367" t="s">
        <v>1004</v>
      </c>
      <c r="F154" s="1367" t="s">
        <v>1005</v>
      </c>
      <c r="G154" s="1367" t="s">
        <v>1006</v>
      </c>
      <c r="H154" s="365"/>
      <c r="I154" s="1377"/>
      <c r="J154" s="1399"/>
      <c r="K154" s="666"/>
      <c r="L154" s="400" t="s">
        <v>1007</v>
      </c>
      <c r="M154" s="665" t="s">
        <v>1008</v>
      </c>
      <c r="N154" s="647">
        <v>1</v>
      </c>
      <c r="O154" s="647">
        <v>1</v>
      </c>
      <c r="P154" s="647">
        <v>1</v>
      </c>
      <c r="Q154" s="647">
        <v>1</v>
      </c>
      <c r="R154" s="1547"/>
      <c r="S154" s="1547"/>
      <c r="T154" s="1547"/>
      <c r="U154" s="1547"/>
      <c r="V154" s="1547"/>
      <c r="W154" s="393" t="s">
        <v>990</v>
      </c>
      <c r="X154" s="1450"/>
      <c r="Y154" s="1437"/>
      <c r="Z154" s="1437"/>
      <c r="AA154" s="1437"/>
      <c r="AB154" s="1437"/>
      <c r="AC154" s="1437"/>
      <c r="AD154" s="1437"/>
      <c r="AE154" s="1437"/>
      <c r="AF154" s="1437"/>
      <c r="AG154" s="1437"/>
      <c r="AH154" s="1437"/>
      <c r="AI154" s="1437"/>
      <c r="AJ154" s="1437"/>
      <c r="AK154" s="1446"/>
      <c r="AL154" s="1437"/>
      <c r="AM154" s="1437"/>
      <c r="AN154" s="1437"/>
      <c r="AO154" s="1446"/>
      <c r="AP154" s="1437"/>
      <c r="AQ154" s="1437"/>
      <c r="AR154" s="1437"/>
      <c r="AS154" s="1437"/>
      <c r="AT154" s="1437"/>
      <c r="AU154" s="1437"/>
      <c r="AV154" s="1437"/>
      <c r="AW154" s="1437"/>
      <c r="AX154" s="1437"/>
      <c r="AY154" s="1437"/>
      <c r="AZ154" s="1437"/>
      <c r="BA154" s="1446"/>
      <c r="BB154" s="1437"/>
      <c r="BC154" s="1437"/>
      <c r="BD154" s="1437"/>
      <c r="BE154" s="1437"/>
      <c r="BF154" s="1437"/>
      <c r="BG154" s="1437"/>
      <c r="BH154" s="1437"/>
      <c r="BI154" s="1437"/>
      <c r="BJ154" s="1437"/>
      <c r="BK154" s="1437"/>
      <c r="BL154" s="1437"/>
      <c r="BM154" s="1437"/>
      <c r="BN154" s="1437"/>
    </row>
    <row r="155" spans="1:66" ht="44.25" customHeight="1">
      <c r="A155" s="1377"/>
      <c r="B155" s="1375"/>
      <c r="C155" s="1377"/>
      <c r="D155" s="1379"/>
      <c r="E155" s="1367"/>
      <c r="F155" s="1367"/>
      <c r="G155" s="1367"/>
      <c r="H155" s="365"/>
      <c r="I155" s="1377"/>
      <c r="J155" s="1399"/>
      <c r="K155" s="666"/>
      <c r="L155" s="400" t="s">
        <v>1009</v>
      </c>
      <c r="M155" s="665" t="s">
        <v>1010</v>
      </c>
      <c r="N155" s="647"/>
      <c r="O155" s="647">
        <v>1</v>
      </c>
      <c r="P155" s="647">
        <v>1</v>
      </c>
      <c r="Q155" s="647"/>
      <c r="R155" s="1547"/>
      <c r="S155" s="1547"/>
      <c r="T155" s="1547"/>
      <c r="U155" s="1547"/>
      <c r="V155" s="1547"/>
      <c r="W155" s="393" t="s">
        <v>990</v>
      </c>
      <c r="X155" s="1450"/>
      <c r="Y155" s="1437"/>
      <c r="Z155" s="1437"/>
      <c r="AA155" s="1437"/>
      <c r="AB155" s="1437"/>
      <c r="AC155" s="1437"/>
      <c r="AD155" s="1437"/>
      <c r="AE155" s="1437"/>
      <c r="AF155" s="1437"/>
      <c r="AG155" s="1437"/>
      <c r="AH155" s="1437"/>
      <c r="AI155" s="1437"/>
      <c r="AJ155" s="1437"/>
      <c r="AK155" s="1446"/>
      <c r="AL155" s="1437"/>
      <c r="AM155" s="1437"/>
      <c r="AN155" s="1437"/>
      <c r="AO155" s="1446"/>
      <c r="AP155" s="1437"/>
      <c r="AQ155" s="1437"/>
      <c r="AR155" s="1437"/>
      <c r="AS155" s="1437"/>
      <c r="AT155" s="1437"/>
      <c r="AU155" s="1437"/>
      <c r="AV155" s="1437"/>
      <c r="AW155" s="1437"/>
      <c r="AX155" s="1437"/>
      <c r="AY155" s="1437"/>
      <c r="AZ155" s="1437"/>
      <c r="BA155" s="1446"/>
      <c r="BB155" s="1437"/>
      <c r="BC155" s="1437"/>
      <c r="BD155" s="1437"/>
      <c r="BE155" s="1437"/>
      <c r="BF155" s="1437"/>
      <c r="BG155" s="1437"/>
      <c r="BH155" s="1437"/>
      <c r="BI155" s="1437"/>
      <c r="BJ155" s="1437"/>
      <c r="BK155" s="1437"/>
      <c r="BL155" s="1437"/>
      <c r="BM155" s="1437"/>
      <c r="BN155" s="1437"/>
    </row>
    <row r="156" spans="1:66" ht="48" customHeight="1">
      <c r="A156" s="1377"/>
      <c r="B156" s="1375"/>
      <c r="C156" s="1377"/>
      <c r="D156" s="1379"/>
      <c r="E156" s="1367"/>
      <c r="F156" s="1367"/>
      <c r="G156" s="1367"/>
      <c r="H156" s="365"/>
      <c r="I156" s="1377"/>
      <c r="J156" s="1399"/>
      <c r="K156" s="666"/>
      <c r="L156" s="400" t="s">
        <v>1011</v>
      </c>
      <c r="M156" s="665" t="s">
        <v>995</v>
      </c>
      <c r="N156" s="647">
        <v>1</v>
      </c>
      <c r="O156" s="647"/>
      <c r="P156" s="647"/>
      <c r="Q156" s="647"/>
      <c r="R156" s="1547"/>
      <c r="S156" s="1547"/>
      <c r="T156" s="1547"/>
      <c r="U156" s="1547"/>
      <c r="V156" s="1547"/>
      <c r="W156" s="392" t="s">
        <v>854</v>
      </c>
      <c r="X156" s="1461"/>
      <c r="Y156" s="1454"/>
      <c r="Z156" s="1454"/>
      <c r="AA156" s="1454"/>
      <c r="AB156" s="1454"/>
      <c r="AC156" s="1454"/>
      <c r="AD156" s="1454"/>
      <c r="AE156" s="1454"/>
      <c r="AF156" s="1454"/>
      <c r="AG156" s="1454"/>
      <c r="AH156" s="1454"/>
      <c r="AI156" s="1454"/>
      <c r="AJ156" s="1454"/>
      <c r="AK156" s="1363"/>
      <c r="AL156" s="1454"/>
      <c r="AM156" s="1454"/>
      <c r="AN156" s="1454"/>
      <c r="AO156" s="1363"/>
      <c r="AP156" s="1454"/>
      <c r="AQ156" s="1454"/>
      <c r="AR156" s="1454"/>
      <c r="AS156" s="1454"/>
      <c r="AT156" s="1454"/>
      <c r="AU156" s="1454"/>
      <c r="AV156" s="1454"/>
      <c r="AW156" s="1454"/>
      <c r="AX156" s="1454"/>
      <c r="AY156" s="1454"/>
      <c r="AZ156" s="1454"/>
      <c r="BA156" s="1363"/>
      <c r="BB156" s="1454"/>
      <c r="BC156" s="1454"/>
      <c r="BD156" s="1454"/>
      <c r="BE156" s="1454"/>
      <c r="BF156" s="1454"/>
      <c r="BG156" s="1454"/>
      <c r="BH156" s="1454"/>
      <c r="BI156" s="1454"/>
      <c r="BJ156" s="1454"/>
      <c r="BK156" s="1454"/>
      <c r="BL156" s="1454"/>
      <c r="BM156" s="1454"/>
      <c r="BN156" s="1454"/>
    </row>
    <row r="157" spans="1:66" ht="56.25" customHeight="1">
      <c r="A157" s="1377"/>
      <c r="B157" s="1375"/>
      <c r="C157" s="1377"/>
      <c r="D157" s="1379"/>
      <c r="E157" s="1367"/>
      <c r="F157" s="1367"/>
      <c r="G157" s="1367"/>
      <c r="H157" s="365"/>
      <c r="I157" s="1377"/>
      <c r="J157" s="1399"/>
      <c r="K157" s="666"/>
      <c r="L157" s="400" t="s">
        <v>1012</v>
      </c>
      <c r="M157" s="665" t="s">
        <v>1013</v>
      </c>
      <c r="N157" s="647"/>
      <c r="O157" s="647">
        <v>1</v>
      </c>
      <c r="P157" s="647">
        <v>1</v>
      </c>
      <c r="Q157" s="647"/>
      <c r="R157" s="1547"/>
      <c r="S157" s="1547"/>
      <c r="T157" s="1547"/>
      <c r="U157" s="1547"/>
      <c r="V157" s="1547"/>
      <c r="W157" s="392" t="s">
        <v>854</v>
      </c>
      <c r="X157" s="444" t="s">
        <v>1552</v>
      </c>
      <c r="Y157" s="460"/>
      <c r="Z157" s="460"/>
      <c r="AA157" s="460"/>
      <c r="AB157" s="460"/>
      <c r="AC157" s="460"/>
      <c r="AD157" s="460"/>
      <c r="AE157" s="460"/>
      <c r="AF157" s="460"/>
      <c r="AG157" s="460"/>
      <c r="AH157" s="460"/>
      <c r="AI157" s="460"/>
      <c r="AJ157" s="460"/>
      <c r="AK157" s="460"/>
      <c r="AL157" s="460">
        <v>150000000</v>
      </c>
      <c r="AM157" s="460"/>
      <c r="AN157" s="460"/>
      <c r="AO157" s="460"/>
      <c r="AP157" s="460"/>
      <c r="AQ157" s="460"/>
      <c r="AR157" s="460"/>
      <c r="AS157" s="460"/>
      <c r="AT157" s="460"/>
      <c r="AU157" s="460"/>
      <c r="AV157" s="460"/>
      <c r="AW157" s="460"/>
      <c r="AX157" s="460"/>
      <c r="AY157" s="460"/>
      <c r="AZ157" s="460"/>
      <c r="BA157" s="460"/>
      <c r="BB157" s="460"/>
      <c r="BC157" s="460"/>
      <c r="BD157" s="460"/>
      <c r="BE157" s="460"/>
      <c r="BF157" s="460"/>
      <c r="BG157" s="460"/>
      <c r="BH157" s="460"/>
      <c r="BI157" s="460"/>
      <c r="BJ157" s="460"/>
      <c r="BK157" s="460"/>
      <c r="BL157" s="460"/>
      <c r="BM157" s="460"/>
      <c r="BN157" s="460">
        <f>SUM(Y157:BM157)</f>
        <v>150000000</v>
      </c>
    </row>
    <row r="158" spans="1:66" ht="44.25" customHeight="1">
      <c r="A158" s="1377"/>
      <c r="B158" s="1375"/>
      <c r="C158" s="1377"/>
      <c r="D158" s="1379"/>
      <c r="E158" s="1367"/>
      <c r="F158" s="1367"/>
      <c r="G158" s="1367"/>
      <c r="H158" s="365"/>
      <c r="I158" s="1377"/>
      <c r="J158" s="1399"/>
      <c r="K158" s="666"/>
      <c r="L158" s="400" t="s">
        <v>1014</v>
      </c>
      <c r="M158" s="377" t="s">
        <v>1015</v>
      </c>
      <c r="N158" s="647">
        <v>1</v>
      </c>
      <c r="O158" s="647">
        <v>1</v>
      </c>
      <c r="P158" s="647">
        <v>1</v>
      </c>
      <c r="Q158" s="647">
        <v>1</v>
      </c>
      <c r="R158" s="1547"/>
      <c r="S158" s="1547"/>
      <c r="T158" s="1547"/>
      <c r="U158" s="1547"/>
      <c r="V158" s="1547"/>
      <c r="W158" s="393" t="s">
        <v>990</v>
      </c>
      <c r="X158" s="648" t="s">
        <v>1526</v>
      </c>
      <c r="Y158" s="460"/>
      <c r="Z158" s="460"/>
      <c r="AA158" s="460"/>
      <c r="AB158" s="460"/>
      <c r="AC158" s="460"/>
      <c r="AD158" s="460"/>
      <c r="AE158" s="460"/>
      <c r="AF158" s="460"/>
      <c r="AG158" s="460"/>
      <c r="AH158" s="460"/>
      <c r="AI158" s="460"/>
      <c r="AJ158" s="460"/>
      <c r="AK158" s="460"/>
      <c r="AL158" s="460">
        <v>60000000</v>
      </c>
      <c r="AM158" s="460"/>
      <c r="AN158" s="460"/>
      <c r="AO158" s="460"/>
      <c r="AP158" s="460"/>
      <c r="AQ158" s="460"/>
      <c r="AR158" s="460"/>
      <c r="AS158" s="460"/>
      <c r="AT158" s="460"/>
      <c r="AU158" s="460"/>
      <c r="AV158" s="460"/>
      <c r="AW158" s="460"/>
      <c r="AX158" s="460"/>
      <c r="AY158" s="460"/>
      <c r="AZ158" s="460"/>
      <c r="BA158" s="460"/>
      <c r="BB158" s="460"/>
      <c r="BC158" s="460"/>
      <c r="BD158" s="460"/>
      <c r="BE158" s="460"/>
      <c r="BF158" s="460"/>
      <c r="BG158" s="460"/>
      <c r="BH158" s="460"/>
      <c r="BI158" s="460"/>
      <c r="BJ158" s="460"/>
      <c r="BK158" s="460"/>
      <c r="BL158" s="460"/>
      <c r="BM158" s="460"/>
      <c r="BN158" s="460">
        <f>SUM(Y158:BM158)</f>
        <v>60000000</v>
      </c>
    </row>
    <row r="159" spans="1:66" ht="56.25" customHeight="1">
      <c r="A159" s="1378"/>
      <c r="B159" s="1375"/>
      <c r="C159" s="1378"/>
      <c r="D159" s="1379"/>
      <c r="E159" s="1367"/>
      <c r="F159" s="1367"/>
      <c r="G159" s="1367"/>
      <c r="H159" s="365"/>
      <c r="I159" s="1378"/>
      <c r="J159" s="1399"/>
      <c r="K159" s="666"/>
      <c r="L159" s="400" t="s">
        <v>1016</v>
      </c>
      <c r="M159" s="665" t="s">
        <v>1017</v>
      </c>
      <c r="N159" s="647">
        <v>1</v>
      </c>
      <c r="O159" s="647">
        <v>1</v>
      </c>
      <c r="P159" s="647">
        <v>1</v>
      </c>
      <c r="Q159" s="647">
        <v>1</v>
      </c>
      <c r="R159" s="1547"/>
      <c r="S159" s="1547"/>
      <c r="T159" s="1547"/>
      <c r="U159" s="1547"/>
      <c r="V159" s="1547"/>
      <c r="W159" s="393" t="s">
        <v>990</v>
      </c>
      <c r="X159" s="648" t="s">
        <v>1527</v>
      </c>
      <c r="Y159" s="460"/>
      <c r="Z159" s="460"/>
      <c r="AA159" s="460"/>
      <c r="AB159" s="460"/>
      <c r="AC159" s="460"/>
      <c r="AD159" s="460"/>
      <c r="AE159" s="460"/>
      <c r="AF159" s="460"/>
      <c r="AG159" s="460"/>
      <c r="AH159" s="460"/>
      <c r="AI159" s="460"/>
      <c r="AJ159" s="460"/>
      <c r="AK159" s="460"/>
      <c r="AL159" s="460">
        <v>6000000</v>
      </c>
      <c r="AM159" s="460"/>
      <c r="AN159" s="460"/>
      <c r="AO159" s="460"/>
      <c r="AP159" s="460"/>
      <c r="AQ159" s="460"/>
      <c r="AR159" s="460"/>
      <c r="AS159" s="460"/>
      <c r="AT159" s="460"/>
      <c r="AU159" s="460"/>
      <c r="AV159" s="460"/>
      <c r="AW159" s="460"/>
      <c r="AX159" s="460"/>
      <c r="AY159" s="460"/>
      <c r="AZ159" s="460"/>
      <c r="BA159" s="460"/>
      <c r="BB159" s="460"/>
      <c r="BC159" s="460"/>
      <c r="BD159" s="460"/>
      <c r="BE159" s="460"/>
      <c r="BF159" s="460"/>
      <c r="BG159" s="460"/>
      <c r="BH159" s="460"/>
      <c r="BI159" s="460"/>
      <c r="BJ159" s="460"/>
      <c r="BK159" s="460"/>
      <c r="BL159" s="460"/>
      <c r="BM159" s="460"/>
      <c r="BN159" s="460">
        <f>SUM(Y159:BM159)</f>
        <v>6000000</v>
      </c>
    </row>
    <row r="160" spans="1:68" ht="28.5" customHeight="1">
      <c r="A160" s="652"/>
      <c r="B160" s="423"/>
      <c r="C160" s="420"/>
      <c r="D160" s="1495" t="s">
        <v>1472</v>
      </c>
      <c r="E160" s="1496"/>
      <c r="F160" s="1496"/>
      <c r="G160" s="1496"/>
      <c r="H160" s="1496"/>
      <c r="I160" s="1496"/>
      <c r="J160" s="1496"/>
      <c r="K160" s="1496"/>
      <c r="L160" s="1496"/>
      <c r="M160" s="1496"/>
      <c r="N160" s="1496"/>
      <c r="O160" s="1496"/>
      <c r="P160" s="1496"/>
      <c r="Q160" s="1496"/>
      <c r="R160" s="1496"/>
      <c r="S160" s="1496"/>
      <c r="T160" s="1496"/>
      <c r="U160" s="1496"/>
      <c r="V160" s="1496"/>
      <c r="W160" s="1496"/>
      <c r="X160" s="1497"/>
      <c r="Y160" s="462">
        <f aca="true" t="shared" si="17" ref="Y160:BM160">SUM(Y145:Y159)</f>
        <v>0</v>
      </c>
      <c r="Z160" s="462">
        <f t="shared" si="17"/>
        <v>0</v>
      </c>
      <c r="AA160" s="462">
        <f t="shared" si="17"/>
        <v>0</v>
      </c>
      <c r="AB160" s="462">
        <f t="shared" si="17"/>
        <v>0</v>
      </c>
      <c r="AC160" s="462">
        <f t="shared" si="17"/>
        <v>0</v>
      </c>
      <c r="AD160" s="462">
        <f t="shared" si="17"/>
        <v>0</v>
      </c>
      <c r="AE160" s="462">
        <f t="shared" si="17"/>
        <v>0</v>
      </c>
      <c r="AF160" s="462">
        <f t="shared" si="17"/>
        <v>0</v>
      </c>
      <c r="AG160" s="462">
        <f t="shared" si="17"/>
        <v>0</v>
      </c>
      <c r="AH160" s="462">
        <f t="shared" si="17"/>
        <v>0</v>
      </c>
      <c r="AI160" s="462">
        <f t="shared" si="17"/>
        <v>0</v>
      </c>
      <c r="AJ160" s="462">
        <f t="shared" si="17"/>
        <v>50000000</v>
      </c>
      <c r="AK160" s="462">
        <f t="shared" si="17"/>
        <v>0</v>
      </c>
      <c r="AL160" s="462">
        <f t="shared" si="17"/>
        <v>566000000</v>
      </c>
      <c r="AM160" s="462">
        <f t="shared" si="17"/>
        <v>1846615067</v>
      </c>
      <c r="AN160" s="462">
        <f t="shared" si="17"/>
        <v>70856481</v>
      </c>
      <c r="AO160" s="462">
        <f t="shared" si="17"/>
        <v>0</v>
      </c>
      <c r="AP160" s="462">
        <f t="shared" si="17"/>
        <v>0</v>
      </c>
      <c r="AQ160" s="462">
        <f t="shared" si="17"/>
        <v>0</v>
      </c>
      <c r="AR160" s="462">
        <f t="shared" si="17"/>
        <v>0</v>
      </c>
      <c r="AS160" s="462">
        <f t="shared" si="17"/>
        <v>0</v>
      </c>
      <c r="AT160" s="462">
        <f t="shared" si="17"/>
        <v>0</v>
      </c>
      <c r="AU160" s="462">
        <f t="shared" si="17"/>
        <v>0</v>
      </c>
      <c r="AV160" s="462">
        <f t="shared" si="17"/>
        <v>0</v>
      </c>
      <c r="AW160" s="462">
        <f t="shared" si="17"/>
        <v>0</v>
      </c>
      <c r="AX160" s="462">
        <f t="shared" si="17"/>
        <v>0</v>
      </c>
      <c r="AY160" s="462">
        <f t="shared" si="17"/>
        <v>0</v>
      </c>
      <c r="AZ160" s="462">
        <f t="shared" si="17"/>
        <v>0</v>
      </c>
      <c r="BA160" s="462">
        <f t="shared" si="17"/>
        <v>0</v>
      </c>
      <c r="BB160" s="462">
        <f t="shared" si="17"/>
        <v>0</v>
      </c>
      <c r="BC160" s="462">
        <f t="shared" si="17"/>
        <v>0</v>
      </c>
      <c r="BD160" s="462">
        <f t="shared" si="17"/>
        <v>0</v>
      </c>
      <c r="BE160" s="462">
        <f t="shared" si="17"/>
        <v>0</v>
      </c>
      <c r="BF160" s="462">
        <f t="shared" si="17"/>
        <v>0</v>
      </c>
      <c r="BG160" s="462">
        <f t="shared" si="17"/>
        <v>0</v>
      </c>
      <c r="BH160" s="462">
        <f t="shared" si="17"/>
        <v>0</v>
      </c>
      <c r="BI160" s="462">
        <f t="shared" si="17"/>
        <v>0</v>
      </c>
      <c r="BJ160" s="462">
        <f t="shared" si="17"/>
        <v>0</v>
      </c>
      <c r="BK160" s="462">
        <f t="shared" si="17"/>
        <v>0</v>
      </c>
      <c r="BL160" s="462">
        <f t="shared" si="17"/>
        <v>0</v>
      </c>
      <c r="BM160" s="462">
        <f t="shared" si="17"/>
        <v>0</v>
      </c>
      <c r="BN160" s="462">
        <f>SUM(BN145:BN159)</f>
        <v>2533471548</v>
      </c>
      <c r="BO160" s="412" t="s">
        <v>1616</v>
      </c>
      <c r="BP160" s="412">
        <v>566000000</v>
      </c>
    </row>
    <row r="161" spans="1:66" ht="42.75" customHeight="1">
      <c r="A161" s="652"/>
      <c r="B161" s="425"/>
      <c r="C161" s="426"/>
      <c r="D161" s="1544" t="s">
        <v>1474</v>
      </c>
      <c r="E161" s="1545"/>
      <c r="F161" s="1545"/>
      <c r="G161" s="1545"/>
      <c r="H161" s="1545"/>
      <c r="I161" s="1545"/>
      <c r="J161" s="1545"/>
      <c r="K161" s="1545"/>
      <c r="L161" s="1545"/>
      <c r="M161" s="1545"/>
      <c r="N161" s="1545"/>
      <c r="O161" s="1545"/>
      <c r="P161" s="1545"/>
      <c r="Q161" s="1545"/>
      <c r="R161" s="1545"/>
      <c r="S161" s="1545"/>
      <c r="T161" s="1545"/>
      <c r="U161" s="1545"/>
      <c r="V161" s="1545"/>
      <c r="W161" s="1545"/>
      <c r="X161" s="1546"/>
      <c r="Y161" s="469">
        <f>+Y32+Y68+Y76+Y89+Y104+Y111+Y120+Y128+Y141+Y144+Y160</f>
        <v>2888786994</v>
      </c>
      <c r="Z161" s="469">
        <f aca="true" t="shared" si="18" ref="Z161:BN161">+Z32+Z68+Z76+Z89+Z104+Z111+Z120+Z128+Z141+Z144+Z160</f>
        <v>50000000</v>
      </c>
      <c r="AA161" s="469">
        <f t="shared" si="18"/>
        <v>291135708</v>
      </c>
      <c r="AB161" s="469">
        <f t="shared" si="18"/>
        <v>53175486</v>
      </c>
      <c r="AC161" s="469">
        <f t="shared" si="18"/>
        <v>1548410758</v>
      </c>
      <c r="AD161" s="469">
        <f t="shared" si="18"/>
        <v>772592212</v>
      </c>
      <c r="AE161" s="469">
        <f t="shared" si="18"/>
        <v>534186840</v>
      </c>
      <c r="AF161" s="469">
        <f t="shared" si="18"/>
        <v>217793702</v>
      </c>
      <c r="AG161" s="469">
        <f t="shared" si="18"/>
        <v>0</v>
      </c>
      <c r="AH161" s="469">
        <f t="shared" si="18"/>
        <v>103803097</v>
      </c>
      <c r="AI161" s="469">
        <f t="shared" si="18"/>
        <v>77852324</v>
      </c>
      <c r="AJ161" s="469">
        <f t="shared" si="18"/>
        <v>200000000</v>
      </c>
      <c r="AK161" s="469">
        <f t="shared" si="18"/>
        <v>0</v>
      </c>
      <c r="AL161" s="469">
        <f t="shared" si="18"/>
        <v>1386000000</v>
      </c>
      <c r="AM161" s="469">
        <f t="shared" si="18"/>
        <v>36053000000</v>
      </c>
      <c r="AN161" s="469">
        <f t="shared" si="18"/>
        <v>70856481</v>
      </c>
      <c r="AO161" s="469">
        <f t="shared" si="18"/>
        <v>0</v>
      </c>
      <c r="AP161" s="469">
        <f t="shared" si="18"/>
        <v>0</v>
      </c>
      <c r="AQ161" s="469">
        <f t="shared" si="18"/>
        <v>3133140579</v>
      </c>
      <c r="AR161" s="469">
        <f t="shared" si="18"/>
        <v>1440000000</v>
      </c>
      <c r="AS161" s="469">
        <f t="shared" si="18"/>
        <v>20000000</v>
      </c>
      <c r="AT161" s="469">
        <f t="shared" si="18"/>
        <v>0</v>
      </c>
      <c r="AU161" s="469">
        <f t="shared" si="18"/>
        <v>30000000</v>
      </c>
      <c r="AV161" s="469">
        <f t="shared" si="18"/>
        <v>2000000</v>
      </c>
      <c r="AW161" s="469">
        <f t="shared" si="18"/>
        <v>30000000</v>
      </c>
      <c r="AX161" s="469">
        <f t="shared" si="18"/>
        <v>15000000</v>
      </c>
      <c r="AY161" s="469">
        <f t="shared" si="18"/>
        <v>0</v>
      </c>
      <c r="AZ161" s="469">
        <f t="shared" si="18"/>
        <v>0</v>
      </c>
      <c r="BA161" s="469">
        <f t="shared" si="18"/>
        <v>0</v>
      </c>
      <c r="BB161" s="469">
        <f t="shared" si="18"/>
        <v>0</v>
      </c>
      <c r="BC161" s="469">
        <f t="shared" si="18"/>
        <v>0</v>
      </c>
      <c r="BD161" s="469">
        <f t="shared" si="18"/>
        <v>0</v>
      </c>
      <c r="BE161" s="469">
        <f t="shared" si="18"/>
        <v>5015326</v>
      </c>
      <c r="BF161" s="469">
        <f t="shared" si="18"/>
        <v>0</v>
      </c>
      <c r="BG161" s="469">
        <f t="shared" si="18"/>
        <v>0</v>
      </c>
      <c r="BH161" s="469">
        <f t="shared" si="18"/>
        <v>0</v>
      </c>
      <c r="BI161" s="469">
        <f t="shared" si="18"/>
        <v>0</v>
      </c>
      <c r="BJ161" s="469">
        <f t="shared" si="18"/>
        <v>0</v>
      </c>
      <c r="BK161" s="469">
        <f t="shared" si="18"/>
        <v>0</v>
      </c>
      <c r="BL161" s="469">
        <f t="shared" si="18"/>
        <v>0</v>
      </c>
      <c r="BM161" s="469">
        <f t="shared" si="18"/>
        <v>0</v>
      </c>
      <c r="BN161" s="469">
        <f t="shared" si="18"/>
        <v>48922749507</v>
      </c>
    </row>
    <row r="162" spans="1:66" ht="102" customHeight="1">
      <c r="A162" s="1376">
        <v>40</v>
      </c>
      <c r="B162" s="1383" t="s">
        <v>1018</v>
      </c>
      <c r="C162" s="1376">
        <v>15</v>
      </c>
      <c r="D162" s="1383" t="s">
        <v>1019</v>
      </c>
      <c r="E162" s="1375" t="s">
        <v>1020</v>
      </c>
      <c r="F162" s="1375" t="s">
        <v>1021</v>
      </c>
      <c r="G162" s="1362" t="s">
        <v>1022</v>
      </c>
      <c r="H162" s="1362" t="s">
        <v>1023</v>
      </c>
      <c r="I162" s="365"/>
      <c r="J162" s="1466"/>
      <c r="K162" s="666"/>
      <c r="L162" s="398" t="s">
        <v>1024</v>
      </c>
      <c r="M162" s="655" t="s">
        <v>1025</v>
      </c>
      <c r="N162" s="657">
        <v>100</v>
      </c>
      <c r="O162" s="657">
        <v>100</v>
      </c>
      <c r="P162" s="657">
        <v>100</v>
      </c>
      <c r="Q162" s="657">
        <v>69</v>
      </c>
      <c r="R162" s="1460">
        <v>32720030</v>
      </c>
      <c r="S162" s="1460">
        <v>6127883</v>
      </c>
      <c r="T162" s="1460">
        <v>6105719</v>
      </c>
      <c r="U162" s="1460">
        <v>4479391</v>
      </c>
      <c r="V162" s="1460">
        <v>49433023</v>
      </c>
      <c r="W162" s="374" t="s">
        <v>819</v>
      </c>
      <c r="X162" s="1486" t="s">
        <v>1586</v>
      </c>
      <c r="Y162" s="500"/>
      <c r="Z162" s="500"/>
      <c r="AA162" s="500"/>
      <c r="AB162" s="500"/>
      <c r="AC162" s="500"/>
      <c r="AD162" s="500"/>
      <c r="AE162" s="500"/>
      <c r="AF162" s="500"/>
      <c r="AG162" s="500">
        <v>40000000</v>
      </c>
      <c r="AH162" s="500"/>
      <c r="AI162" s="500"/>
      <c r="AJ162" s="500"/>
      <c r="AK162" s="500"/>
      <c r="AL162" s="500"/>
      <c r="AM162" s="500"/>
      <c r="AN162" s="500"/>
      <c r="AO162" s="500"/>
      <c r="AP162" s="500"/>
      <c r="AQ162" s="500"/>
      <c r="AR162" s="500"/>
      <c r="AS162" s="500"/>
      <c r="AT162" s="500"/>
      <c r="AU162" s="500"/>
      <c r="AV162" s="500"/>
      <c r="AW162" s="500"/>
      <c r="AX162" s="500"/>
      <c r="AY162" s="500"/>
      <c r="AZ162" s="500"/>
      <c r="BA162" s="500"/>
      <c r="BB162" s="500"/>
      <c r="BC162" s="500"/>
      <c r="BD162" s="500"/>
      <c r="BE162" s="500"/>
      <c r="BF162" s="500"/>
      <c r="BG162" s="500"/>
      <c r="BH162" s="500"/>
      <c r="BI162" s="500"/>
      <c r="BJ162" s="500"/>
      <c r="BK162" s="500"/>
      <c r="BL162" s="500"/>
      <c r="BM162" s="500"/>
      <c r="BN162" s="500">
        <f>SUM(Y162:BM164)</f>
        <v>4040000000</v>
      </c>
    </row>
    <row r="163" spans="1:66" ht="92.25" customHeight="1">
      <c r="A163" s="1377"/>
      <c r="B163" s="1384"/>
      <c r="C163" s="1377"/>
      <c r="D163" s="1384"/>
      <c r="E163" s="1375"/>
      <c r="F163" s="1375"/>
      <c r="G163" s="1395"/>
      <c r="H163" s="1395"/>
      <c r="I163" s="365"/>
      <c r="J163" s="1467"/>
      <c r="K163" s="666"/>
      <c r="L163" s="397" t="s">
        <v>1026</v>
      </c>
      <c r="M163" s="655" t="s">
        <v>1027</v>
      </c>
      <c r="N163" s="367">
        <v>1</v>
      </c>
      <c r="O163" s="657">
        <v>1</v>
      </c>
      <c r="P163" s="367">
        <v>1</v>
      </c>
      <c r="Q163" s="367"/>
      <c r="R163" s="1460"/>
      <c r="S163" s="1460"/>
      <c r="T163" s="1460"/>
      <c r="U163" s="1460"/>
      <c r="V163" s="1460"/>
      <c r="W163" s="374" t="s">
        <v>819</v>
      </c>
      <c r="X163" s="1486"/>
      <c r="Y163" s="501"/>
      <c r="Z163" s="501"/>
      <c r="AA163" s="501"/>
      <c r="AB163" s="501"/>
      <c r="AC163" s="501"/>
      <c r="AD163" s="501"/>
      <c r="AE163" s="501"/>
      <c r="AF163" s="501"/>
      <c r="AG163" s="501"/>
      <c r="AH163" s="501"/>
      <c r="AI163" s="501"/>
      <c r="AJ163" s="501"/>
      <c r="AK163" s="501"/>
      <c r="AL163" s="501"/>
      <c r="AM163" s="642">
        <v>4000000000</v>
      </c>
      <c r="AN163" s="501"/>
      <c r="AO163" s="501"/>
      <c r="AP163" s="501"/>
      <c r="AQ163" s="501"/>
      <c r="AR163" s="501"/>
      <c r="AS163" s="501"/>
      <c r="AT163" s="501"/>
      <c r="AU163" s="501"/>
      <c r="AV163" s="501"/>
      <c r="AW163" s="501"/>
      <c r="AX163" s="501"/>
      <c r="AY163" s="501"/>
      <c r="AZ163" s="501"/>
      <c r="BA163" s="501"/>
      <c r="BB163" s="501"/>
      <c r="BC163" s="501"/>
      <c r="BD163" s="501"/>
      <c r="BE163" s="501"/>
      <c r="BF163" s="501"/>
      <c r="BG163" s="501"/>
      <c r="BH163" s="501"/>
      <c r="BI163" s="501"/>
      <c r="BJ163" s="501"/>
      <c r="BK163" s="501"/>
      <c r="BL163" s="501"/>
      <c r="BM163" s="501"/>
      <c r="BN163" s="501"/>
    </row>
    <row r="164" spans="1:66" ht="56.25" customHeight="1">
      <c r="A164" s="1377"/>
      <c r="B164" s="1384"/>
      <c r="C164" s="1377"/>
      <c r="D164" s="1384"/>
      <c r="E164" s="1375"/>
      <c r="F164" s="1375"/>
      <c r="G164" s="1395"/>
      <c r="H164" s="1395"/>
      <c r="I164" s="365"/>
      <c r="J164" s="1468"/>
      <c r="K164" s="666"/>
      <c r="L164" s="397" t="s">
        <v>1028</v>
      </c>
      <c r="M164" s="655" t="s">
        <v>1029</v>
      </c>
      <c r="N164" s="367"/>
      <c r="O164" s="662"/>
      <c r="P164" s="662">
        <v>0.15</v>
      </c>
      <c r="Q164" s="662">
        <v>0.1</v>
      </c>
      <c r="R164" s="1460"/>
      <c r="S164" s="1460"/>
      <c r="T164" s="1460"/>
      <c r="U164" s="1460"/>
      <c r="V164" s="1460"/>
      <c r="W164" s="374" t="s">
        <v>819</v>
      </c>
      <c r="X164" s="1486"/>
      <c r="Y164" s="501"/>
      <c r="Z164" s="501"/>
      <c r="AA164" s="501"/>
      <c r="AB164" s="501"/>
      <c r="AC164" s="501"/>
      <c r="AD164" s="501"/>
      <c r="AE164" s="501"/>
      <c r="AF164" s="501"/>
      <c r="AG164" s="501"/>
      <c r="AH164" s="501"/>
      <c r="AI164" s="501"/>
      <c r="AJ164" s="501"/>
      <c r="AK164" s="501"/>
      <c r="AL164" s="501"/>
      <c r="AM164" s="501"/>
      <c r="AN164" s="501"/>
      <c r="AO164" s="501"/>
      <c r="AP164" s="501"/>
      <c r="AQ164" s="501"/>
      <c r="AR164" s="501"/>
      <c r="AS164" s="501"/>
      <c r="AT164" s="501"/>
      <c r="AU164" s="501"/>
      <c r="AV164" s="501"/>
      <c r="AW164" s="501"/>
      <c r="AX164" s="501"/>
      <c r="AY164" s="501"/>
      <c r="AZ164" s="501"/>
      <c r="BA164" s="501"/>
      <c r="BB164" s="501"/>
      <c r="BC164" s="501"/>
      <c r="BD164" s="501"/>
      <c r="BE164" s="501"/>
      <c r="BF164" s="501"/>
      <c r="BG164" s="501"/>
      <c r="BH164" s="501"/>
      <c r="BI164" s="501"/>
      <c r="BJ164" s="501"/>
      <c r="BK164" s="501"/>
      <c r="BL164" s="501"/>
      <c r="BM164" s="501"/>
      <c r="BN164" s="501"/>
    </row>
    <row r="165" spans="1:66" ht="56.25" customHeight="1">
      <c r="A165" s="1377"/>
      <c r="B165" s="1384"/>
      <c r="C165" s="1377"/>
      <c r="D165" s="1384"/>
      <c r="E165" s="1375"/>
      <c r="F165" s="1375"/>
      <c r="G165" s="1395"/>
      <c r="H165" s="1395"/>
      <c r="I165" s="365"/>
      <c r="J165" s="365"/>
      <c r="K165" s="666"/>
      <c r="L165" s="397"/>
      <c r="M165" s="655"/>
      <c r="N165" s="367"/>
      <c r="O165" s="662"/>
      <c r="P165" s="662"/>
      <c r="Q165" s="662"/>
      <c r="R165" s="1460"/>
      <c r="S165" s="1460"/>
      <c r="T165" s="1460"/>
      <c r="U165" s="1460"/>
      <c r="V165" s="1460"/>
      <c r="W165" s="374"/>
      <c r="X165" s="495" t="s">
        <v>1613</v>
      </c>
      <c r="Y165" s="501"/>
      <c r="Z165" s="502"/>
      <c r="AA165" s="502"/>
      <c r="AB165" s="502"/>
      <c r="AC165" s="502"/>
      <c r="AD165" s="502"/>
      <c r="AE165" s="502"/>
      <c r="AF165" s="502"/>
      <c r="AG165" s="502"/>
      <c r="AH165" s="502"/>
      <c r="AI165" s="502"/>
      <c r="AJ165" s="502"/>
      <c r="AK165" s="503"/>
      <c r="AL165" s="502"/>
      <c r="AM165" s="502">
        <v>0</v>
      </c>
      <c r="AN165" s="502"/>
      <c r="AO165" s="503"/>
      <c r="AP165" s="502"/>
      <c r="AQ165" s="502"/>
      <c r="AR165" s="502"/>
      <c r="AS165" s="502"/>
      <c r="AT165" s="502"/>
      <c r="AU165" s="502"/>
      <c r="AV165" s="502"/>
      <c r="AW165" s="502"/>
      <c r="AX165" s="502"/>
      <c r="AY165" s="502"/>
      <c r="AZ165" s="502"/>
      <c r="BA165" s="503"/>
      <c r="BB165" s="502"/>
      <c r="BC165" s="502"/>
      <c r="BD165" s="502"/>
      <c r="BE165" s="502"/>
      <c r="BF165" s="502"/>
      <c r="BG165" s="502"/>
      <c r="BH165" s="502"/>
      <c r="BI165" s="502"/>
      <c r="BJ165" s="502"/>
      <c r="BK165" s="502"/>
      <c r="BL165" s="502"/>
      <c r="BM165" s="502"/>
      <c r="BN165" s="502">
        <f>SUM(Y165:BM165)</f>
        <v>0</v>
      </c>
    </row>
    <row r="166" spans="1:66" ht="99.75" customHeight="1">
      <c r="A166" s="1377"/>
      <c r="B166" s="1384"/>
      <c r="C166" s="1377"/>
      <c r="D166" s="1384"/>
      <c r="E166" s="1375"/>
      <c r="F166" s="1375"/>
      <c r="G166" s="1395"/>
      <c r="H166" s="1395"/>
      <c r="I166" s="365"/>
      <c r="J166" s="1466"/>
      <c r="K166" s="666"/>
      <c r="L166" s="397" t="s">
        <v>1030</v>
      </c>
      <c r="M166" s="655" t="s">
        <v>1031</v>
      </c>
      <c r="N166" s="662">
        <v>0.4</v>
      </c>
      <c r="O166" s="662"/>
      <c r="P166" s="662">
        <v>0.4</v>
      </c>
      <c r="Q166" s="662">
        <v>0.2</v>
      </c>
      <c r="R166" s="1460"/>
      <c r="S166" s="1460"/>
      <c r="T166" s="1460"/>
      <c r="U166" s="1460"/>
      <c r="V166" s="1460"/>
      <c r="W166" s="374" t="s">
        <v>819</v>
      </c>
      <c r="X166" s="1542" t="s">
        <v>1587</v>
      </c>
      <c r="Y166" s="1538"/>
      <c r="Z166" s="1538"/>
      <c r="AA166" s="1538"/>
      <c r="AB166" s="1538"/>
      <c r="AC166" s="1538"/>
      <c r="AD166" s="1538"/>
      <c r="AE166" s="1538"/>
      <c r="AF166" s="1538"/>
      <c r="AG166" s="1538">
        <v>100000000</v>
      </c>
      <c r="AH166" s="1538"/>
      <c r="AI166" s="1538"/>
      <c r="AJ166" s="1538"/>
      <c r="AK166" s="1533"/>
      <c r="AL166" s="1538"/>
      <c r="AM166" s="1538"/>
      <c r="AN166" s="1538"/>
      <c r="AO166" s="1533"/>
      <c r="AP166" s="1538"/>
      <c r="AQ166" s="1538"/>
      <c r="AR166" s="1538"/>
      <c r="AS166" s="1538"/>
      <c r="AT166" s="1538">
        <v>30000000</v>
      </c>
      <c r="AU166" s="1538"/>
      <c r="AV166" s="1538"/>
      <c r="AW166" s="1538"/>
      <c r="AX166" s="1538"/>
      <c r="AY166" s="1538"/>
      <c r="AZ166" s="1538"/>
      <c r="BA166" s="1540"/>
      <c r="BB166" s="1538"/>
      <c r="BC166" s="1538"/>
      <c r="BD166" s="1538"/>
      <c r="BE166" s="1538"/>
      <c r="BF166" s="1538"/>
      <c r="BG166" s="1538"/>
      <c r="BH166" s="1538"/>
      <c r="BI166" s="1538"/>
      <c r="BJ166" s="1538"/>
      <c r="BK166" s="1538"/>
      <c r="BL166" s="1538"/>
      <c r="BM166" s="1538"/>
      <c r="BN166" s="1538">
        <f>SUM(Y166:BM167)</f>
        <v>130000000</v>
      </c>
    </row>
    <row r="167" spans="1:66" ht="40.5" customHeight="1">
      <c r="A167" s="1377"/>
      <c r="B167" s="1384"/>
      <c r="C167" s="1377"/>
      <c r="D167" s="1384"/>
      <c r="E167" s="1375"/>
      <c r="F167" s="1375"/>
      <c r="G167" s="1395"/>
      <c r="H167" s="1395"/>
      <c r="I167" s="365"/>
      <c r="J167" s="1468"/>
      <c r="K167" s="666"/>
      <c r="L167" s="397" t="s">
        <v>1032</v>
      </c>
      <c r="M167" s="655" t="s">
        <v>1033</v>
      </c>
      <c r="N167" s="367"/>
      <c r="O167" s="649"/>
      <c r="P167" s="649">
        <v>4000</v>
      </c>
      <c r="Q167" s="649">
        <v>2000</v>
      </c>
      <c r="R167" s="1460"/>
      <c r="S167" s="1460"/>
      <c r="T167" s="1460"/>
      <c r="U167" s="1460"/>
      <c r="V167" s="1460"/>
      <c r="W167" s="374" t="s">
        <v>819</v>
      </c>
      <c r="X167" s="1543"/>
      <c r="Y167" s="1539"/>
      <c r="Z167" s="1539"/>
      <c r="AA167" s="1539"/>
      <c r="AB167" s="1539"/>
      <c r="AC167" s="1539"/>
      <c r="AD167" s="1539"/>
      <c r="AE167" s="1539"/>
      <c r="AF167" s="1539"/>
      <c r="AG167" s="1539"/>
      <c r="AH167" s="1539"/>
      <c r="AI167" s="1539"/>
      <c r="AJ167" s="1539"/>
      <c r="AK167" s="1363"/>
      <c r="AL167" s="1539"/>
      <c r="AM167" s="1539"/>
      <c r="AN167" s="1539"/>
      <c r="AO167" s="1363"/>
      <c r="AP167" s="1539"/>
      <c r="AQ167" s="1539"/>
      <c r="AR167" s="1539"/>
      <c r="AS167" s="1539"/>
      <c r="AT167" s="1539"/>
      <c r="AU167" s="1539"/>
      <c r="AV167" s="1539"/>
      <c r="AW167" s="1539"/>
      <c r="AX167" s="1539"/>
      <c r="AY167" s="1539"/>
      <c r="AZ167" s="1539"/>
      <c r="BA167" s="1541"/>
      <c r="BB167" s="1539"/>
      <c r="BC167" s="1539"/>
      <c r="BD167" s="1539"/>
      <c r="BE167" s="1539"/>
      <c r="BF167" s="1539"/>
      <c r="BG167" s="1539"/>
      <c r="BH167" s="1539"/>
      <c r="BI167" s="1539"/>
      <c r="BJ167" s="1539"/>
      <c r="BK167" s="1539"/>
      <c r="BL167" s="1539"/>
      <c r="BM167" s="1539"/>
      <c r="BN167" s="1539"/>
    </row>
    <row r="168" spans="1:66" ht="86.25" customHeight="1">
      <c r="A168" s="1377"/>
      <c r="B168" s="1384"/>
      <c r="C168" s="1377"/>
      <c r="D168" s="1384"/>
      <c r="E168" s="1375"/>
      <c r="F168" s="1375"/>
      <c r="G168" s="1395"/>
      <c r="H168" s="1395"/>
      <c r="I168" s="365"/>
      <c r="J168" s="365"/>
      <c r="K168" s="666"/>
      <c r="L168" s="658" t="s">
        <v>1034</v>
      </c>
      <c r="M168" s="655" t="s">
        <v>1035</v>
      </c>
      <c r="N168" s="657">
        <v>1</v>
      </c>
      <c r="O168" s="657">
        <v>1</v>
      </c>
      <c r="P168" s="367"/>
      <c r="Q168" s="367"/>
      <c r="R168" s="1460"/>
      <c r="S168" s="1460"/>
      <c r="T168" s="1460"/>
      <c r="U168" s="1460"/>
      <c r="V168" s="1460"/>
      <c r="W168" s="374" t="s">
        <v>819</v>
      </c>
      <c r="X168" s="441" t="s">
        <v>1554</v>
      </c>
      <c r="Y168" s="501"/>
      <c r="Z168" s="503"/>
      <c r="AA168" s="503"/>
      <c r="AB168" s="503"/>
      <c r="AC168" s="503"/>
      <c r="AD168" s="503"/>
      <c r="AE168" s="503"/>
      <c r="AF168" s="503"/>
      <c r="AG168" s="503">
        <v>50000000</v>
      </c>
      <c r="AH168" s="503"/>
      <c r="AI168" s="503"/>
      <c r="AJ168" s="503"/>
      <c r="AK168" s="503"/>
      <c r="AL168" s="503"/>
      <c r="AM168" s="503"/>
      <c r="AN168" s="503"/>
      <c r="AO168" s="503"/>
      <c r="AP168" s="503"/>
      <c r="AQ168" s="503"/>
      <c r="AR168" s="503"/>
      <c r="AS168" s="503"/>
      <c r="AT168" s="503"/>
      <c r="AU168" s="503"/>
      <c r="AV168" s="503"/>
      <c r="AW168" s="503"/>
      <c r="AX168" s="503"/>
      <c r="AY168" s="503"/>
      <c r="AZ168" s="503"/>
      <c r="BA168" s="503"/>
      <c r="BB168" s="503"/>
      <c r="BC168" s="503"/>
      <c r="BD168" s="503"/>
      <c r="BE168" s="503"/>
      <c r="BF168" s="503"/>
      <c r="BG168" s="503"/>
      <c r="BH168" s="503"/>
      <c r="BI168" s="503"/>
      <c r="BJ168" s="503"/>
      <c r="BK168" s="503"/>
      <c r="BL168" s="503"/>
      <c r="BM168" s="503"/>
      <c r="BN168" s="641">
        <f>SUM(Y168:BM169)</f>
        <v>50000000</v>
      </c>
    </row>
    <row r="169" spans="1:66" ht="77.25" customHeight="1">
      <c r="A169" s="1377"/>
      <c r="B169" s="1384"/>
      <c r="C169" s="1377"/>
      <c r="D169" s="1384"/>
      <c r="E169" s="1375"/>
      <c r="F169" s="657" t="s">
        <v>1036</v>
      </c>
      <c r="G169" s="1366"/>
      <c r="H169" s="1366"/>
      <c r="I169" s="365"/>
      <c r="J169" s="365"/>
      <c r="K169" s="666"/>
      <c r="L169" s="397" t="s">
        <v>1037</v>
      </c>
      <c r="M169" s="655" t="s">
        <v>1038</v>
      </c>
      <c r="N169" s="657"/>
      <c r="O169" s="657"/>
      <c r="P169" s="657">
        <v>16</v>
      </c>
      <c r="Q169" s="657">
        <v>20</v>
      </c>
      <c r="R169" s="1460"/>
      <c r="S169" s="1460"/>
      <c r="T169" s="1460"/>
      <c r="U169" s="1460"/>
      <c r="V169" s="1460"/>
      <c r="W169" s="374" t="s">
        <v>819</v>
      </c>
      <c r="X169" s="454"/>
      <c r="Y169" s="501"/>
      <c r="Z169" s="676"/>
      <c r="AA169" s="676"/>
      <c r="AB169" s="676"/>
      <c r="AC169" s="676"/>
      <c r="AD169" s="676"/>
      <c r="AE169" s="676"/>
      <c r="AF169" s="676"/>
      <c r="AG169" s="676"/>
      <c r="AH169" s="676"/>
      <c r="AI169" s="676"/>
      <c r="AJ169" s="676"/>
      <c r="AK169" s="678"/>
      <c r="AL169" s="676"/>
      <c r="AM169" s="676"/>
      <c r="AN169" s="676"/>
      <c r="AO169" s="678"/>
      <c r="AP169" s="676"/>
      <c r="AQ169" s="676"/>
      <c r="AR169" s="676"/>
      <c r="AS169" s="676"/>
      <c r="AT169" s="676"/>
      <c r="AU169" s="676"/>
      <c r="AV169" s="676"/>
      <c r="AW169" s="676"/>
      <c r="AX169" s="676"/>
      <c r="AY169" s="676"/>
      <c r="AZ169" s="676"/>
      <c r="BA169" s="678"/>
      <c r="BB169" s="676"/>
      <c r="BC169" s="676"/>
      <c r="BD169" s="676"/>
      <c r="BE169" s="676"/>
      <c r="BF169" s="676"/>
      <c r="BG169" s="676"/>
      <c r="BH169" s="676"/>
      <c r="BI169" s="676"/>
      <c r="BJ169" s="676"/>
      <c r="BK169" s="676"/>
      <c r="BL169" s="676"/>
      <c r="BM169" s="676"/>
      <c r="BN169" s="504"/>
    </row>
    <row r="170" spans="1:66" ht="118.5" customHeight="1">
      <c r="A170" s="1377"/>
      <c r="B170" s="1384"/>
      <c r="C170" s="1377"/>
      <c r="D170" s="1384"/>
      <c r="E170" s="655" t="s">
        <v>1039</v>
      </c>
      <c r="F170" s="655" t="s">
        <v>1040</v>
      </c>
      <c r="G170" s="368" t="s">
        <v>1041</v>
      </c>
      <c r="H170" s="657" t="s">
        <v>1042</v>
      </c>
      <c r="I170" s="365"/>
      <c r="J170" s="365"/>
      <c r="K170" s="666"/>
      <c r="L170" s="397" t="s">
        <v>1043</v>
      </c>
      <c r="M170" s="655" t="s">
        <v>1044</v>
      </c>
      <c r="N170" s="657">
        <v>50</v>
      </c>
      <c r="O170" s="657">
        <v>400</v>
      </c>
      <c r="P170" s="657">
        <v>222</v>
      </c>
      <c r="Q170" s="657"/>
      <c r="R170" s="1460"/>
      <c r="S170" s="1460"/>
      <c r="T170" s="1460"/>
      <c r="U170" s="1460"/>
      <c r="V170" s="1460"/>
      <c r="W170" s="374" t="s">
        <v>819</v>
      </c>
      <c r="X170" s="456" t="s">
        <v>1615</v>
      </c>
      <c r="Y170" s="501"/>
      <c r="Z170" s="675"/>
      <c r="AA170" s="675"/>
      <c r="AB170" s="675"/>
      <c r="AC170" s="675"/>
      <c r="AD170" s="675"/>
      <c r="AE170" s="675"/>
      <c r="AF170" s="675"/>
      <c r="AG170" s="675">
        <v>10000000</v>
      </c>
      <c r="AH170" s="675"/>
      <c r="AI170" s="675"/>
      <c r="AJ170" s="675"/>
      <c r="AK170" s="503"/>
      <c r="AL170" s="675"/>
      <c r="AM170" s="675">
        <v>13200000000</v>
      </c>
      <c r="AN170" s="675"/>
      <c r="AO170" s="503"/>
      <c r="AP170" s="675"/>
      <c r="AQ170" s="675"/>
      <c r="AR170" s="675"/>
      <c r="AS170" s="675"/>
      <c r="AT170" s="675"/>
      <c r="AU170" s="675"/>
      <c r="AV170" s="675"/>
      <c r="AW170" s="675"/>
      <c r="AX170" s="675"/>
      <c r="AY170" s="675"/>
      <c r="AZ170" s="675"/>
      <c r="BA170" s="503"/>
      <c r="BB170" s="675"/>
      <c r="BC170" s="675"/>
      <c r="BD170" s="675"/>
      <c r="BE170" s="675"/>
      <c r="BF170" s="675"/>
      <c r="BG170" s="675"/>
      <c r="BH170" s="675"/>
      <c r="BI170" s="675"/>
      <c r="BJ170" s="675"/>
      <c r="BK170" s="675"/>
      <c r="BL170" s="675"/>
      <c r="BM170" s="675"/>
      <c r="BN170" s="675">
        <f>SUM(Y170:BM170)</f>
        <v>13210000000</v>
      </c>
    </row>
    <row r="171" spans="1:66" ht="125.25" customHeight="1">
      <c r="A171" s="1377"/>
      <c r="B171" s="1384"/>
      <c r="C171" s="1377"/>
      <c r="D171" s="1384"/>
      <c r="E171" s="1375" t="s">
        <v>1045</v>
      </c>
      <c r="F171" s="1375" t="s">
        <v>1046</v>
      </c>
      <c r="G171" s="1384" t="s">
        <v>1047</v>
      </c>
      <c r="H171" s="1362" t="s">
        <v>1048</v>
      </c>
      <c r="I171" s="365"/>
      <c r="J171" s="365"/>
      <c r="K171" s="666"/>
      <c r="L171" s="397" t="s">
        <v>1049</v>
      </c>
      <c r="M171" s="655" t="s">
        <v>1050</v>
      </c>
      <c r="N171" s="657"/>
      <c r="O171" s="657">
        <v>100</v>
      </c>
      <c r="P171" s="657">
        <v>800</v>
      </c>
      <c r="Q171" s="657">
        <v>23</v>
      </c>
      <c r="R171" s="1460"/>
      <c r="S171" s="1460"/>
      <c r="T171" s="1460"/>
      <c r="U171" s="1460"/>
      <c r="V171" s="1460"/>
      <c r="W171" s="374" t="s">
        <v>819</v>
      </c>
      <c r="X171" s="456" t="s">
        <v>1585</v>
      </c>
      <c r="Y171" s="501"/>
      <c r="Z171" s="675"/>
      <c r="AA171" s="675"/>
      <c r="AB171" s="675"/>
      <c r="AC171" s="675"/>
      <c r="AD171" s="675"/>
      <c r="AE171" s="675"/>
      <c r="AF171" s="675"/>
      <c r="AG171" s="675">
        <v>10856837</v>
      </c>
      <c r="AH171" s="675"/>
      <c r="AI171" s="675"/>
      <c r="AJ171" s="675"/>
      <c r="AK171" s="503"/>
      <c r="AL171" s="675"/>
      <c r="AM171" s="675"/>
      <c r="AN171" s="675"/>
      <c r="AO171" s="503"/>
      <c r="AP171" s="675"/>
      <c r="AQ171" s="675"/>
      <c r="AR171" s="675"/>
      <c r="AS171" s="675"/>
      <c r="AT171" s="675"/>
      <c r="AU171" s="675"/>
      <c r="AV171" s="675"/>
      <c r="AW171" s="675"/>
      <c r="AX171" s="675"/>
      <c r="AY171" s="675"/>
      <c r="AZ171" s="675"/>
      <c r="BA171" s="503"/>
      <c r="BB171" s="675"/>
      <c r="BC171" s="675"/>
      <c r="BD171" s="675"/>
      <c r="BE171" s="675"/>
      <c r="BF171" s="675"/>
      <c r="BG171" s="675"/>
      <c r="BH171" s="675"/>
      <c r="BI171" s="675"/>
      <c r="BJ171" s="675"/>
      <c r="BK171" s="675"/>
      <c r="BL171" s="675"/>
      <c r="BM171" s="675"/>
      <c r="BN171" s="675">
        <f>SUM(Y171:BM171)</f>
        <v>10856837</v>
      </c>
    </row>
    <row r="172" spans="1:66" ht="88.5" customHeight="1">
      <c r="A172" s="1377"/>
      <c r="B172" s="1384"/>
      <c r="C172" s="1377"/>
      <c r="D172" s="1384"/>
      <c r="E172" s="1375"/>
      <c r="F172" s="1375"/>
      <c r="G172" s="1396"/>
      <c r="H172" s="1366"/>
      <c r="I172" s="365"/>
      <c r="J172" s="365"/>
      <c r="K172" s="666"/>
      <c r="L172" s="397" t="s">
        <v>1051</v>
      </c>
      <c r="M172" s="655" t="s">
        <v>1033</v>
      </c>
      <c r="N172" s="367"/>
      <c r="O172" s="649"/>
      <c r="P172" s="649">
        <v>10000</v>
      </c>
      <c r="Q172" s="649">
        <v>5000</v>
      </c>
      <c r="R172" s="1460"/>
      <c r="S172" s="1460"/>
      <c r="T172" s="1460"/>
      <c r="U172" s="1460"/>
      <c r="V172" s="1460"/>
      <c r="W172" s="374" t="s">
        <v>819</v>
      </c>
      <c r="X172" s="455"/>
      <c r="Y172" s="501"/>
      <c r="Z172" s="677"/>
      <c r="AA172" s="677"/>
      <c r="AB172" s="677"/>
      <c r="AC172" s="677"/>
      <c r="AD172" s="677"/>
      <c r="AE172" s="677"/>
      <c r="AF172" s="677"/>
      <c r="AG172" s="677"/>
      <c r="AH172" s="677"/>
      <c r="AI172" s="677"/>
      <c r="AJ172" s="677"/>
      <c r="AK172" s="505"/>
      <c r="AL172" s="677"/>
      <c r="AM172" s="677"/>
      <c r="AN172" s="677"/>
      <c r="AO172" s="505"/>
      <c r="AP172" s="677"/>
      <c r="AQ172" s="677"/>
      <c r="AR172" s="677"/>
      <c r="AS172" s="677"/>
      <c r="AT172" s="677"/>
      <c r="AU172" s="677"/>
      <c r="AV172" s="677"/>
      <c r="AW172" s="677"/>
      <c r="AX172" s="677"/>
      <c r="AY172" s="677"/>
      <c r="AZ172" s="677"/>
      <c r="BA172" s="505"/>
      <c r="BB172" s="677"/>
      <c r="BC172" s="677"/>
      <c r="BD172" s="677"/>
      <c r="BE172" s="677"/>
      <c r="BF172" s="677"/>
      <c r="BG172" s="677"/>
      <c r="BH172" s="677"/>
      <c r="BI172" s="677"/>
      <c r="BJ172" s="677"/>
      <c r="BK172" s="677"/>
      <c r="BL172" s="677"/>
      <c r="BM172" s="677"/>
      <c r="BN172" s="675">
        <f aca="true" t="shared" si="19" ref="BN172:BN178">SUM(Y172:BM172)</f>
        <v>0</v>
      </c>
    </row>
    <row r="173" spans="1:66" ht="73.5" customHeight="1">
      <c r="A173" s="1377"/>
      <c r="B173" s="1384"/>
      <c r="C173" s="1377"/>
      <c r="D173" s="1384"/>
      <c r="E173" s="655" t="s">
        <v>1052</v>
      </c>
      <c r="F173" s="655" t="s">
        <v>1053</v>
      </c>
      <c r="G173" s="655" t="s">
        <v>1054</v>
      </c>
      <c r="H173" s="657" t="s">
        <v>1055</v>
      </c>
      <c r="I173" s="365"/>
      <c r="J173" s="365"/>
      <c r="K173" s="666"/>
      <c r="L173" s="397" t="s">
        <v>1056</v>
      </c>
      <c r="M173" s="655" t="s">
        <v>1057</v>
      </c>
      <c r="N173" s="657"/>
      <c r="O173" s="657"/>
      <c r="P173" s="657">
        <v>300</v>
      </c>
      <c r="Q173" s="657">
        <v>73</v>
      </c>
      <c r="R173" s="1460"/>
      <c r="S173" s="1460"/>
      <c r="T173" s="1460"/>
      <c r="U173" s="1460"/>
      <c r="V173" s="1460"/>
      <c r="W173" s="374" t="s">
        <v>819</v>
      </c>
      <c r="X173" s="441"/>
      <c r="Y173" s="501"/>
      <c r="Z173" s="503"/>
      <c r="AA173" s="503"/>
      <c r="AB173" s="503"/>
      <c r="AC173" s="503"/>
      <c r="AD173" s="503"/>
      <c r="AE173" s="503"/>
      <c r="AF173" s="503"/>
      <c r="AG173" s="503"/>
      <c r="AH173" s="503"/>
      <c r="AI173" s="503"/>
      <c r="AJ173" s="503"/>
      <c r="AK173" s="503"/>
      <c r="AL173" s="503"/>
      <c r="AM173" s="503"/>
      <c r="AN173" s="503"/>
      <c r="AO173" s="503"/>
      <c r="AP173" s="503"/>
      <c r="AQ173" s="503"/>
      <c r="AR173" s="503"/>
      <c r="AS173" s="503"/>
      <c r="AT173" s="503"/>
      <c r="AU173" s="503"/>
      <c r="AV173" s="503"/>
      <c r="AW173" s="503"/>
      <c r="AX173" s="503"/>
      <c r="AY173" s="503"/>
      <c r="AZ173" s="503"/>
      <c r="BA173" s="503"/>
      <c r="BB173" s="503"/>
      <c r="BC173" s="503"/>
      <c r="BD173" s="503"/>
      <c r="BE173" s="503"/>
      <c r="BF173" s="503"/>
      <c r="BG173" s="503"/>
      <c r="BH173" s="503"/>
      <c r="BI173" s="503"/>
      <c r="BJ173" s="503"/>
      <c r="BK173" s="503"/>
      <c r="BL173" s="503"/>
      <c r="BM173" s="503"/>
      <c r="BN173" s="675">
        <f t="shared" si="19"/>
        <v>0</v>
      </c>
    </row>
    <row r="174" spans="1:66" ht="115.5" customHeight="1">
      <c r="A174" s="1377"/>
      <c r="B174" s="1384"/>
      <c r="C174" s="1377"/>
      <c r="D174" s="1384"/>
      <c r="E174" s="1375" t="s">
        <v>1058</v>
      </c>
      <c r="F174" s="1375" t="s">
        <v>1059</v>
      </c>
      <c r="G174" s="1384" t="s">
        <v>1060</v>
      </c>
      <c r="H174" s="1395" t="s">
        <v>1061</v>
      </c>
      <c r="I174" s="365"/>
      <c r="J174" s="365"/>
      <c r="K174" s="666"/>
      <c r="L174" s="397" t="s">
        <v>1062</v>
      </c>
      <c r="M174" s="655" t="s">
        <v>1063</v>
      </c>
      <c r="N174" s="657">
        <v>300</v>
      </c>
      <c r="O174" s="657"/>
      <c r="P174" s="649">
        <v>1000</v>
      </c>
      <c r="Q174" s="649">
        <v>2575</v>
      </c>
      <c r="R174" s="1460"/>
      <c r="S174" s="1460"/>
      <c r="T174" s="1460"/>
      <c r="U174" s="1460"/>
      <c r="V174" s="1460"/>
      <c r="W174" s="374" t="s">
        <v>819</v>
      </c>
      <c r="X174" s="452" t="s">
        <v>1584</v>
      </c>
      <c r="Y174" s="501"/>
      <c r="Z174" s="506"/>
      <c r="AA174" s="506"/>
      <c r="AB174" s="506"/>
      <c r="AC174" s="506"/>
      <c r="AD174" s="506"/>
      <c r="AE174" s="506"/>
      <c r="AF174" s="506"/>
      <c r="AG174" s="506">
        <v>50000000</v>
      </c>
      <c r="AH174" s="506"/>
      <c r="AI174" s="506"/>
      <c r="AJ174" s="506"/>
      <c r="AK174" s="503"/>
      <c r="AL174" s="506">
        <v>340000000</v>
      </c>
      <c r="AM174" s="506"/>
      <c r="AN174" s="506"/>
      <c r="AO174" s="503"/>
      <c r="AP174" s="506"/>
      <c r="AQ174" s="506"/>
      <c r="AR174" s="506"/>
      <c r="AS174" s="506"/>
      <c r="AT174" s="506"/>
      <c r="AU174" s="506"/>
      <c r="AV174" s="506"/>
      <c r="AW174" s="506"/>
      <c r="AX174" s="506"/>
      <c r="AY174" s="506"/>
      <c r="AZ174" s="506"/>
      <c r="BA174" s="503"/>
      <c r="BB174" s="506"/>
      <c r="BC174" s="506"/>
      <c r="BD174" s="506"/>
      <c r="BE174" s="506"/>
      <c r="BF174" s="506"/>
      <c r="BG174" s="506"/>
      <c r="BH174" s="506"/>
      <c r="BI174" s="506"/>
      <c r="BJ174" s="506"/>
      <c r="BK174" s="506"/>
      <c r="BL174" s="506"/>
      <c r="BM174" s="506"/>
      <c r="BN174" s="675">
        <f t="shared" si="19"/>
        <v>390000000</v>
      </c>
    </row>
    <row r="175" spans="1:66" ht="99.75" customHeight="1">
      <c r="A175" s="1377"/>
      <c r="B175" s="1384"/>
      <c r="C175" s="1377"/>
      <c r="D175" s="1384"/>
      <c r="E175" s="1375"/>
      <c r="F175" s="1375"/>
      <c r="G175" s="1396"/>
      <c r="H175" s="1366"/>
      <c r="I175" s="365"/>
      <c r="J175" s="365"/>
      <c r="K175" s="666"/>
      <c r="L175" s="397" t="s">
        <v>1064</v>
      </c>
      <c r="M175" s="655" t="s">
        <v>1065</v>
      </c>
      <c r="N175" s="367">
        <v>1</v>
      </c>
      <c r="O175" s="657">
        <v>1</v>
      </c>
      <c r="P175" s="657">
        <v>1</v>
      </c>
      <c r="Q175" s="367"/>
      <c r="R175" s="1460"/>
      <c r="S175" s="1460"/>
      <c r="T175" s="1460"/>
      <c r="U175" s="1460"/>
      <c r="V175" s="1460"/>
      <c r="W175" s="374" t="s">
        <v>819</v>
      </c>
      <c r="X175" s="451" t="s">
        <v>1583</v>
      </c>
      <c r="Y175" s="501"/>
      <c r="Z175" s="506"/>
      <c r="AA175" s="506"/>
      <c r="AB175" s="506"/>
      <c r="AC175" s="506"/>
      <c r="AD175" s="506"/>
      <c r="AE175" s="506"/>
      <c r="AF175" s="506"/>
      <c r="AG175" s="506">
        <v>15000000</v>
      </c>
      <c r="AH175" s="506"/>
      <c r="AI175" s="506"/>
      <c r="AJ175" s="506"/>
      <c r="AK175" s="503"/>
      <c r="AL175" s="506"/>
      <c r="AM175" s="506"/>
      <c r="AN175" s="506"/>
      <c r="AO175" s="503"/>
      <c r="AP175" s="506"/>
      <c r="AQ175" s="506"/>
      <c r="AR175" s="506"/>
      <c r="AS175" s="506"/>
      <c r="AT175" s="506"/>
      <c r="AU175" s="506"/>
      <c r="AV175" s="506"/>
      <c r="AW175" s="506"/>
      <c r="AX175" s="506"/>
      <c r="AY175" s="506"/>
      <c r="AZ175" s="506"/>
      <c r="BA175" s="503"/>
      <c r="BB175" s="506"/>
      <c r="BC175" s="506"/>
      <c r="BD175" s="506"/>
      <c r="BE175" s="506"/>
      <c r="BF175" s="506"/>
      <c r="BG175" s="506"/>
      <c r="BH175" s="506"/>
      <c r="BI175" s="506"/>
      <c r="BJ175" s="506"/>
      <c r="BK175" s="506"/>
      <c r="BL175" s="506"/>
      <c r="BM175" s="506"/>
      <c r="BN175" s="675">
        <f t="shared" si="19"/>
        <v>15000000</v>
      </c>
    </row>
    <row r="176" spans="1:66" ht="103.5" customHeight="1">
      <c r="A176" s="1377"/>
      <c r="B176" s="1384"/>
      <c r="C176" s="1377"/>
      <c r="D176" s="1384"/>
      <c r="E176" s="655" t="s">
        <v>1066</v>
      </c>
      <c r="F176" s="655" t="s">
        <v>1067</v>
      </c>
      <c r="G176" s="379" t="s">
        <v>1068</v>
      </c>
      <c r="H176" s="657" t="s">
        <v>1069</v>
      </c>
      <c r="I176" s="365"/>
      <c r="J176" s="365"/>
      <c r="K176" s="666"/>
      <c r="L176" s="397" t="s">
        <v>1070</v>
      </c>
      <c r="M176" s="655" t="s">
        <v>1071</v>
      </c>
      <c r="N176" s="649">
        <v>1600</v>
      </c>
      <c r="O176" s="657">
        <v>799</v>
      </c>
      <c r="P176" s="649"/>
      <c r="Q176" s="649"/>
      <c r="R176" s="1460"/>
      <c r="S176" s="1460"/>
      <c r="T176" s="1460"/>
      <c r="U176" s="1460"/>
      <c r="V176" s="1460"/>
      <c r="W176" s="374" t="s">
        <v>819</v>
      </c>
      <c r="X176" s="451" t="s">
        <v>1553</v>
      </c>
      <c r="Y176" s="501"/>
      <c r="Z176" s="506"/>
      <c r="AA176" s="506"/>
      <c r="AB176" s="506"/>
      <c r="AC176" s="506"/>
      <c r="AD176" s="506"/>
      <c r="AE176" s="506"/>
      <c r="AF176" s="506"/>
      <c r="AG176" s="506">
        <v>25000000</v>
      </c>
      <c r="AH176" s="506"/>
      <c r="AI176" s="506"/>
      <c r="AJ176" s="506"/>
      <c r="AK176" s="503"/>
      <c r="AL176" s="506"/>
      <c r="AM176" s="506"/>
      <c r="AN176" s="506"/>
      <c r="AO176" s="503"/>
      <c r="AP176" s="506"/>
      <c r="AQ176" s="506"/>
      <c r="AR176" s="506"/>
      <c r="AS176" s="506"/>
      <c r="AT176" s="506"/>
      <c r="AU176" s="506"/>
      <c r="AV176" s="506"/>
      <c r="AW176" s="506"/>
      <c r="AX176" s="506"/>
      <c r="AY176" s="506"/>
      <c r="AZ176" s="506"/>
      <c r="BA176" s="503"/>
      <c r="BB176" s="506"/>
      <c r="BC176" s="506"/>
      <c r="BD176" s="506"/>
      <c r="BE176" s="506"/>
      <c r="BF176" s="506"/>
      <c r="BG176" s="506"/>
      <c r="BH176" s="506"/>
      <c r="BI176" s="506"/>
      <c r="BJ176" s="506"/>
      <c r="BK176" s="506"/>
      <c r="BL176" s="506"/>
      <c r="BM176" s="506"/>
      <c r="BN176" s="675">
        <f t="shared" si="19"/>
        <v>25000000</v>
      </c>
    </row>
    <row r="177" spans="1:66" ht="93" customHeight="1">
      <c r="A177" s="1377"/>
      <c r="B177" s="1384"/>
      <c r="C177" s="1377"/>
      <c r="D177" s="1384"/>
      <c r="E177" s="655" t="s">
        <v>1072</v>
      </c>
      <c r="F177" s="655" t="s">
        <v>1073</v>
      </c>
      <c r="G177" s="380">
        <v>0.724</v>
      </c>
      <c r="H177" s="657" t="s">
        <v>1074</v>
      </c>
      <c r="I177" s="365"/>
      <c r="J177" s="1466"/>
      <c r="K177" s="666"/>
      <c r="L177" s="397" t="s">
        <v>1075</v>
      </c>
      <c r="M177" s="655" t="s">
        <v>1076</v>
      </c>
      <c r="N177" s="655"/>
      <c r="O177" s="655" t="s">
        <v>1077</v>
      </c>
      <c r="P177" s="379" t="s">
        <v>1078</v>
      </c>
      <c r="Q177" s="657" t="s">
        <v>1074</v>
      </c>
      <c r="R177" s="1460"/>
      <c r="S177" s="1460"/>
      <c r="T177" s="1460"/>
      <c r="U177" s="1460"/>
      <c r="V177" s="1460"/>
      <c r="W177" s="374" t="s">
        <v>819</v>
      </c>
      <c r="X177" s="1486" t="s">
        <v>1582</v>
      </c>
      <c r="Y177" s="501"/>
      <c r="Z177" s="1537"/>
      <c r="AA177" s="1537"/>
      <c r="AB177" s="1537"/>
      <c r="AC177" s="1537"/>
      <c r="AD177" s="1537"/>
      <c r="AE177" s="1537"/>
      <c r="AF177" s="1537"/>
      <c r="AG177" s="1537">
        <v>150000000</v>
      </c>
      <c r="AH177" s="1537"/>
      <c r="AI177" s="1537"/>
      <c r="AJ177" s="1537"/>
      <c r="AK177" s="1533"/>
      <c r="AL177" s="1537"/>
      <c r="AM177" s="1537"/>
      <c r="AN177" s="1537"/>
      <c r="AO177" s="1533"/>
      <c r="AP177" s="1537"/>
      <c r="AQ177" s="1537"/>
      <c r="AR177" s="1537"/>
      <c r="AS177" s="1537"/>
      <c r="AT177" s="1537"/>
      <c r="AU177" s="1537"/>
      <c r="AV177" s="1537"/>
      <c r="AW177" s="1537"/>
      <c r="AX177" s="1537"/>
      <c r="AY177" s="1537"/>
      <c r="AZ177" s="1537"/>
      <c r="BA177" s="1533"/>
      <c r="BB177" s="1537"/>
      <c r="BC177" s="1537"/>
      <c r="BD177" s="1537"/>
      <c r="BE177" s="1537"/>
      <c r="BF177" s="1537"/>
      <c r="BG177" s="1537"/>
      <c r="BH177" s="1537"/>
      <c r="BI177" s="1537"/>
      <c r="BJ177" s="1537"/>
      <c r="BK177" s="1537"/>
      <c r="BL177" s="1537"/>
      <c r="BM177" s="1537"/>
      <c r="BN177" s="1537">
        <f t="shared" si="19"/>
        <v>150000000</v>
      </c>
    </row>
    <row r="178" spans="1:66" ht="102.75" customHeight="1">
      <c r="A178" s="1377"/>
      <c r="B178" s="1384"/>
      <c r="C178" s="1377"/>
      <c r="D178" s="1384"/>
      <c r="E178" s="655" t="s">
        <v>1079</v>
      </c>
      <c r="F178" s="1375" t="s">
        <v>1080</v>
      </c>
      <c r="G178" s="380">
        <v>0.6337</v>
      </c>
      <c r="H178" s="657" t="s">
        <v>1081</v>
      </c>
      <c r="I178" s="365"/>
      <c r="J178" s="1468"/>
      <c r="K178" s="666"/>
      <c r="L178" s="397" t="s">
        <v>1082</v>
      </c>
      <c r="M178" s="655" t="s">
        <v>1083</v>
      </c>
      <c r="N178" s="366"/>
      <c r="O178" s="662">
        <v>0.17</v>
      </c>
      <c r="P178" s="662"/>
      <c r="Q178" s="662"/>
      <c r="R178" s="1460"/>
      <c r="S178" s="1460"/>
      <c r="T178" s="1460"/>
      <c r="U178" s="1460"/>
      <c r="V178" s="1460"/>
      <c r="W178" s="374" t="s">
        <v>819</v>
      </c>
      <c r="X178" s="1486"/>
      <c r="Y178" s="501"/>
      <c r="Z178" s="1537"/>
      <c r="AA178" s="1537"/>
      <c r="AB178" s="1537"/>
      <c r="AC178" s="1537"/>
      <c r="AD178" s="1537"/>
      <c r="AE178" s="1537"/>
      <c r="AF178" s="1537"/>
      <c r="AG178" s="1537"/>
      <c r="AH178" s="1537"/>
      <c r="AI178" s="1537"/>
      <c r="AJ178" s="1537"/>
      <c r="AK178" s="1363"/>
      <c r="AL178" s="1537"/>
      <c r="AM178" s="1537"/>
      <c r="AN178" s="1537"/>
      <c r="AO178" s="1363"/>
      <c r="AP178" s="1537"/>
      <c r="AQ178" s="1537"/>
      <c r="AR178" s="1537"/>
      <c r="AS178" s="1537"/>
      <c r="AT178" s="1537"/>
      <c r="AU178" s="1537"/>
      <c r="AV178" s="1537"/>
      <c r="AW178" s="1537"/>
      <c r="AX178" s="1537"/>
      <c r="AY178" s="1537"/>
      <c r="AZ178" s="1537"/>
      <c r="BA178" s="1363"/>
      <c r="BB178" s="1537"/>
      <c r="BC178" s="1537"/>
      <c r="BD178" s="1537"/>
      <c r="BE178" s="1537"/>
      <c r="BF178" s="1537"/>
      <c r="BG178" s="1537"/>
      <c r="BH178" s="1537"/>
      <c r="BI178" s="1537"/>
      <c r="BJ178" s="1537"/>
      <c r="BK178" s="1537"/>
      <c r="BL178" s="1537"/>
      <c r="BM178" s="1537"/>
      <c r="BN178" s="1537">
        <f t="shared" si="19"/>
        <v>0</v>
      </c>
    </row>
    <row r="179" spans="1:66" ht="69.75" customHeight="1">
      <c r="A179" s="1377"/>
      <c r="B179" s="1384"/>
      <c r="C179" s="1377"/>
      <c r="D179" s="1384"/>
      <c r="E179" s="655" t="s">
        <v>1084</v>
      </c>
      <c r="F179" s="1375"/>
      <c r="G179" s="657" t="s">
        <v>654</v>
      </c>
      <c r="H179" s="657" t="s">
        <v>654</v>
      </c>
      <c r="I179" s="365"/>
      <c r="J179" s="365"/>
      <c r="K179" s="666"/>
      <c r="L179" s="658" t="s">
        <v>1085</v>
      </c>
      <c r="M179" s="655" t="s">
        <v>1086</v>
      </c>
      <c r="N179" s="367"/>
      <c r="O179" s="367"/>
      <c r="P179" s="657"/>
      <c r="Q179" s="657">
        <v>1</v>
      </c>
      <c r="R179" s="1460"/>
      <c r="S179" s="1460"/>
      <c r="T179" s="1460"/>
      <c r="U179" s="1460"/>
      <c r="V179" s="1460"/>
      <c r="W179" s="374" t="s">
        <v>819</v>
      </c>
      <c r="X179" s="453"/>
      <c r="Y179" s="501"/>
      <c r="Z179" s="507"/>
      <c r="AA179" s="507"/>
      <c r="AB179" s="507"/>
      <c r="AC179" s="507"/>
      <c r="AD179" s="507"/>
      <c r="AE179" s="507"/>
      <c r="AF179" s="507"/>
      <c r="AG179" s="507"/>
      <c r="AH179" s="507"/>
      <c r="AI179" s="507"/>
      <c r="AJ179" s="507"/>
      <c r="AK179" s="503"/>
      <c r="AL179" s="507"/>
      <c r="AM179" s="507"/>
      <c r="AN179" s="507"/>
      <c r="AO179" s="503"/>
      <c r="AP179" s="507"/>
      <c r="AQ179" s="507"/>
      <c r="AR179" s="507"/>
      <c r="AS179" s="507"/>
      <c r="AT179" s="507"/>
      <c r="AU179" s="507"/>
      <c r="AV179" s="507"/>
      <c r="AW179" s="507"/>
      <c r="AX179" s="507"/>
      <c r="AY179" s="507"/>
      <c r="AZ179" s="507"/>
      <c r="BA179" s="503"/>
      <c r="BB179" s="507"/>
      <c r="BC179" s="507"/>
      <c r="BD179" s="507"/>
      <c r="BE179" s="507"/>
      <c r="BF179" s="507"/>
      <c r="BG179" s="507"/>
      <c r="BH179" s="507"/>
      <c r="BI179" s="507"/>
      <c r="BJ179" s="507"/>
      <c r="BK179" s="507"/>
      <c r="BL179" s="507"/>
      <c r="BM179" s="507"/>
      <c r="BN179" s="507"/>
    </row>
    <row r="180" spans="1:66" ht="105.75" customHeight="1">
      <c r="A180" s="1377"/>
      <c r="B180" s="1384"/>
      <c r="C180" s="1377"/>
      <c r="D180" s="1384"/>
      <c r="E180" s="1375" t="s">
        <v>1087</v>
      </c>
      <c r="F180" s="1375" t="s">
        <v>1088</v>
      </c>
      <c r="G180" s="657" t="s">
        <v>654</v>
      </c>
      <c r="H180" s="657" t="s">
        <v>654</v>
      </c>
      <c r="I180" s="365"/>
      <c r="J180" s="365"/>
      <c r="K180" s="666"/>
      <c r="L180" s="397" t="s">
        <v>1089</v>
      </c>
      <c r="M180" s="655" t="s">
        <v>1090</v>
      </c>
      <c r="N180" s="367"/>
      <c r="O180" s="657"/>
      <c r="P180" s="657">
        <v>3</v>
      </c>
      <c r="Q180" s="367"/>
      <c r="R180" s="1460"/>
      <c r="S180" s="1460"/>
      <c r="T180" s="1460"/>
      <c r="U180" s="1460"/>
      <c r="V180" s="1460"/>
      <c r="W180" s="374" t="s">
        <v>819</v>
      </c>
      <c r="X180" s="444"/>
      <c r="Y180" s="501"/>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3"/>
      <c r="AX180" s="503"/>
      <c r="AY180" s="503"/>
      <c r="AZ180" s="503"/>
      <c r="BA180" s="503"/>
      <c r="BB180" s="503"/>
      <c r="BC180" s="503"/>
      <c r="BD180" s="503"/>
      <c r="BE180" s="503"/>
      <c r="BF180" s="503"/>
      <c r="BG180" s="503"/>
      <c r="BH180" s="503"/>
      <c r="BI180" s="503"/>
      <c r="BJ180" s="503"/>
      <c r="BK180" s="503"/>
      <c r="BL180" s="503"/>
      <c r="BM180" s="503"/>
      <c r="BN180" s="503"/>
    </row>
    <row r="181" spans="1:66" ht="80.25" customHeight="1">
      <c r="A181" s="1377"/>
      <c r="B181" s="1384"/>
      <c r="C181" s="1377"/>
      <c r="D181" s="1384"/>
      <c r="E181" s="1375"/>
      <c r="F181" s="1375"/>
      <c r="G181" s="662">
        <v>0</v>
      </c>
      <c r="H181" s="367">
        <v>2</v>
      </c>
      <c r="I181" s="365"/>
      <c r="J181" s="1466"/>
      <c r="K181" s="666"/>
      <c r="L181" s="397" t="s">
        <v>1091</v>
      </c>
      <c r="M181" s="655" t="s">
        <v>1092</v>
      </c>
      <c r="N181" s="367"/>
      <c r="O181" s="657"/>
      <c r="P181" s="657">
        <v>2</v>
      </c>
      <c r="Q181" s="367"/>
      <c r="R181" s="1460"/>
      <c r="S181" s="1460"/>
      <c r="T181" s="1460"/>
      <c r="U181" s="1460"/>
      <c r="V181" s="1460"/>
      <c r="W181" s="374" t="s">
        <v>819</v>
      </c>
      <c r="X181" s="1514"/>
      <c r="Y181" s="501"/>
      <c r="Z181" s="1529"/>
      <c r="AA181" s="1529"/>
      <c r="AB181" s="1529"/>
      <c r="AC181" s="1529"/>
      <c r="AD181" s="1529"/>
      <c r="AE181" s="1529"/>
      <c r="AF181" s="1529"/>
      <c r="AG181" s="1529"/>
      <c r="AH181" s="1529"/>
      <c r="AI181" s="1529"/>
      <c r="AJ181" s="1529"/>
      <c r="AK181" s="1533"/>
      <c r="AL181" s="1529"/>
      <c r="AM181" s="1529"/>
      <c r="AN181" s="1529"/>
      <c r="AO181" s="503"/>
      <c r="AP181" s="1529"/>
      <c r="AQ181" s="1529"/>
      <c r="AR181" s="1529"/>
      <c r="AS181" s="1529"/>
      <c r="AT181" s="1529"/>
      <c r="AU181" s="1529"/>
      <c r="AV181" s="1529"/>
      <c r="AW181" s="1529"/>
      <c r="AX181" s="1529"/>
      <c r="AY181" s="1529"/>
      <c r="AZ181" s="1529"/>
      <c r="BA181" s="1533"/>
      <c r="BB181" s="1529"/>
      <c r="BC181" s="1529"/>
      <c r="BD181" s="1529"/>
      <c r="BE181" s="1529"/>
      <c r="BF181" s="1529"/>
      <c r="BG181" s="1529"/>
      <c r="BH181" s="1529"/>
      <c r="BI181" s="1529"/>
      <c r="BJ181" s="1529"/>
      <c r="BK181" s="1529"/>
      <c r="BL181" s="1529"/>
      <c r="BM181" s="1529"/>
      <c r="BN181" s="1529"/>
    </row>
    <row r="182" spans="1:66" ht="105" customHeight="1">
      <c r="A182" s="1377"/>
      <c r="B182" s="1384"/>
      <c r="C182" s="1377"/>
      <c r="D182" s="1384"/>
      <c r="E182" s="655" t="s">
        <v>1093</v>
      </c>
      <c r="F182" s="1375"/>
      <c r="G182" s="657" t="s">
        <v>654</v>
      </c>
      <c r="H182" s="657">
        <v>1</v>
      </c>
      <c r="I182" s="365"/>
      <c r="J182" s="1468"/>
      <c r="K182" s="666"/>
      <c r="L182" s="397" t="s">
        <v>1094</v>
      </c>
      <c r="M182" s="655" t="s">
        <v>1095</v>
      </c>
      <c r="N182" s="367"/>
      <c r="O182" s="657"/>
      <c r="P182" s="657">
        <v>1</v>
      </c>
      <c r="Q182" s="367"/>
      <c r="R182" s="1460"/>
      <c r="S182" s="1460"/>
      <c r="T182" s="1460"/>
      <c r="U182" s="1460"/>
      <c r="V182" s="1460"/>
      <c r="W182" s="374" t="s">
        <v>819</v>
      </c>
      <c r="X182" s="1514"/>
      <c r="Y182" s="508"/>
      <c r="Z182" s="1529"/>
      <c r="AA182" s="1529"/>
      <c r="AB182" s="1529"/>
      <c r="AC182" s="1529"/>
      <c r="AD182" s="1529"/>
      <c r="AE182" s="1529"/>
      <c r="AF182" s="1529"/>
      <c r="AG182" s="1529"/>
      <c r="AH182" s="1529"/>
      <c r="AI182" s="1529"/>
      <c r="AJ182" s="1529"/>
      <c r="AK182" s="1363"/>
      <c r="AL182" s="1529"/>
      <c r="AM182" s="1529"/>
      <c r="AN182" s="1529"/>
      <c r="AO182" s="503"/>
      <c r="AP182" s="1529"/>
      <c r="AQ182" s="1529"/>
      <c r="AR182" s="1529"/>
      <c r="AS182" s="1529"/>
      <c r="AT182" s="1529"/>
      <c r="AU182" s="1529"/>
      <c r="AV182" s="1529"/>
      <c r="AW182" s="1529"/>
      <c r="AX182" s="1529"/>
      <c r="AY182" s="1529"/>
      <c r="AZ182" s="1529"/>
      <c r="BA182" s="1363"/>
      <c r="BB182" s="1529"/>
      <c r="BC182" s="1529"/>
      <c r="BD182" s="1529"/>
      <c r="BE182" s="1529"/>
      <c r="BF182" s="1529"/>
      <c r="BG182" s="1529"/>
      <c r="BH182" s="1529"/>
      <c r="BI182" s="1529"/>
      <c r="BJ182" s="1529"/>
      <c r="BK182" s="1529"/>
      <c r="BL182" s="1529"/>
      <c r="BM182" s="1529"/>
      <c r="BN182" s="1529"/>
    </row>
    <row r="183" spans="1:66" ht="81.75" customHeight="1">
      <c r="A183" s="1377"/>
      <c r="B183" s="1384"/>
      <c r="C183" s="1377"/>
      <c r="D183" s="1384"/>
      <c r="E183" s="655" t="s">
        <v>1096</v>
      </c>
      <c r="F183" s="655" t="s">
        <v>1097</v>
      </c>
      <c r="G183" s="657" t="s">
        <v>1098</v>
      </c>
      <c r="H183" s="662">
        <v>1</v>
      </c>
      <c r="I183" s="365"/>
      <c r="J183" s="1466"/>
      <c r="K183" s="666"/>
      <c r="L183" s="397" t="s">
        <v>1099</v>
      </c>
      <c r="M183" s="655" t="s">
        <v>1100</v>
      </c>
      <c r="N183" s="367"/>
      <c r="O183" s="657"/>
      <c r="P183" s="657">
        <v>1</v>
      </c>
      <c r="Q183" s="367"/>
      <c r="R183" s="1460"/>
      <c r="S183" s="1460"/>
      <c r="T183" s="1460"/>
      <c r="U183" s="1460"/>
      <c r="V183" s="1460"/>
      <c r="W183" s="374" t="s">
        <v>819</v>
      </c>
      <c r="X183" s="1514" t="s">
        <v>1588</v>
      </c>
      <c r="Y183" s="501"/>
      <c r="Z183" s="1529"/>
      <c r="AA183" s="1529"/>
      <c r="AB183" s="1529"/>
      <c r="AC183" s="1529"/>
      <c r="AD183" s="1529"/>
      <c r="AE183" s="1529"/>
      <c r="AF183" s="1529"/>
      <c r="AG183" s="1534">
        <v>450000000</v>
      </c>
      <c r="AH183" s="1529"/>
      <c r="AI183" s="1529"/>
      <c r="AJ183" s="1529"/>
      <c r="AK183" s="1533"/>
      <c r="AL183" s="1529"/>
      <c r="AM183" s="1529"/>
      <c r="AN183" s="1529"/>
      <c r="AO183" s="1533"/>
      <c r="AP183" s="1529"/>
      <c r="AQ183" s="1529"/>
      <c r="AR183" s="1529"/>
      <c r="AS183" s="1529"/>
      <c r="AT183" s="1529"/>
      <c r="AU183" s="1529"/>
      <c r="AV183" s="1529"/>
      <c r="AW183" s="1529"/>
      <c r="AX183" s="1529"/>
      <c r="AY183" s="1529"/>
      <c r="AZ183" s="1529"/>
      <c r="BA183" s="1533"/>
      <c r="BB183" s="1529"/>
      <c r="BC183" s="1529"/>
      <c r="BD183" s="1529"/>
      <c r="BE183" s="1529"/>
      <c r="BF183" s="1529"/>
      <c r="BG183" s="1529"/>
      <c r="BH183" s="1529"/>
      <c r="BI183" s="1529"/>
      <c r="BJ183" s="1529"/>
      <c r="BK183" s="1529"/>
      <c r="BL183" s="1529"/>
      <c r="BM183" s="1529"/>
      <c r="BN183" s="1529">
        <f>SUM(Y183:BM185)</f>
        <v>450000000</v>
      </c>
    </row>
    <row r="184" spans="1:66" ht="82.5" customHeight="1">
      <c r="A184" s="1377"/>
      <c r="B184" s="1384"/>
      <c r="C184" s="1377"/>
      <c r="D184" s="1384"/>
      <c r="E184" s="655" t="s">
        <v>1101</v>
      </c>
      <c r="F184" s="655" t="s">
        <v>1102</v>
      </c>
      <c r="G184" s="657">
        <v>1</v>
      </c>
      <c r="H184" s="657">
        <v>1</v>
      </c>
      <c r="I184" s="365"/>
      <c r="J184" s="1467"/>
      <c r="K184" s="666"/>
      <c r="L184" s="397" t="s">
        <v>1103</v>
      </c>
      <c r="M184" s="655" t="s">
        <v>1104</v>
      </c>
      <c r="N184" s="367"/>
      <c r="O184" s="657">
        <v>1</v>
      </c>
      <c r="P184" s="367"/>
      <c r="Q184" s="367"/>
      <c r="R184" s="1460"/>
      <c r="S184" s="1460"/>
      <c r="T184" s="1460"/>
      <c r="U184" s="1460"/>
      <c r="V184" s="1460"/>
      <c r="W184" s="374" t="s">
        <v>819</v>
      </c>
      <c r="X184" s="1514"/>
      <c r="Y184" s="501"/>
      <c r="Z184" s="1529"/>
      <c r="AA184" s="1529"/>
      <c r="AB184" s="1529"/>
      <c r="AC184" s="1529"/>
      <c r="AD184" s="1529"/>
      <c r="AE184" s="1529"/>
      <c r="AF184" s="1529"/>
      <c r="AG184" s="1535"/>
      <c r="AH184" s="1529"/>
      <c r="AI184" s="1529"/>
      <c r="AJ184" s="1529"/>
      <c r="AK184" s="1446"/>
      <c r="AL184" s="1529"/>
      <c r="AM184" s="1529"/>
      <c r="AN184" s="1529"/>
      <c r="AO184" s="1446"/>
      <c r="AP184" s="1529"/>
      <c r="AQ184" s="1529"/>
      <c r="AR184" s="1529"/>
      <c r="AS184" s="1529"/>
      <c r="AT184" s="1529"/>
      <c r="AU184" s="1529"/>
      <c r="AV184" s="1529"/>
      <c r="AW184" s="1529"/>
      <c r="AX184" s="1529"/>
      <c r="AY184" s="1529"/>
      <c r="AZ184" s="1529"/>
      <c r="BA184" s="1446"/>
      <c r="BB184" s="1529"/>
      <c r="BC184" s="1529"/>
      <c r="BD184" s="1529"/>
      <c r="BE184" s="1529"/>
      <c r="BF184" s="1529"/>
      <c r="BG184" s="1529"/>
      <c r="BH184" s="1529"/>
      <c r="BI184" s="1529"/>
      <c r="BJ184" s="1529"/>
      <c r="BK184" s="1529"/>
      <c r="BL184" s="1529"/>
      <c r="BM184" s="1529"/>
      <c r="BN184" s="1529"/>
    </row>
    <row r="185" spans="1:66" ht="91.5" customHeight="1">
      <c r="A185" s="1377"/>
      <c r="B185" s="1384"/>
      <c r="C185" s="1378"/>
      <c r="D185" s="1396"/>
      <c r="E185" s="655" t="s">
        <v>1105</v>
      </c>
      <c r="F185" s="655" t="s">
        <v>1106</v>
      </c>
      <c r="G185" s="379" t="s">
        <v>1107</v>
      </c>
      <c r="H185" s="662">
        <v>1</v>
      </c>
      <c r="I185" s="365"/>
      <c r="J185" s="1468"/>
      <c r="K185" s="666"/>
      <c r="L185" s="397" t="s">
        <v>1108</v>
      </c>
      <c r="M185" s="655" t="s">
        <v>1109</v>
      </c>
      <c r="N185" s="662">
        <v>1</v>
      </c>
      <c r="O185" s="662">
        <v>1</v>
      </c>
      <c r="P185" s="662">
        <v>1</v>
      </c>
      <c r="Q185" s="662">
        <v>1</v>
      </c>
      <c r="R185" s="1460"/>
      <c r="S185" s="1460"/>
      <c r="T185" s="1460"/>
      <c r="U185" s="1460"/>
      <c r="V185" s="1460"/>
      <c r="W185" s="374" t="s">
        <v>819</v>
      </c>
      <c r="X185" s="1514"/>
      <c r="Y185" s="508"/>
      <c r="Z185" s="1529"/>
      <c r="AA185" s="1529"/>
      <c r="AB185" s="1529"/>
      <c r="AC185" s="1529"/>
      <c r="AD185" s="1529"/>
      <c r="AE185" s="1529"/>
      <c r="AF185" s="1529"/>
      <c r="AG185" s="1536"/>
      <c r="AH185" s="1529"/>
      <c r="AI185" s="1529"/>
      <c r="AJ185" s="1529"/>
      <c r="AK185" s="1363"/>
      <c r="AL185" s="1529"/>
      <c r="AM185" s="1529"/>
      <c r="AN185" s="1529"/>
      <c r="AO185" s="1363"/>
      <c r="AP185" s="1529"/>
      <c r="AQ185" s="1529"/>
      <c r="AR185" s="1529"/>
      <c r="AS185" s="1529"/>
      <c r="AT185" s="1529"/>
      <c r="AU185" s="1529"/>
      <c r="AV185" s="1529"/>
      <c r="AW185" s="1529"/>
      <c r="AX185" s="1529"/>
      <c r="AY185" s="1529"/>
      <c r="AZ185" s="1529"/>
      <c r="BA185" s="1363"/>
      <c r="BB185" s="1529"/>
      <c r="BC185" s="1529"/>
      <c r="BD185" s="1529"/>
      <c r="BE185" s="1529"/>
      <c r="BF185" s="1529"/>
      <c r="BG185" s="1529"/>
      <c r="BH185" s="1529"/>
      <c r="BI185" s="1529"/>
      <c r="BJ185" s="1529"/>
      <c r="BK185" s="1529"/>
      <c r="BL185" s="1529"/>
      <c r="BM185" s="1529"/>
      <c r="BN185" s="1529"/>
    </row>
    <row r="186" spans="1:68" ht="31.5" customHeight="1">
      <c r="A186" s="1377"/>
      <c r="B186" s="1384"/>
      <c r="C186" s="653"/>
      <c r="D186" s="1530" t="s">
        <v>1473</v>
      </c>
      <c r="E186" s="1531"/>
      <c r="F186" s="1531"/>
      <c r="G186" s="1531"/>
      <c r="H186" s="1531"/>
      <c r="I186" s="1531"/>
      <c r="J186" s="1531"/>
      <c r="K186" s="1531"/>
      <c r="L186" s="1531"/>
      <c r="M186" s="1531"/>
      <c r="N186" s="1531"/>
      <c r="O186" s="1531"/>
      <c r="P186" s="1531"/>
      <c r="Q186" s="1531"/>
      <c r="R186" s="1531"/>
      <c r="S186" s="1531"/>
      <c r="T186" s="1531"/>
      <c r="U186" s="1531"/>
      <c r="V186" s="1531"/>
      <c r="W186" s="1531"/>
      <c r="X186" s="1532"/>
      <c r="Y186" s="462">
        <f>SUM(Y162:Y185)</f>
        <v>0</v>
      </c>
      <c r="Z186" s="462">
        <f aca="true" t="shared" si="20" ref="Z186:BM186">SUM(Z162:Z185)</f>
        <v>0</v>
      </c>
      <c r="AA186" s="462">
        <f t="shared" si="20"/>
        <v>0</v>
      </c>
      <c r="AB186" s="462">
        <f t="shared" si="20"/>
        <v>0</v>
      </c>
      <c r="AC186" s="462">
        <f t="shared" si="20"/>
        <v>0</v>
      </c>
      <c r="AD186" s="462">
        <f t="shared" si="20"/>
        <v>0</v>
      </c>
      <c r="AE186" s="462">
        <f t="shared" si="20"/>
        <v>0</v>
      </c>
      <c r="AF186" s="462">
        <f t="shared" si="20"/>
        <v>0</v>
      </c>
      <c r="AG186" s="462">
        <f t="shared" si="20"/>
        <v>900856837</v>
      </c>
      <c r="AH186" s="462">
        <f t="shared" si="20"/>
        <v>0</v>
      </c>
      <c r="AI186" s="462">
        <f t="shared" si="20"/>
        <v>0</v>
      </c>
      <c r="AJ186" s="462">
        <f t="shared" si="20"/>
        <v>0</v>
      </c>
      <c r="AK186" s="462">
        <f t="shared" si="20"/>
        <v>0</v>
      </c>
      <c r="AL186" s="462">
        <f t="shared" si="20"/>
        <v>340000000</v>
      </c>
      <c r="AM186" s="462">
        <f t="shared" si="20"/>
        <v>17200000000</v>
      </c>
      <c r="AN186" s="462">
        <f t="shared" si="20"/>
        <v>0</v>
      </c>
      <c r="AO186" s="462">
        <f t="shared" si="20"/>
        <v>0</v>
      </c>
      <c r="AP186" s="462">
        <f t="shared" si="20"/>
        <v>0</v>
      </c>
      <c r="AQ186" s="462">
        <f t="shared" si="20"/>
        <v>0</v>
      </c>
      <c r="AR186" s="462">
        <f t="shared" si="20"/>
        <v>0</v>
      </c>
      <c r="AS186" s="462">
        <f t="shared" si="20"/>
        <v>0</v>
      </c>
      <c r="AT186" s="462">
        <f t="shared" si="20"/>
        <v>30000000</v>
      </c>
      <c r="AU186" s="462">
        <f t="shared" si="20"/>
        <v>0</v>
      </c>
      <c r="AV186" s="462">
        <f t="shared" si="20"/>
        <v>0</v>
      </c>
      <c r="AW186" s="462">
        <f t="shared" si="20"/>
        <v>0</v>
      </c>
      <c r="AX186" s="462">
        <f t="shared" si="20"/>
        <v>0</v>
      </c>
      <c r="AY186" s="462">
        <f t="shared" si="20"/>
        <v>0</v>
      </c>
      <c r="AZ186" s="462">
        <f t="shared" si="20"/>
        <v>0</v>
      </c>
      <c r="BA186" s="462">
        <f t="shared" si="20"/>
        <v>0</v>
      </c>
      <c r="BB186" s="462">
        <f t="shared" si="20"/>
        <v>0</v>
      </c>
      <c r="BC186" s="462">
        <f t="shared" si="20"/>
        <v>0</v>
      </c>
      <c r="BD186" s="462">
        <f t="shared" si="20"/>
        <v>0</v>
      </c>
      <c r="BE186" s="462">
        <f t="shared" si="20"/>
        <v>0</v>
      </c>
      <c r="BF186" s="462">
        <f t="shared" si="20"/>
        <v>0</v>
      </c>
      <c r="BG186" s="462">
        <f t="shared" si="20"/>
        <v>0</v>
      </c>
      <c r="BH186" s="462">
        <f t="shared" si="20"/>
        <v>0</v>
      </c>
      <c r="BI186" s="462">
        <f t="shared" si="20"/>
        <v>0</v>
      </c>
      <c r="BJ186" s="462">
        <f t="shared" si="20"/>
        <v>0</v>
      </c>
      <c r="BK186" s="462">
        <f t="shared" si="20"/>
        <v>0</v>
      </c>
      <c r="BL186" s="462">
        <f t="shared" si="20"/>
        <v>0</v>
      </c>
      <c r="BM186" s="462">
        <f t="shared" si="20"/>
        <v>0</v>
      </c>
      <c r="BN186" s="462">
        <f>SUM(BN162:BN185)</f>
        <v>18470856837</v>
      </c>
      <c r="BO186" s="412" t="s">
        <v>1616</v>
      </c>
      <c r="BP186" s="412">
        <v>340000000</v>
      </c>
    </row>
    <row r="187" spans="1:66" ht="74.25" customHeight="1">
      <c r="A187" s="1377"/>
      <c r="B187" s="1384"/>
      <c r="C187" s="1400">
        <v>5</v>
      </c>
      <c r="D187" s="1392" t="s">
        <v>1110</v>
      </c>
      <c r="E187" s="1367" t="s">
        <v>1111</v>
      </c>
      <c r="F187" s="1367" t="s">
        <v>1112</v>
      </c>
      <c r="G187" s="1367" t="s">
        <v>888</v>
      </c>
      <c r="H187" s="1367" t="s">
        <v>1113</v>
      </c>
      <c r="I187" s="1367"/>
      <c r="J187" s="1374" t="s">
        <v>1114</v>
      </c>
      <c r="K187" s="657"/>
      <c r="L187" s="658" t="s">
        <v>1115</v>
      </c>
      <c r="M187" s="657" t="s">
        <v>1116</v>
      </c>
      <c r="N187" s="657"/>
      <c r="O187" s="657">
        <v>1</v>
      </c>
      <c r="P187" s="657">
        <v>1</v>
      </c>
      <c r="Q187" s="657"/>
      <c r="R187" s="1448">
        <v>12926693</v>
      </c>
      <c r="S187" s="1448">
        <v>250989</v>
      </c>
      <c r="T187" s="1448">
        <v>3500000</v>
      </c>
      <c r="U187" s="1448">
        <v>2300000</v>
      </c>
      <c r="V187" s="1448">
        <v>18977682</v>
      </c>
      <c r="W187" s="374" t="s">
        <v>819</v>
      </c>
      <c r="X187" s="1486" t="s">
        <v>1511</v>
      </c>
      <c r="Y187" s="464"/>
      <c r="Z187" s="464"/>
      <c r="AA187" s="464"/>
      <c r="AB187" s="464"/>
      <c r="AC187" s="464"/>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4"/>
      <c r="AY187" s="464"/>
      <c r="AZ187" s="464"/>
      <c r="BA187" s="464"/>
      <c r="BB187" s="464"/>
      <c r="BC187" s="464"/>
      <c r="BD187" s="464"/>
      <c r="BE187" s="464"/>
      <c r="BF187" s="464">
        <v>100000000</v>
      </c>
      <c r="BG187" s="464"/>
      <c r="BH187" s="464"/>
      <c r="BI187" s="464"/>
      <c r="BJ187" s="464"/>
      <c r="BK187" s="464"/>
      <c r="BL187" s="464"/>
      <c r="BM187" s="1484"/>
      <c r="BN187" s="1484">
        <f>SUM(Y187:BM192)</f>
        <v>100000000</v>
      </c>
    </row>
    <row r="188" spans="1:66" ht="56.25" customHeight="1">
      <c r="A188" s="1377"/>
      <c r="B188" s="1384"/>
      <c r="C188" s="1400"/>
      <c r="D188" s="1393"/>
      <c r="E188" s="1367"/>
      <c r="F188" s="1367"/>
      <c r="G188" s="1367"/>
      <c r="H188" s="1367"/>
      <c r="I188" s="1367"/>
      <c r="J188" s="1374"/>
      <c r="K188" s="657"/>
      <c r="L188" s="405" t="s">
        <v>1117</v>
      </c>
      <c r="M188" s="657" t="s">
        <v>1118</v>
      </c>
      <c r="N188" s="657">
        <v>1</v>
      </c>
      <c r="O188" s="657">
        <v>1</v>
      </c>
      <c r="P188" s="657"/>
      <c r="Q188" s="657"/>
      <c r="R188" s="1517"/>
      <c r="S188" s="1517"/>
      <c r="T188" s="1517"/>
      <c r="U188" s="1517"/>
      <c r="V188" s="1517"/>
      <c r="W188" s="374" t="s">
        <v>819</v>
      </c>
      <c r="X188" s="1486"/>
      <c r="Y188" s="499"/>
      <c r="Z188" s="499"/>
      <c r="AA188" s="499"/>
      <c r="AB188" s="499"/>
      <c r="AC188" s="499"/>
      <c r="AD188" s="499"/>
      <c r="AE188" s="499"/>
      <c r="AF188" s="499"/>
      <c r="AG188" s="499"/>
      <c r="AH188" s="499"/>
      <c r="AI188" s="499"/>
      <c r="AJ188" s="499"/>
      <c r="AK188" s="499"/>
      <c r="AL188" s="499"/>
      <c r="AM188" s="499"/>
      <c r="AN188" s="499"/>
      <c r="AO188" s="499"/>
      <c r="AP188" s="499"/>
      <c r="AQ188" s="499"/>
      <c r="AR188" s="499"/>
      <c r="AS188" s="499"/>
      <c r="AT188" s="499"/>
      <c r="AU188" s="499"/>
      <c r="AV188" s="499"/>
      <c r="AW188" s="499"/>
      <c r="AX188" s="499"/>
      <c r="AY188" s="499"/>
      <c r="AZ188" s="499"/>
      <c r="BA188" s="499"/>
      <c r="BB188" s="499"/>
      <c r="BC188" s="499"/>
      <c r="BD188" s="499"/>
      <c r="BE188" s="499"/>
      <c r="BF188" s="499"/>
      <c r="BG188" s="499"/>
      <c r="BH188" s="499"/>
      <c r="BI188" s="499"/>
      <c r="BJ188" s="499"/>
      <c r="BK188" s="499"/>
      <c r="BL188" s="499"/>
      <c r="BM188" s="1484"/>
      <c r="BN188" s="1484"/>
    </row>
    <row r="189" spans="1:66" ht="64.5" customHeight="1">
      <c r="A189" s="1377"/>
      <c r="B189" s="1384"/>
      <c r="C189" s="1400"/>
      <c r="D189" s="1393"/>
      <c r="E189" s="1367"/>
      <c r="F189" s="1367"/>
      <c r="G189" s="1367"/>
      <c r="H189" s="1367"/>
      <c r="I189" s="1367"/>
      <c r="J189" s="1374"/>
      <c r="K189" s="657"/>
      <c r="L189" s="658" t="s">
        <v>1119</v>
      </c>
      <c r="M189" s="657" t="s">
        <v>1120</v>
      </c>
      <c r="N189" s="657">
        <v>1</v>
      </c>
      <c r="O189" s="657">
        <v>1</v>
      </c>
      <c r="P189" s="657">
        <v>1</v>
      </c>
      <c r="Q189" s="657">
        <v>1</v>
      </c>
      <c r="R189" s="1517"/>
      <c r="S189" s="1517"/>
      <c r="T189" s="1517"/>
      <c r="U189" s="1517"/>
      <c r="V189" s="1517"/>
      <c r="W189" s="374" t="s">
        <v>819</v>
      </c>
      <c r="X189" s="1486"/>
      <c r="Y189" s="499"/>
      <c r="Z189" s="499"/>
      <c r="AA189" s="499"/>
      <c r="AB189" s="499"/>
      <c r="AC189" s="499"/>
      <c r="AD189" s="499"/>
      <c r="AE189" s="499"/>
      <c r="AF189" s="499"/>
      <c r="AG189" s="499"/>
      <c r="AH189" s="499"/>
      <c r="AI189" s="499"/>
      <c r="AJ189" s="499"/>
      <c r="AK189" s="499"/>
      <c r="AL189" s="499"/>
      <c r="AM189" s="499"/>
      <c r="AN189" s="499"/>
      <c r="AO189" s="499"/>
      <c r="AP189" s="499"/>
      <c r="AQ189" s="499"/>
      <c r="AR189" s="499"/>
      <c r="AS189" s="499"/>
      <c r="AT189" s="499"/>
      <c r="AU189" s="499"/>
      <c r="AV189" s="499"/>
      <c r="AW189" s="499"/>
      <c r="AX189" s="499"/>
      <c r="AY189" s="499"/>
      <c r="AZ189" s="499"/>
      <c r="BA189" s="499"/>
      <c r="BB189" s="499"/>
      <c r="BC189" s="499"/>
      <c r="BD189" s="499"/>
      <c r="BE189" s="499"/>
      <c r="BF189" s="499"/>
      <c r="BG189" s="499"/>
      <c r="BH189" s="499"/>
      <c r="BI189" s="499"/>
      <c r="BJ189" s="499"/>
      <c r="BK189" s="499"/>
      <c r="BL189" s="499"/>
      <c r="BM189" s="1484"/>
      <c r="BN189" s="1484"/>
    </row>
    <row r="190" spans="1:66" ht="149.25" customHeight="1">
      <c r="A190" s="1377"/>
      <c r="B190" s="1384"/>
      <c r="C190" s="1400"/>
      <c r="D190" s="1393"/>
      <c r="E190" s="1367"/>
      <c r="F190" s="1367"/>
      <c r="G190" s="1367"/>
      <c r="H190" s="1367"/>
      <c r="I190" s="1367"/>
      <c r="J190" s="1374"/>
      <c r="K190" s="657"/>
      <c r="L190" s="658" t="s">
        <v>1121</v>
      </c>
      <c r="M190" s="661" t="s">
        <v>1122</v>
      </c>
      <c r="N190" s="657"/>
      <c r="O190" s="657">
        <v>1</v>
      </c>
      <c r="P190" s="657">
        <v>1</v>
      </c>
      <c r="Q190" s="657"/>
      <c r="R190" s="1517"/>
      <c r="S190" s="1517"/>
      <c r="T190" s="1517"/>
      <c r="U190" s="1517"/>
      <c r="V190" s="1517"/>
      <c r="W190" s="374" t="s">
        <v>819</v>
      </c>
      <c r="X190" s="1486"/>
      <c r="Y190" s="499"/>
      <c r="Z190" s="499"/>
      <c r="AA190" s="499"/>
      <c r="AB190" s="499"/>
      <c r="AC190" s="499"/>
      <c r="AD190" s="499"/>
      <c r="AE190" s="499"/>
      <c r="AF190" s="499"/>
      <c r="AG190" s="499"/>
      <c r="AH190" s="499"/>
      <c r="AI190" s="499"/>
      <c r="AJ190" s="499"/>
      <c r="AK190" s="499"/>
      <c r="AL190" s="499"/>
      <c r="AM190" s="499"/>
      <c r="AN190" s="499"/>
      <c r="AO190" s="499"/>
      <c r="AP190" s="499"/>
      <c r="AQ190" s="499"/>
      <c r="AR190" s="499"/>
      <c r="AS190" s="499"/>
      <c r="AT190" s="499"/>
      <c r="AU190" s="499"/>
      <c r="AV190" s="499"/>
      <c r="AW190" s="499"/>
      <c r="AX190" s="499"/>
      <c r="AY190" s="499"/>
      <c r="AZ190" s="499"/>
      <c r="BA190" s="499"/>
      <c r="BB190" s="499"/>
      <c r="BC190" s="499"/>
      <c r="BD190" s="499"/>
      <c r="BE190" s="499"/>
      <c r="BF190" s="499"/>
      <c r="BG190" s="499"/>
      <c r="BH190" s="499"/>
      <c r="BI190" s="499"/>
      <c r="BJ190" s="499"/>
      <c r="BK190" s="499"/>
      <c r="BL190" s="499"/>
      <c r="BM190" s="1484"/>
      <c r="BN190" s="1484"/>
    </row>
    <row r="191" spans="1:66" ht="92.25" customHeight="1">
      <c r="A191" s="1377"/>
      <c r="B191" s="1384"/>
      <c r="C191" s="1400"/>
      <c r="D191" s="1393"/>
      <c r="E191" s="1367"/>
      <c r="F191" s="1367"/>
      <c r="G191" s="1367"/>
      <c r="H191" s="1367"/>
      <c r="I191" s="1367"/>
      <c r="J191" s="1374"/>
      <c r="K191" s="657"/>
      <c r="L191" s="405" t="s">
        <v>1123</v>
      </c>
      <c r="M191" s="657" t="s">
        <v>1124</v>
      </c>
      <c r="N191" s="657">
        <v>1</v>
      </c>
      <c r="O191" s="657">
        <v>1</v>
      </c>
      <c r="P191" s="657">
        <v>1</v>
      </c>
      <c r="Q191" s="657"/>
      <c r="R191" s="1517"/>
      <c r="S191" s="1517"/>
      <c r="T191" s="1517"/>
      <c r="U191" s="1517"/>
      <c r="V191" s="1517"/>
      <c r="W191" s="374" t="s">
        <v>819</v>
      </c>
      <c r="X191" s="1486"/>
      <c r="Y191" s="499"/>
      <c r="Z191" s="499"/>
      <c r="AA191" s="499"/>
      <c r="AB191" s="499"/>
      <c r="AC191" s="499"/>
      <c r="AD191" s="499"/>
      <c r="AE191" s="499"/>
      <c r="AF191" s="499"/>
      <c r="AG191" s="499"/>
      <c r="AH191" s="499"/>
      <c r="AI191" s="499"/>
      <c r="AJ191" s="499"/>
      <c r="AK191" s="499"/>
      <c r="AL191" s="499"/>
      <c r="AM191" s="499"/>
      <c r="AN191" s="499"/>
      <c r="AO191" s="499"/>
      <c r="AP191" s="499"/>
      <c r="AQ191" s="499"/>
      <c r="AR191" s="499"/>
      <c r="AS191" s="499"/>
      <c r="AT191" s="499"/>
      <c r="AU191" s="499"/>
      <c r="AV191" s="499"/>
      <c r="AW191" s="499"/>
      <c r="AX191" s="499"/>
      <c r="AY191" s="499"/>
      <c r="AZ191" s="499"/>
      <c r="BA191" s="499"/>
      <c r="BB191" s="499"/>
      <c r="BC191" s="499"/>
      <c r="BD191" s="499"/>
      <c r="BE191" s="499"/>
      <c r="BF191" s="499"/>
      <c r="BG191" s="499"/>
      <c r="BH191" s="499"/>
      <c r="BI191" s="499"/>
      <c r="BJ191" s="499"/>
      <c r="BK191" s="499"/>
      <c r="BL191" s="499"/>
      <c r="BM191" s="1484"/>
      <c r="BN191" s="1484"/>
    </row>
    <row r="192" spans="1:66" ht="56.25" customHeight="1">
      <c r="A192" s="1377"/>
      <c r="B192" s="1384"/>
      <c r="C192" s="1400"/>
      <c r="D192" s="1393"/>
      <c r="E192" s="1367"/>
      <c r="F192" s="1367"/>
      <c r="G192" s="1367"/>
      <c r="H192" s="1367"/>
      <c r="I192" s="1367"/>
      <c r="J192" s="1374"/>
      <c r="K192" s="657"/>
      <c r="L192" s="658" t="s">
        <v>1125</v>
      </c>
      <c r="M192" s="657" t="s">
        <v>1126</v>
      </c>
      <c r="N192" s="657">
        <v>1</v>
      </c>
      <c r="O192" s="657">
        <v>1</v>
      </c>
      <c r="P192" s="657">
        <v>1</v>
      </c>
      <c r="Q192" s="657">
        <v>1</v>
      </c>
      <c r="R192" s="1517"/>
      <c r="S192" s="1517"/>
      <c r="T192" s="1517"/>
      <c r="U192" s="1517"/>
      <c r="V192" s="1517"/>
      <c r="W192" s="374" t="s">
        <v>819</v>
      </c>
      <c r="X192" s="1486"/>
      <c r="Y192" s="499"/>
      <c r="Z192" s="499"/>
      <c r="AA192" s="499"/>
      <c r="AB192" s="499"/>
      <c r="AC192" s="499"/>
      <c r="AD192" s="499"/>
      <c r="AE192" s="499"/>
      <c r="AF192" s="499"/>
      <c r="AG192" s="499"/>
      <c r="AH192" s="499"/>
      <c r="AI192" s="499"/>
      <c r="AJ192" s="499"/>
      <c r="AK192" s="499"/>
      <c r="AL192" s="499"/>
      <c r="AM192" s="499"/>
      <c r="AN192" s="499"/>
      <c r="AO192" s="499"/>
      <c r="AP192" s="499"/>
      <c r="AQ192" s="499"/>
      <c r="AR192" s="499"/>
      <c r="AS192" s="499"/>
      <c r="AT192" s="499"/>
      <c r="AU192" s="499"/>
      <c r="AV192" s="499"/>
      <c r="AW192" s="499"/>
      <c r="AX192" s="499"/>
      <c r="AY192" s="499"/>
      <c r="AZ192" s="499"/>
      <c r="BA192" s="499"/>
      <c r="BB192" s="499"/>
      <c r="BC192" s="499"/>
      <c r="BD192" s="499"/>
      <c r="BE192" s="499"/>
      <c r="BF192" s="499"/>
      <c r="BG192" s="499"/>
      <c r="BH192" s="499"/>
      <c r="BI192" s="499"/>
      <c r="BJ192" s="499"/>
      <c r="BK192" s="499"/>
      <c r="BL192" s="499"/>
      <c r="BM192" s="1484"/>
      <c r="BN192" s="1484"/>
    </row>
    <row r="193" spans="1:66" ht="90" customHeight="1">
      <c r="A193" s="1377"/>
      <c r="B193" s="1384"/>
      <c r="C193" s="1400"/>
      <c r="D193" s="1393"/>
      <c r="E193" s="1367"/>
      <c r="F193" s="1367"/>
      <c r="G193" s="1367"/>
      <c r="H193" s="1367"/>
      <c r="I193" s="1367"/>
      <c r="J193" s="1374"/>
      <c r="K193" s="657"/>
      <c r="L193" s="658" t="s">
        <v>1127</v>
      </c>
      <c r="M193" s="657" t="s">
        <v>1128</v>
      </c>
      <c r="N193" s="657"/>
      <c r="O193" s="657">
        <v>1</v>
      </c>
      <c r="P193" s="657">
        <v>1</v>
      </c>
      <c r="Q193" s="657"/>
      <c r="R193" s="1517"/>
      <c r="S193" s="1517"/>
      <c r="T193" s="1517"/>
      <c r="U193" s="1517"/>
      <c r="V193" s="1517"/>
      <c r="W193" s="374" t="s">
        <v>819</v>
      </c>
      <c r="X193" s="450" t="s">
        <v>1555</v>
      </c>
      <c r="Y193" s="643"/>
      <c r="Z193" s="460"/>
      <c r="AA193" s="460"/>
      <c r="AB193" s="460"/>
      <c r="AC193" s="460"/>
      <c r="AD193" s="460"/>
      <c r="AE193" s="460"/>
      <c r="AF193" s="460"/>
      <c r="AG193" s="460"/>
      <c r="AH193" s="460"/>
      <c r="AI193" s="460"/>
      <c r="AJ193" s="460"/>
      <c r="AK193" s="460"/>
      <c r="AL193" s="460">
        <f>150000000-150000000</f>
        <v>0</v>
      </c>
      <c r="AM193" s="460"/>
      <c r="AN193" s="460"/>
      <c r="AO193" s="460"/>
      <c r="AP193" s="460"/>
      <c r="AQ193" s="460"/>
      <c r="AR193" s="460"/>
      <c r="AS193" s="460"/>
      <c r="AT193" s="460"/>
      <c r="AU193" s="460"/>
      <c r="AV193" s="460"/>
      <c r="AW193" s="460"/>
      <c r="AX193" s="460"/>
      <c r="AY193" s="460"/>
      <c r="AZ193" s="460"/>
      <c r="BA193" s="460"/>
      <c r="BB193" s="460"/>
      <c r="BC193" s="460"/>
      <c r="BD193" s="460"/>
      <c r="BE193" s="460"/>
      <c r="BF193" s="460">
        <v>60000000</v>
      </c>
      <c r="BG193" s="460"/>
      <c r="BH193" s="460"/>
      <c r="BI193" s="460"/>
      <c r="BJ193" s="460"/>
      <c r="BK193" s="460"/>
      <c r="BL193" s="460"/>
      <c r="BM193" s="460"/>
      <c r="BN193" s="460">
        <f>SUM(Y193:BM193)</f>
        <v>60000000</v>
      </c>
    </row>
    <row r="194" spans="1:66" ht="88.5" customHeight="1">
      <c r="A194" s="1377"/>
      <c r="B194" s="1384"/>
      <c r="C194" s="1400"/>
      <c r="D194" s="1393"/>
      <c r="E194" s="1367"/>
      <c r="F194" s="1367"/>
      <c r="G194" s="1367"/>
      <c r="H194" s="1367"/>
      <c r="I194" s="1367"/>
      <c r="J194" s="1374"/>
      <c r="K194" s="666"/>
      <c r="L194" s="658" t="s">
        <v>1129</v>
      </c>
      <c r="M194" s="661" t="s">
        <v>1130</v>
      </c>
      <c r="N194" s="657">
        <v>1</v>
      </c>
      <c r="O194" s="657">
        <v>1</v>
      </c>
      <c r="P194" s="657">
        <v>1</v>
      </c>
      <c r="Q194" s="657">
        <v>1</v>
      </c>
      <c r="R194" s="1517"/>
      <c r="S194" s="1517"/>
      <c r="T194" s="1517"/>
      <c r="U194" s="1517"/>
      <c r="V194" s="1517"/>
      <c r="W194" s="374" t="s">
        <v>819</v>
      </c>
      <c r="X194" s="450" t="s">
        <v>1556</v>
      </c>
      <c r="Y194" s="499"/>
      <c r="Z194" s="460"/>
      <c r="AA194" s="460"/>
      <c r="AB194" s="460"/>
      <c r="AC194" s="460"/>
      <c r="AD194" s="460"/>
      <c r="AE194" s="460"/>
      <c r="AF194" s="460"/>
      <c r="AG194" s="460"/>
      <c r="AH194" s="460"/>
      <c r="AI194" s="460"/>
      <c r="AJ194" s="460"/>
      <c r="AK194" s="460"/>
      <c r="AL194" s="460">
        <v>140000000</v>
      </c>
      <c r="AM194" s="460"/>
      <c r="AN194" s="460"/>
      <c r="AO194" s="460"/>
      <c r="AP194" s="460"/>
      <c r="AQ194" s="460"/>
      <c r="AR194" s="460"/>
      <c r="AS194" s="460"/>
      <c r="AT194" s="460"/>
      <c r="AU194" s="460"/>
      <c r="AV194" s="460"/>
      <c r="AW194" s="460"/>
      <c r="AX194" s="460"/>
      <c r="AY194" s="460"/>
      <c r="AZ194" s="460"/>
      <c r="BA194" s="460"/>
      <c r="BB194" s="460"/>
      <c r="BC194" s="460"/>
      <c r="BD194" s="460"/>
      <c r="BE194" s="460"/>
      <c r="BF194" s="460"/>
      <c r="BG194" s="460"/>
      <c r="BH194" s="460"/>
      <c r="BI194" s="460"/>
      <c r="BJ194" s="460"/>
      <c r="BK194" s="460"/>
      <c r="BL194" s="460"/>
      <c r="BM194" s="460"/>
      <c r="BN194" s="460">
        <f>SUM(Y194:BM194)</f>
        <v>140000000</v>
      </c>
    </row>
    <row r="195" spans="1:66" ht="76.5" customHeight="1">
      <c r="A195" s="1377"/>
      <c r="B195" s="1384"/>
      <c r="C195" s="1400"/>
      <c r="D195" s="1393"/>
      <c r="E195" s="1367"/>
      <c r="F195" s="1367"/>
      <c r="G195" s="1367"/>
      <c r="H195" s="1367"/>
      <c r="I195" s="1367"/>
      <c r="J195" s="1374"/>
      <c r="K195" s="666"/>
      <c r="L195" s="658" t="s">
        <v>1131</v>
      </c>
      <c r="M195" s="657" t="s">
        <v>1132</v>
      </c>
      <c r="N195" s="657"/>
      <c r="O195" s="657">
        <v>2</v>
      </c>
      <c r="P195" s="657">
        <v>1</v>
      </c>
      <c r="Q195" s="657">
        <v>1</v>
      </c>
      <c r="R195" s="1517"/>
      <c r="S195" s="1517"/>
      <c r="T195" s="1517"/>
      <c r="U195" s="1517"/>
      <c r="V195" s="1517"/>
      <c r="W195" s="374" t="s">
        <v>819</v>
      </c>
      <c r="X195" s="1450" t="s">
        <v>1577</v>
      </c>
      <c r="Y195" s="499"/>
      <c r="Z195" s="1437"/>
      <c r="AA195" s="1437"/>
      <c r="AB195" s="1437"/>
      <c r="AC195" s="1437"/>
      <c r="AD195" s="1437"/>
      <c r="AE195" s="1437"/>
      <c r="AF195" s="1437"/>
      <c r="AG195" s="1437"/>
      <c r="AH195" s="1437"/>
      <c r="AI195" s="1437"/>
      <c r="AJ195" s="1437"/>
      <c r="AK195" s="1445"/>
      <c r="AL195" s="1437">
        <v>50000000</v>
      </c>
      <c r="AM195" s="1437"/>
      <c r="AN195" s="1437"/>
      <c r="AO195" s="460"/>
      <c r="AP195" s="1437"/>
      <c r="AQ195" s="1437"/>
      <c r="AR195" s="464"/>
      <c r="AS195" s="1437"/>
      <c r="AT195" s="1437"/>
      <c r="AU195" s="1437"/>
      <c r="AV195" s="1437"/>
      <c r="AW195" s="1437"/>
      <c r="AX195" s="1437"/>
      <c r="AY195" s="1437"/>
      <c r="AZ195" s="1437">
        <v>5000000</v>
      </c>
      <c r="BA195" s="1445"/>
      <c r="BB195" s="1437"/>
      <c r="BC195" s="1437"/>
      <c r="BD195" s="1437">
        <v>2000000</v>
      </c>
      <c r="BE195" s="1437"/>
      <c r="BF195" s="1437">
        <v>149920825</v>
      </c>
      <c r="BG195" s="1437"/>
      <c r="BH195" s="1437"/>
      <c r="BI195" s="1437"/>
      <c r="BJ195" s="1437"/>
      <c r="BK195" s="1437"/>
      <c r="BL195" s="1437"/>
      <c r="BM195" s="1437"/>
      <c r="BN195" s="1437">
        <f>SUM(Y195:BM203)</f>
        <v>206920825</v>
      </c>
    </row>
    <row r="196" spans="1:66" ht="56.25" customHeight="1">
      <c r="A196" s="1377"/>
      <c r="B196" s="1384"/>
      <c r="C196" s="1400"/>
      <c r="D196" s="1393"/>
      <c r="E196" s="1367"/>
      <c r="F196" s="1367"/>
      <c r="G196" s="1367"/>
      <c r="H196" s="1367"/>
      <c r="I196" s="1367"/>
      <c r="J196" s="1374"/>
      <c r="K196" s="666"/>
      <c r="L196" s="658" t="s">
        <v>1133</v>
      </c>
      <c r="M196" s="657" t="s">
        <v>1134</v>
      </c>
      <c r="N196" s="657"/>
      <c r="O196" s="662">
        <v>0.1</v>
      </c>
      <c r="P196" s="662">
        <v>0.05</v>
      </c>
      <c r="Q196" s="662">
        <v>0.05</v>
      </c>
      <c r="R196" s="1517"/>
      <c r="S196" s="1517"/>
      <c r="T196" s="1517"/>
      <c r="U196" s="1517"/>
      <c r="V196" s="1517"/>
      <c r="W196" s="374" t="s">
        <v>819</v>
      </c>
      <c r="X196" s="1450"/>
      <c r="Y196" s="499"/>
      <c r="Z196" s="1437"/>
      <c r="AA196" s="1437"/>
      <c r="AB196" s="1437"/>
      <c r="AC196" s="1437"/>
      <c r="AD196" s="1437"/>
      <c r="AE196" s="1437"/>
      <c r="AF196" s="1437"/>
      <c r="AG196" s="1437"/>
      <c r="AH196" s="1437"/>
      <c r="AI196" s="1437"/>
      <c r="AJ196" s="1437"/>
      <c r="AK196" s="1446"/>
      <c r="AL196" s="1437"/>
      <c r="AM196" s="1437"/>
      <c r="AN196" s="1437"/>
      <c r="AO196" s="460"/>
      <c r="AP196" s="1437"/>
      <c r="AQ196" s="1437"/>
      <c r="AR196" s="499"/>
      <c r="AS196" s="1437"/>
      <c r="AT196" s="1437"/>
      <c r="AU196" s="1437"/>
      <c r="AV196" s="1437"/>
      <c r="AW196" s="1437"/>
      <c r="AX196" s="1437"/>
      <c r="AY196" s="1437"/>
      <c r="AZ196" s="1437"/>
      <c r="BA196" s="1446"/>
      <c r="BB196" s="1437"/>
      <c r="BC196" s="1437"/>
      <c r="BD196" s="1437"/>
      <c r="BE196" s="1437"/>
      <c r="BF196" s="1437"/>
      <c r="BG196" s="1437"/>
      <c r="BH196" s="1437"/>
      <c r="BI196" s="1437"/>
      <c r="BJ196" s="1437"/>
      <c r="BK196" s="1437"/>
      <c r="BL196" s="1437"/>
      <c r="BM196" s="1437"/>
      <c r="BN196" s="1437"/>
    </row>
    <row r="197" spans="1:66" ht="105" customHeight="1">
      <c r="A197" s="1377"/>
      <c r="B197" s="1384"/>
      <c r="C197" s="1400"/>
      <c r="D197" s="1393"/>
      <c r="E197" s="1367"/>
      <c r="F197" s="1367"/>
      <c r="G197" s="1367"/>
      <c r="H197" s="1367"/>
      <c r="I197" s="1367"/>
      <c r="J197" s="1374"/>
      <c r="K197" s="666"/>
      <c r="L197" s="658" t="s">
        <v>1135</v>
      </c>
      <c r="M197" s="657" t="s">
        <v>1136</v>
      </c>
      <c r="N197" s="657"/>
      <c r="O197" s="657">
        <v>1</v>
      </c>
      <c r="P197" s="657"/>
      <c r="Q197" s="657"/>
      <c r="R197" s="1517"/>
      <c r="S197" s="1517"/>
      <c r="T197" s="1517"/>
      <c r="U197" s="1517"/>
      <c r="V197" s="1517"/>
      <c r="W197" s="374" t="s">
        <v>819</v>
      </c>
      <c r="X197" s="1450"/>
      <c r="Y197" s="499"/>
      <c r="Z197" s="1437"/>
      <c r="AA197" s="1437"/>
      <c r="AB197" s="1437"/>
      <c r="AC197" s="1437"/>
      <c r="AD197" s="1437"/>
      <c r="AE197" s="1437"/>
      <c r="AF197" s="1437"/>
      <c r="AG197" s="1437"/>
      <c r="AH197" s="1437"/>
      <c r="AI197" s="1437"/>
      <c r="AJ197" s="1437"/>
      <c r="AK197" s="1446"/>
      <c r="AL197" s="1437"/>
      <c r="AM197" s="1437"/>
      <c r="AN197" s="1437"/>
      <c r="AO197" s="460"/>
      <c r="AP197" s="1437"/>
      <c r="AQ197" s="1437"/>
      <c r="AR197" s="499"/>
      <c r="AS197" s="1437"/>
      <c r="AT197" s="1437"/>
      <c r="AU197" s="1437"/>
      <c r="AV197" s="1437"/>
      <c r="AW197" s="1437"/>
      <c r="AX197" s="1437"/>
      <c r="AY197" s="1437"/>
      <c r="AZ197" s="1437"/>
      <c r="BA197" s="1446"/>
      <c r="BB197" s="1437"/>
      <c r="BC197" s="1437"/>
      <c r="BD197" s="1437"/>
      <c r="BE197" s="1437"/>
      <c r="BF197" s="1437"/>
      <c r="BG197" s="1437"/>
      <c r="BH197" s="1437"/>
      <c r="BI197" s="1437"/>
      <c r="BJ197" s="1437"/>
      <c r="BK197" s="1437"/>
      <c r="BL197" s="1437"/>
      <c r="BM197" s="1437"/>
      <c r="BN197" s="1437"/>
    </row>
    <row r="198" spans="1:66" ht="123" customHeight="1">
      <c r="A198" s="1377"/>
      <c r="B198" s="1384"/>
      <c r="C198" s="1400"/>
      <c r="D198" s="1393"/>
      <c r="E198" s="1367"/>
      <c r="F198" s="1367"/>
      <c r="G198" s="1367"/>
      <c r="H198" s="1367"/>
      <c r="I198" s="1367"/>
      <c r="J198" s="1374"/>
      <c r="K198" s="666"/>
      <c r="L198" s="658" t="s">
        <v>1137</v>
      </c>
      <c r="M198" s="661" t="s">
        <v>1138</v>
      </c>
      <c r="N198" s="657"/>
      <c r="O198" s="662">
        <v>0.05</v>
      </c>
      <c r="P198" s="662">
        <v>0.05</v>
      </c>
      <c r="Q198" s="662">
        <v>0.05</v>
      </c>
      <c r="R198" s="1517"/>
      <c r="S198" s="1517"/>
      <c r="T198" s="1517"/>
      <c r="U198" s="1517"/>
      <c r="V198" s="1517"/>
      <c r="W198" s="374" t="s">
        <v>819</v>
      </c>
      <c r="X198" s="1450"/>
      <c r="Y198" s="499"/>
      <c r="Z198" s="1437"/>
      <c r="AA198" s="1437"/>
      <c r="AB198" s="1437"/>
      <c r="AC198" s="1437"/>
      <c r="AD198" s="1437"/>
      <c r="AE198" s="1437"/>
      <c r="AF198" s="1437"/>
      <c r="AG198" s="1437"/>
      <c r="AH198" s="1437"/>
      <c r="AI198" s="1437"/>
      <c r="AJ198" s="1437"/>
      <c r="AK198" s="1446"/>
      <c r="AL198" s="1437"/>
      <c r="AM198" s="1437"/>
      <c r="AN198" s="1437"/>
      <c r="AO198" s="460"/>
      <c r="AP198" s="1437"/>
      <c r="AQ198" s="1437"/>
      <c r="AR198" s="499"/>
      <c r="AS198" s="1437"/>
      <c r="AT198" s="1437"/>
      <c r="AU198" s="1437"/>
      <c r="AV198" s="1437"/>
      <c r="AW198" s="1437"/>
      <c r="AX198" s="1437"/>
      <c r="AY198" s="1437"/>
      <c r="AZ198" s="1437"/>
      <c r="BA198" s="1446"/>
      <c r="BB198" s="1437"/>
      <c r="BC198" s="1437"/>
      <c r="BD198" s="1437"/>
      <c r="BE198" s="1437"/>
      <c r="BF198" s="1437"/>
      <c r="BG198" s="1437"/>
      <c r="BH198" s="1437"/>
      <c r="BI198" s="1437"/>
      <c r="BJ198" s="1437"/>
      <c r="BK198" s="1437"/>
      <c r="BL198" s="1437"/>
      <c r="BM198" s="1437"/>
      <c r="BN198" s="1437"/>
    </row>
    <row r="199" spans="1:66" ht="72" customHeight="1" hidden="1">
      <c r="A199" s="1377"/>
      <c r="B199" s="1384"/>
      <c r="C199" s="1400"/>
      <c r="D199" s="1393"/>
      <c r="E199" s="1367"/>
      <c r="F199" s="1367"/>
      <c r="G199" s="1367"/>
      <c r="H199" s="1367"/>
      <c r="I199" s="1367"/>
      <c r="J199" s="1374"/>
      <c r="K199" s="666"/>
      <c r="L199" s="658" t="s">
        <v>1139</v>
      </c>
      <c r="M199" s="657" t="s">
        <v>1140</v>
      </c>
      <c r="N199" s="657"/>
      <c r="O199" s="657"/>
      <c r="P199" s="657">
        <v>1</v>
      </c>
      <c r="Q199" s="657"/>
      <c r="R199" s="1517"/>
      <c r="S199" s="1517"/>
      <c r="T199" s="1517"/>
      <c r="U199" s="1517"/>
      <c r="V199" s="1517"/>
      <c r="W199" s="374" t="s">
        <v>819</v>
      </c>
      <c r="X199" s="1450"/>
      <c r="Y199" s="499"/>
      <c r="Z199" s="1437"/>
      <c r="AA199" s="1437"/>
      <c r="AB199" s="1437"/>
      <c r="AC199" s="1437"/>
      <c r="AD199" s="1437"/>
      <c r="AE199" s="1437"/>
      <c r="AF199" s="1437"/>
      <c r="AG199" s="1437"/>
      <c r="AH199" s="1437"/>
      <c r="AI199" s="1437"/>
      <c r="AJ199" s="1437"/>
      <c r="AK199" s="1446"/>
      <c r="AL199" s="1437"/>
      <c r="AM199" s="1437"/>
      <c r="AN199" s="1437"/>
      <c r="AO199" s="460"/>
      <c r="AP199" s="1437"/>
      <c r="AQ199" s="1437"/>
      <c r="AR199" s="499"/>
      <c r="AS199" s="1437"/>
      <c r="AT199" s="1437"/>
      <c r="AU199" s="1437"/>
      <c r="AV199" s="1437"/>
      <c r="AW199" s="1437"/>
      <c r="AX199" s="1437"/>
      <c r="AY199" s="1437"/>
      <c r="AZ199" s="1437"/>
      <c r="BA199" s="1446"/>
      <c r="BB199" s="1437"/>
      <c r="BC199" s="1437"/>
      <c r="BD199" s="1437"/>
      <c r="BE199" s="1437"/>
      <c r="BF199" s="1437"/>
      <c r="BG199" s="1437"/>
      <c r="BH199" s="1437"/>
      <c r="BI199" s="1437"/>
      <c r="BJ199" s="1437"/>
      <c r="BK199" s="1437"/>
      <c r="BL199" s="1437"/>
      <c r="BM199" s="1437"/>
      <c r="BN199" s="1437"/>
    </row>
    <row r="200" spans="1:66" ht="69.75" customHeight="1">
      <c r="A200" s="1377"/>
      <c r="B200" s="1384"/>
      <c r="C200" s="1400"/>
      <c r="D200" s="1393"/>
      <c r="E200" s="1367"/>
      <c r="F200" s="1367"/>
      <c r="G200" s="1367"/>
      <c r="H200" s="1367"/>
      <c r="I200" s="1367"/>
      <c r="J200" s="1374"/>
      <c r="K200" s="666"/>
      <c r="L200" s="658" t="s">
        <v>1141</v>
      </c>
      <c r="M200" s="657" t="s">
        <v>1142</v>
      </c>
      <c r="N200" s="657"/>
      <c r="O200" s="657">
        <v>1</v>
      </c>
      <c r="P200" s="657">
        <v>1</v>
      </c>
      <c r="Q200" s="657"/>
      <c r="R200" s="1517"/>
      <c r="S200" s="1517"/>
      <c r="T200" s="1517"/>
      <c r="U200" s="1517"/>
      <c r="V200" s="1517"/>
      <c r="W200" s="374" t="s">
        <v>819</v>
      </c>
      <c r="X200" s="1450"/>
      <c r="Y200" s="499"/>
      <c r="Z200" s="1437"/>
      <c r="AA200" s="1437"/>
      <c r="AB200" s="1437"/>
      <c r="AC200" s="1437"/>
      <c r="AD200" s="1437"/>
      <c r="AE200" s="1437"/>
      <c r="AF200" s="1437"/>
      <c r="AG200" s="1437"/>
      <c r="AH200" s="1437"/>
      <c r="AI200" s="1437"/>
      <c r="AJ200" s="1437"/>
      <c r="AK200" s="1446"/>
      <c r="AL200" s="1437"/>
      <c r="AM200" s="1437"/>
      <c r="AN200" s="1437"/>
      <c r="AO200" s="460"/>
      <c r="AP200" s="1437"/>
      <c r="AQ200" s="1437"/>
      <c r="AR200" s="499"/>
      <c r="AS200" s="1437"/>
      <c r="AT200" s="1437"/>
      <c r="AU200" s="1437"/>
      <c r="AV200" s="1437"/>
      <c r="AW200" s="1437"/>
      <c r="AX200" s="1437"/>
      <c r="AY200" s="1437"/>
      <c r="AZ200" s="1437"/>
      <c r="BA200" s="1446"/>
      <c r="BB200" s="1437"/>
      <c r="BC200" s="1437"/>
      <c r="BD200" s="1437"/>
      <c r="BE200" s="1437"/>
      <c r="BF200" s="1437"/>
      <c r="BG200" s="1437"/>
      <c r="BH200" s="1437"/>
      <c r="BI200" s="1437"/>
      <c r="BJ200" s="1437"/>
      <c r="BK200" s="1437"/>
      <c r="BL200" s="1437"/>
      <c r="BM200" s="1437"/>
      <c r="BN200" s="1437"/>
    </row>
    <row r="201" spans="1:66" ht="75" customHeight="1">
      <c r="A201" s="1377"/>
      <c r="B201" s="1384"/>
      <c r="C201" s="1400"/>
      <c r="D201" s="1393"/>
      <c r="E201" s="1367"/>
      <c r="F201" s="1367"/>
      <c r="G201" s="1367"/>
      <c r="H201" s="1367"/>
      <c r="I201" s="1367"/>
      <c r="J201" s="1374"/>
      <c r="K201" s="666"/>
      <c r="L201" s="658" t="s">
        <v>1143</v>
      </c>
      <c r="M201" s="657" t="s">
        <v>1144</v>
      </c>
      <c r="N201" s="657"/>
      <c r="O201" s="657">
        <v>1</v>
      </c>
      <c r="P201" s="657">
        <v>1</v>
      </c>
      <c r="Q201" s="657"/>
      <c r="R201" s="1517"/>
      <c r="S201" s="1517"/>
      <c r="T201" s="1517"/>
      <c r="U201" s="1517"/>
      <c r="V201" s="1517"/>
      <c r="W201" s="374" t="s">
        <v>819</v>
      </c>
      <c r="X201" s="1450"/>
      <c r="Y201" s="499"/>
      <c r="Z201" s="1437"/>
      <c r="AA201" s="1437"/>
      <c r="AB201" s="1437"/>
      <c r="AC201" s="1437"/>
      <c r="AD201" s="1437"/>
      <c r="AE201" s="1437"/>
      <c r="AF201" s="1437"/>
      <c r="AG201" s="1437"/>
      <c r="AH201" s="1437"/>
      <c r="AI201" s="1437"/>
      <c r="AJ201" s="1437"/>
      <c r="AK201" s="1446"/>
      <c r="AL201" s="1437"/>
      <c r="AM201" s="1437"/>
      <c r="AN201" s="1437"/>
      <c r="AO201" s="460"/>
      <c r="AP201" s="1437"/>
      <c r="AQ201" s="1437"/>
      <c r="AR201" s="499"/>
      <c r="AS201" s="1437"/>
      <c r="AT201" s="1437"/>
      <c r="AU201" s="1437"/>
      <c r="AV201" s="1437"/>
      <c r="AW201" s="1437"/>
      <c r="AX201" s="1437"/>
      <c r="AY201" s="1437"/>
      <c r="AZ201" s="1437"/>
      <c r="BA201" s="1446"/>
      <c r="BB201" s="1437"/>
      <c r="BC201" s="1437"/>
      <c r="BD201" s="1437"/>
      <c r="BE201" s="1437"/>
      <c r="BF201" s="1437"/>
      <c r="BG201" s="1437"/>
      <c r="BH201" s="1437"/>
      <c r="BI201" s="1437"/>
      <c r="BJ201" s="1437"/>
      <c r="BK201" s="1437"/>
      <c r="BL201" s="1437"/>
      <c r="BM201" s="1437"/>
      <c r="BN201" s="1437"/>
    </row>
    <row r="202" spans="1:66" ht="129.75" customHeight="1">
      <c r="A202" s="1377"/>
      <c r="B202" s="1384"/>
      <c r="C202" s="1400"/>
      <c r="D202" s="1393"/>
      <c r="E202" s="1367"/>
      <c r="F202" s="1367"/>
      <c r="G202" s="1367"/>
      <c r="H202" s="1367"/>
      <c r="I202" s="1367"/>
      <c r="J202" s="1374"/>
      <c r="K202" s="666"/>
      <c r="L202" s="658" t="s">
        <v>1145</v>
      </c>
      <c r="M202" s="661" t="s">
        <v>1146</v>
      </c>
      <c r="N202" s="657"/>
      <c r="O202" s="657">
        <v>1</v>
      </c>
      <c r="P202" s="657">
        <v>1</v>
      </c>
      <c r="Q202" s="657"/>
      <c r="R202" s="1517"/>
      <c r="S202" s="1517"/>
      <c r="T202" s="1517"/>
      <c r="U202" s="1517"/>
      <c r="V202" s="1517"/>
      <c r="W202" s="374" t="s">
        <v>819</v>
      </c>
      <c r="X202" s="1450"/>
      <c r="Y202" s="499"/>
      <c r="Z202" s="1437"/>
      <c r="AA202" s="1437"/>
      <c r="AB202" s="1437"/>
      <c r="AC202" s="1437"/>
      <c r="AD202" s="1437"/>
      <c r="AE202" s="1437"/>
      <c r="AF202" s="1437"/>
      <c r="AG202" s="1437"/>
      <c r="AH202" s="1437"/>
      <c r="AI202" s="1437"/>
      <c r="AJ202" s="1437"/>
      <c r="AK202" s="1446"/>
      <c r="AL202" s="1437"/>
      <c r="AM202" s="1437"/>
      <c r="AN202" s="1437"/>
      <c r="AO202" s="460"/>
      <c r="AP202" s="1437"/>
      <c r="AQ202" s="1437"/>
      <c r="AR202" s="499"/>
      <c r="AS202" s="1437"/>
      <c r="AT202" s="1437"/>
      <c r="AU202" s="1437"/>
      <c r="AV202" s="1437"/>
      <c r="AW202" s="1437"/>
      <c r="AX202" s="1437"/>
      <c r="AY202" s="1437"/>
      <c r="AZ202" s="1437"/>
      <c r="BA202" s="1446"/>
      <c r="BB202" s="1437"/>
      <c r="BC202" s="1437"/>
      <c r="BD202" s="1437"/>
      <c r="BE202" s="1437"/>
      <c r="BF202" s="1437"/>
      <c r="BG202" s="1437"/>
      <c r="BH202" s="1437"/>
      <c r="BI202" s="1437"/>
      <c r="BJ202" s="1437"/>
      <c r="BK202" s="1437"/>
      <c r="BL202" s="1437"/>
      <c r="BM202" s="1437"/>
      <c r="BN202" s="1437"/>
    </row>
    <row r="203" spans="1:66" ht="120" customHeight="1">
      <c r="A203" s="1377"/>
      <c r="B203" s="1384"/>
      <c r="C203" s="1400"/>
      <c r="D203" s="1394"/>
      <c r="E203" s="1367"/>
      <c r="F203" s="1367"/>
      <c r="G203" s="1367"/>
      <c r="H203" s="1367"/>
      <c r="I203" s="1367"/>
      <c r="J203" s="1374"/>
      <c r="K203" s="666"/>
      <c r="L203" s="658" t="s">
        <v>1147</v>
      </c>
      <c r="M203" s="657" t="s">
        <v>1148</v>
      </c>
      <c r="N203" s="657">
        <v>1</v>
      </c>
      <c r="O203" s="657">
        <v>1</v>
      </c>
      <c r="P203" s="657">
        <v>1</v>
      </c>
      <c r="Q203" s="657">
        <v>1</v>
      </c>
      <c r="R203" s="1518"/>
      <c r="S203" s="1518"/>
      <c r="T203" s="1518"/>
      <c r="U203" s="1518"/>
      <c r="V203" s="1518"/>
      <c r="W203" s="374" t="s">
        <v>819</v>
      </c>
      <c r="X203" s="1461"/>
      <c r="Y203" s="465"/>
      <c r="Z203" s="1454"/>
      <c r="AA203" s="1454"/>
      <c r="AB203" s="1454"/>
      <c r="AC203" s="1454"/>
      <c r="AD203" s="1454"/>
      <c r="AE203" s="1454"/>
      <c r="AF203" s="1454"/>
      <c r="AG203" s="1454"/>
      <c r="AH203" s="1454"/>
      <c r="AI203" s="1454"/>
      <c r="AJ203" s="1454"/>
      <c r="AK203" s="1363"/>
      <c r="AL203" s="1454"/>
      <c r="AM203" s="1454"/>
      <c r="AN203" s="1454"/>
      <c r="AO203" s="460"/>
      <c r="AP203" s="1454"/>
      <c r="AQ203" s="1454"/>
      <c r="AR203" s="465"/>
      <c r="AS203" s="1454"/>
      <c r="AT203" s="1454"/>
      <c r="AU203" s="1454"/>
      <c r="AV203" s="1454"/>
      <c r="AW203" s="1454"/>
      <c r="AX203" s="1454"/>
      <c r="AY203" s="1454"/>
      <c r="AZ203" s="1454"/>
      <c r="BA203" s="1363"/>
      <c r="BB203" s="1454"/>
      <c r="BC203" s="1454"/>
      <c r="BD203" s="1454"/>
      <c r="BE203" s="1454"/>
      <c r="BF203" s="1454"/>
      <c r="BG203" s="1454"/>
      <c r="BH203" s="1454"/>
      <c r="BI203" s="1454"/>
      <c r="BJ203" s="1454"/>
      <c r="BK203" s="1454"/>
      <c r="BL203" s="1454"/>
      <c r="BM203" s="1454"/>
      <c r="BN203" s="1454"/>
    </row>
    <row r="204" spans="1:68" ht="28.5" customHeight="1">
      <c r="A204" s="1377"/>
      <c r="B204" s="1384"/>
      <c r="C204" s="421"/>
      <c r="D204" s="1462" t="s">
        <v>1475</v>
      </c>
      <c r="E204" s="1463"/>
      <c r="F204" s="1463"/>
      <c r="G204" s="1463"/>
      <c r="H204" s="1463"/>
      <c r="I204" s="1463"/>
      <c r="J204" s="1463"/>
      <c r="K204" s="1463"/>
      <c r="L204" s="1463"/>
      <c r="M204" s="1463"/>
      <c r="N204" s="1463"/>
      <c r="O204" s="1463"/>
      <c r="P204" s="1463"/>
      <c r="Q204" s="1463"/>
      <c r="R204" s="1463"/>
      <c r="S204" s="1463"/>
      <c r="T204" s="1463"/>
      <c r="U204" s="1463"/>
      <c r="V204" s="1463"/>
      <c r="W204" s="1463"/>
      <c r="X204" s="1464"/>
      <c r="Y204" s="462">
        <f>SUM(Y187:Y203)</f>
        <v>0</v>
      </c>
      <c r="Z204" s="462">
        <f aca="true" t="shared" si="21" ref="Z204:BM204">SUM(Z187:Z203)</f>
        <v>0</v>
      </c>
      <c r="AA204" s="462">
        <f t="shared" si="21"/>
        <v>0</v>
      </c>
      <c r="AB204" s="462">
        <f t="shared" si="21"/>
        <v>0</v>
      </c>
      <c r="AC204" s="462">
        <f t="shared" si="21"/>
        <v>0</v>
      </c>
      <c r="AD204" s="462">
        <f t="shared" si="21"/>
        <v>0</v>
      </c>
      <c r="AE204" s="462">
        <f t="shared" si="21"/>
        <v>0</v>
      </c>
      <c r="AF204" s="462">
        <f t="shared" si="21"/>
        <v>0</v>
      </c>
      <c r="AG204" s="462">
        <f t="shared" si="21"/>
        <v>0</v>
      </c>
      <c r="AH204" s="462">
        <f t="shared" si="21"/>
        <v>0</v>
      </c>
      <c r="AI204" s="462">
        <f t="shared" si="21"/>
        <v>0</v>
      </c>
      <c r="AJ204" s="462">
        <f t="shared" si="21"/>
        <v>0</v>
      </c>
      <c r="AK204" s="462">
        <f t="shared" si="21"/>
        <v>0</v>
      </c>
      <c r="AL204" s="462">
        <f t="shared" si="21"/>
        <v>190000000</v>
      </c>
      <c r="AM204" s="462">
        <f t="shared" si="21"/>
        <v>0</v>
      </c>
      <c r="AN204" s="462">
        <f t="shared" si="21"/>
        <v>0</v>
      </c>
      <c r="AO204" s="462">
        <f t="shared" si="21"/>
        <v>0</v>
      </c>
      <c r="AP204" s="462">
        <f t="shared" si="21"/>
        <v>0</v>
      </c>
      <c r="AQ204" s="462">
        <f t="shared" si="21"/>
        <v>0</v>
      </c>
      <c r="AR204" s="462">
        <f t="shared" si="21"/>
        <v>0</v>
      </c>
      <c r="AS204" s="462">
        <f t="shared" si="21"/>
        <v>0</v>
      </c>
      <c r="AT204" s="462">
        <f t="shared" si="21"/>
        <v>0</v>
      </c>
      <c r="AU204" s="462">
        <f t="shared" si="21"/>
        <v>0</v>
      </c>
      <c r="AV204" s="462">
        <f t="shared" si="21"/>
        <v>0</v>
      </c>
      <c r="AW204" s="462">
        <f t="shared" si="21"/>
        <v>0</v>
      </c>
      <c r="AX204" s="462">
        <f t="shared" si="21"/>
        <v>0</v>
      </c>
      <c r="AY204" s="462">
        <f t="shared" si="21"/>
        <v>0</v>
      </c>
      <c r="AZ204" s="462">
        <f t="shared" si="21"/>
        <v>5000000</v>
      </c>
      <c r="BA204" s="462">
        <f t="shared" si="21"/>
        <v>0</v>
      </c>
      <c r="BB204" s="462">
        <f t="shared" si="21"/>
        <v>0</v>
      </c>
      <c r="BC204" s="462">
        <f t="shared" si="21"/>
        <v>0</v>
      </c>
      <c r="BD204" s="462">
        <f t="shared" si="21"/>
        <v>2000000</v>
      </c>
      <c r="BE204" s="462">
        <f t="shared" si="21"/>
        <v>0</v>
      </c>
      <c r="BF204" s="462">
        <f t="shared" si="21"/>
        <v>309920825</v>
      </c>
      <c r="BG204" s="462">
        <f t="shared" si="21"/>
        <v>0</v>
      </c>
      <c r="BH204" s="462">
        <f t="shared" si="21"/>
        <v>0</v>
      </c>
      <c r="BI204" s="462">
        <f t="shared" si="21"/>
        <v>0</v>
      </c>
      <c r="BJ204" s="462">
        <f t="shared" si="21"/>
        <v>0</v>
      </c>
      <c r="BK204" s="462">
        <f t="shared" si="21"/>
        <v>0</v>
      </c>
      <c r="BL204" s="462">
        <f t="shared" si="21"/>
        <v>0</v>
      </c>
      <c r="BM204" s="462">
        <f t="shared" si="21"/>
        <v>0</v>
      </c>
      <c r="BN204" s="462">
        <f>SUM(BN187:BN203)</f>
        <v>506920825</v>
      </c>
      <c r="BO204" s="412" t="s">
        <v>1616</v>
      </c>
      <c r="BP204" s="412">
        <v>190000000</v>
      </c>
    </row>
    <row r="205" spans="1:66" ht="79.5" customHeight="1">
      <c r="A205" s="1377"/>
      <c r="B205" s="1384"/>
      <c r="C205" s="1376">
        <v>15</v>
      </c>
      <c r="D205" s="1362" t="s">
        <v>1149</v>
      </c>
      <c r="E205" s="1383" t="s">
        <v>1150</v>
      </c>
      <c r="F205" s="1383" t="s">
        <v>1151</v>
      </c>
      <c r="G205" s="1383" t="s">
        <v>1152</v>
      </c>
      <c r="H205" s="365"/>
      <c r="I205" s="1376">
        <v>8</v>
      </c>
      <c r="J205" s="1331" t="s">
        <v>1153</v>
      </c>
      <c r="K205" s="666"/>
      <c r="L205" s="397" t="s">
        <v>1154</v>
      </c>
      <c r="M205" s="655" t="s">
        <v>1155</v>
      </c>
      <c r="N205" s="367"/>
      <c r="O205" s="381">
        <v>1000</v>
      </c>
      <c r="P205" s="655">
        <v>500</v>
      </c>
      <c r="Q205" s="367">
        <v>300</v>
      </c>
      <c r="R205" s="1509">
        <v>65500000</v>
      </c>
      <c r="S205" s="1509">
        <v>15250000</v>
      </c>
      <c r="T205" s="1509">
        <v>7100000</v>
      </c>
      <c r="U205" s="1509">
        <v>3200000</v>
      </c>
      <c r="V205" s="1509">
        <v>91050000</v>
      </c>
      <c r="W205" s="391" t="s">
        <v>819</v>
      </c>
      <c r="X205" s="444" t="s">
        <v>1591</v>
      </c>
      <c r="Y205" s="460"/>
      <c r="Z205" s="460"/>
      <c r="AA205" s="460"/>
      <c r="AB205" s="460"/>
      <c r="AC205" s="460"/>
      <c r="AD205" s="460"/>
      <c r="AE205" s="460"/>
      <c r="AF205" s="460"/>
      <c r="AG205" s="460"/>
      <c r="AH205" s="460"/>
      <c r="AI205" s="460"/>
      <c r="AJ205" s="460"/>
      <c r="AK205" s="460"/>
      <c r="AL205" s="460">
        <f>50000000+150000000+50000000+50000000-300000000</f>
        <v>0</v>
      </c>
      <c r="AM205" s="460">
        <v>55118432985</v>
      </c>
      <c r="AN205" s="460"/>
      <c r="AO205" s="460"/>
      <c r="AP205" s="460"/>
      <c r="AQ205" s="460"/>
      <c r="AR205" s="460"/>
      <c r="AS205" s="460"/>
      <c r="AT205" s="460"/>
      <c r="AU205" s="460"/>
      <c r="AV205" s="460"/>
      <c r="AW205" s="460"/>
      <c r="AX205" s="460"/>
      <c r="AY205" s="460"/>
      <c r="AZ205" s="460"/>
      <c r="BA205" s="460"/>
      <c r="BB205" s="460"/>
      <c r="BC205" s="460"/>
      <c r="BD205" s="460"/>
      <c r="BE205" s="460"/>
      <c r="BF205" s="460"/>
      <c r="BG205" s="460"/>
      <c r="BH205" s="460"/>
      <c r="BI205" s="460"/>
      <c r="BJ205" s="460"/>
      <c r="BK205" s="460"/>
      <c r="BL205" s="460"/>
      <c r="BM205" s="460"/>
      <c r="BN205" s="460">
        <f>SUM(Y205:BM205)</f>
        <v>55118432985</v>
      </c>
    </row>
    <row r="206" spans="1:66" ht="64.5" customHeight="1">
      <c r="A206" s="1377"/>
      <c r="B206" s="1384"/>
      <c r="C206" s="1377"/>
      <c r="D206" s="1395"/>
      <c r="E206" s="1384"/>
      <c r="F206" s="1384"/>
      <c r="G206" s="1384"/>
      <c r="H206" s="365"/>
      <c r="I206" s="1377"/>
      <c r="J206" s="1528"/>
      <c r="K206" s="666"/>
      <c r="L206" s="397" t="s">
        <v>1156</v>
      </c>
      <c r="M206" s="655" t="s">
        <v>1157</v>
      </c>
      <c r="N206" s="662">
        <v>0.1</v>
      </c>
      <c r="O206" s="662">
        <v>0.1</v>
      </c>
      <c r="P206" s="367"/>
      <c r="Q206" s="382"/>
      <c r="R206" s="1527"/>
      <c r="S206" s="1527"/>
      <c r="T206" s="1527"/>
      <c r="U206" s="1527"/>
      <c r="V206" s="1527"/>
      <c r="W206" s="391" t="s">
        <v>819</v>
      </c>
      <c r="X206" s="648" t="s">
        <v>1528</v>
      </c>
      <c r="Y206" s="460"/>
      <c r="Z206" s="460"/>
      <c r="AA206" s="460"/>
      <c r="AB206" s="460"/>
      <c r="AC206" s="460"/>
      <c r="AD206" s="460"/>
      <c r="AE206" s="460"/>
      <c r="AF206" s="460"/>
      <c r="AG206" s="460"/>
      <c r="AH206" s="460"/>
      <c r="AI206" s="460"/>
      <c r="AJ206" s="460"/>
      <c r="AK206" s="460"/>
      <c r="AL206" s="460">
        <f>70000000-50000000</f>
        <v>20000000</v>
      </c>
      <c r="AM206" s="460"/>
      <c r="AN206" s="460"/>
      <c r="AO206" s="460"/>
      <c r="AP206" s="460"/>
      <c r="AQ206" s="460"/>
      <c r="AR206" s="460"/>
      <c r="AS206" s="460"/>
      <c r="AT206" s="460"/>
      <c r="AU206" s="460"/>
      <c r="AV206" s="460"/>
      <c r="AW206" s="460"/>
      <c r="AX206" s="460"/>
      <c r="AY206" s="460"/>
      <c r="AZ206" s="460"/>
      <c r="BA206" s="460"/>
      <c r="BB206" s="460"/>
      <c r="BC206" s="460"/>
      <c r="BD206" s="460"/>
      <c r="BE206" s="460"/>
      <c r="BF206" s="460"/>
      <c r="BG206" s="460"/>
      <c r="BH206" s="460"/>
      <c r="BI206" s="460"/>
      <c r="BJ206" s="460"/>
      <c r="BK206" s="460"/>
      <c r="BL206" s="460"/>
      <c r="BM206" s="460"/>
      <c r="BN206" s="460">
        <f>SUM(Y206:BM206)</f>
        <v>20000000</v>
      </c>
    </row>
    <row r="207" spans="1:66" ht="85.5" customHeight="1">
      <c r="A207" s="1377"/>
      <c r="B207" s="1384"/>
      <c r="C207" s="1377"/>
      <c r="D207" s="1395"/>
      <c r="E207" s="1384"/>
      <c r="F207" s="1384"/>
      <c r="G207" s="1384"/>
      <c r="H207" s="365"/>
      <c r="I207" s="1377"/>
      <c r="J207" s="1528"/>
      <c r="K207" s="666"/>
      <c r="L207" s="658" t="s">
        <v>1158</v>
      </c>
      <c r="M207" s="655" t="s">
        <v>1159</v>
      </c>
      <c r="N207" s="657"/>
      <c r="O207" s="657">
        <v>1</v>
      </c>
      <c r="P207" s="657">
        <v>1</v>
      </c>
      <c r="Q207" s="367"/>
      <c r="R207" s="1527"/>
      <c r="S207" s="1527"/>
      <c r="T207" s="1527"/>
      <c r="U207" s="1527"/>
      <c r="V207" s="1527"/>
      <c r="W207" s="391" t="s">
        <v>819</v>
      </c>
      <c r="X207" s="450" t="s">
        <v>1557</v>
      </c>
      <c r="Y207" s="460"/>
      <c r="Z207" s="460"/>
      <c r="AA207" s="460"/>
      <c r="AB207" s="460"/>
      <c r="AC207" s="460"/>
      <c r="AD207" s="460"/>
      <c r="AE207" s="460"/>
      <c r="AF207" s="460"/>
      <c r="AG207" s="460"/>
      <c r="AH207" s="460"/>
      <c r="AI207" s="460"/>
      <c r="AJ207" s="460"/>
      <c r="AK207" s="460"/>
      <c r="AL207" s="460">
        <v>150000000</v>
      </c>
      <c r="AM207" s="460"/>
      <c r="AN207" s="460"/>
      <c r="AO207" s="460"/>
      <c r="AP207" s="460"/>
      <c r="AQ207" s="460"/>
      <c r="AR207" s="460"/>
      <c r="AS207" s="460"/>
      <c r="AT207" s="460"/>
      <c r="AU207" s="460"/>
      <c r="AV207" s="460"/>
      <c r="AW207" s="460"/>
      <c r="AX207" s="460"/>
      <c r="AY207" s="460"/>
      <c r="AZ207" s="460"/>
      <c r="BA207" s="460"/>
      <c r="BB207" s="460"/>
      <c r="BC207" s="460"/>
      <c r="BD207" s="460"/>
      <c r="BE207" s="460"/>
      <c r="BF207" s="460"/>
      <c r="BG207" s="460"/>
      <c r="BH207" s="460"/>
      <c r="BI207" s="460"/>
      <c r="BJ207" s="460"/>
      <c r="BK207" s="460"/>
      <c r="BL207" s="460"/>
      <c r="BM207" s="460"/>
      <c r="BN207" s="460">
        <f>SUM(Y207:BM207)</f>
        <v>150000000</v>
      </c>
    </row>
    <row r="208" spans="1:66" ht="79.5" customHeight="1">
      <c r="A208" s="1377"/>
      <c r="B208" s="1384"/>
      <c r="C208" s="1377"/>
      <c r="D208" s="1395"/>
      <c r="E208" s="1396"/>
      <c r="F208" s="1396"/>
      <c r="G208" s="1396"/>
      <c r="H208" s="365"/>
      <c r="I208" s="1378"/>
      <c r="J208" s="1332"/>
      <c r="K208" s="666"/>
      <c r="L208" s="397" t="s">
        <v>1160</v>
      </c>
      <c r="M208" s="655" t="s">
        <v>1161</v>
      </c>
      <c r="N208" s="367"/>
      <c r="O208" s="657">
        <v>1</v>
      </c>
      <c r="P208" s="367"/>
      <c r="Q208" s="655"/>
      <c r="R208" s="1510"/>
      <c r="S208" s="1510"/>
      <c r="T208" s="1510"/>
      <c r="U208" s="1510"/>
      <c r="V208" s="1510"/>
      <c r="W208" s="391" t="s">
        <v>819</v>
      </c>
      <c r="X208" s="445" t="s">
        <v>1558</v>
      </c>
      <c r="Y208" s="460"/>
      <c r="Z208" s="460"/>
      <c r="AA208" s="460"/>
      <c r="AB208" s="460"/>
      <c r="AC208" s="460"/>
      <c r="AD208" s="460"/>
      <c r="AE208" s="460"/>
      <c r="AF208" s="460"/>
      <c r="AG208" s="460"/>
      <c r="AH208" s="460"/>
      <c r="AI208" s="460"/>
      <c r="AJ208" s="460"/>
      <c r="AK208" s="460"/>
      <c r="AL208" s="460">
        <f>250000000-50000000</f>
        <v>200000000</v>
      </c>
      <c r="AM208" s="460"/>
      <c r="AN208" s="460"/>
      <c r="AO208" s="460"/>
      <c r="AP208" s="460"/>
      <c r="AQ208" s="460"/>
      <c r="AR208" s="460"/>
      <c r="AS208" s="460"/>
      <c r="AT208" s="460"/>
      <c r="AU208" s="460"/>
      <c r="AV208" s="460"/>
      <c r="AW208" s="460"/>
      <c r="AX208" s="460"/>
      <c r="AY208" s="460"/>
      <c r="AZ208" s="460"/>
      <c r="BA208" s="460"/>
      <c r="BB208" s="460"/>
      <c r="BC208" s="460"/>
      <c r="BD208" s="460"/>
      <c r="BE208" s="460"/>
      <c r="BF208" s="460"/>
      <c r="BG208" s="460"/>
      <c r="BH208" s="460"/>
      <c r="BI208" s="460"/>
      <c r="BJ208" s="460"/>
      <c r="BK208" s="460"/>
      <c r="BL208" s="460"/>
      <c r="BM208" s="460"/>
      <c r="BN208" s="460">
        <f>SUM(Y208:BM208)</f>
        <v>200000000</v>
      </c>
    </row>
    <row r="209" spans="1:68" ht="26.25">
      <c r="A209" s="1377"/>
      <c r="B209" s="1384"/>
      <c r="C209" s="1377"/>
      <c r="D209" s="1395"/>
      <c r="E209" s="660"/>
      <c r="F209" s="660"/>
      <c r="G209" s="654"/>
      <c r="H209" s="373"/>
      <c r="I209" s="652"/>
      <c r="J209" s="1511" t="s">
        <v>1476</v>
      </c>
      <c r="K209" s="1512"/>
      <c r="L209" s="1512"/>
      <c r="M209" s="1512"/>
      <c r="N209" s="1512"/>
      <c r="O209" s="1512"/>
      <c r="P209" s="1512"/>
      <c r="Q209" s="1512"/>
      <c r="R209" s="1512"/>
      <c r="S209" s="1512"/>
      <c r="T209" s="1512"/>
      <c r="U209" s="1512"/>
      <c r="V209" s="1512"/>
      <c r="W209" s="1512"/>
      <c r="X209" s="1513"/>
      <c r="Y209" s="462">
        <f>SUM(Y205:Y208)</f>
        <v>0</v>
      </c>
      <c r="Z209" s="462">
        <f aca="true" t="shared" si="22" ref="Z209:BM209">SUM(Z205:Z208)</f>
        <v>0</v>
      </c>
      <c r="AA209" s="462">
        <f t="shared" si="22"/>
        <v>0</v>
      </c>
      <c r="AB209" s="462">
        <f t="shared" si="22"/>
        <v>0</v>
      </c>
      <c r="AC209" s="462">
        <f t="shared" si="22"/>
        <v>0</v>
      </c>
      <c r="AD209" s="462">
        <f t="shared" si="22"/>
        <v>0</v>
      </c>
      <c r="AE209" s="462">
        <f t="shared" si="22"/>
        <v>0</v>
      </c>
      <c r="AF209" s="462">
        <f t="shared" si="22"/>
        <v>0</v>
      </c>
      <c r="AG209" s="462">
        <f t="shared" si="22"/>
        <v>0</v>
      </c>
      <c r="AH209" s="462">
        <f t="shared" si="22"/>
        <v>0</v>
      </c>
      <c r="AI209" s="462">
        <f t="shared" si="22"/>
        <v>0</v>
      </c>
      <c r="AJ209" s="462">
        <f t="shared" si="22"/>
        <v>0</v>
      </c>
      <c r="AK209" s="462">
        <f t="shared" si="22"/>
        <v>0</v>
      </c>
      <c r="AL209" s="462">
        <f t="shared" si="22"/>
        <v>370000000</v>
      </c>
      <c r="AM209" s="462">
        <f t="shared" si="22"/>
        <v>55118432985</v>
      </c>
      <c r="AN209" s="462">
        <f t="shared" si="22"/>
        <v>0</v>
      </c>
      <c r="AO209" s="462">
        <f t="shared" si="22"/>
        <v>0</v>
      </c>
      <c r="AP209" s="462">
        <f t="shared" si="22"/>
        <v>0</v>
      </c>
      <c r="AQ209" s="462">
        <f t="shared" si="22"/>
        <v>0</v>
      </c>
      <c r="AR209" s="462">
        <f t="shared" si="22"/>
        <v>0</v>
      </c>
      <c r="AS209" s="462">
        <f t="shared" si="22"/>
        <v>0</v>
      </c>
      <c r="AT209" s="462">
        <f t="shared" si="22"/>
        <v>0</v>
      </c>
      <c r="AU209" s="462">
        <f t="shared" si="22"/>
        <v>0</v>
      </c>
      <c r="AV209" s="462">
        <f t="shared" si="22"/>
        <v>0</v>
      </c>
      <c r="AW209" s="462">
        <f t="shared" si="22"/>
        <v>0</v>
      </c>
      <c r="AX209" s="462">
        <f t="shared" si="22"/>
        <v>0</v>
      </c>
      <c r="AY209" s="462">
        <f t="shared" si="22"/>
        <v>0</v>
      </c>
      <c r="AZ209" s="462">
        <f t="shared" si="22"/>
        <v>0</v>
      </c>
      <c r="BA209" s="462">
        <f t="shared" si="22"/>
        <v>0</v>
      </c>
      <c r="BB209" s="462">
        <f t="shared" si="22"/>
        <v>0</v>
      </c>
      <c r="BC209" s="462">
        <f t="shared" si="22"/>
        <v>0</v>
      </c>
      <c r="BD209" s="462">
        <f t="shared" si="22"/>
        <v>0</v>
      </c>
      <c r="BE209" s="462">
        <f t="shared" si="22"/>
        <v>0</v>
      </c>
      <c r="BF209" s="462">
        <f t="shared" si="22"/>
        <v>0</v>
      </c>
      <c r="BG209" s="462">
        <f t="shared" si="22"/>
        <v>0</v>
      </c>
      <c r="BH209" s="462">
        <f t="shared" si="22"/>
        <v>0</v>
      </c>
      <c r="BI209" s="462">
        <f t="shared" si="22"/>
        <v>0</v>
      </c>
      <c r="BJ209" s="462">
        <f t="shared" si="22"/>
        <v>0</v>
      </c>
      <c r="BK209" s="462">
        <f t="shared" si="22"/>
        <v>0</v>
      </c>
      <c r="BL209" s="462">
        <f t="shared" si="22"/>
        <v>0</v>
      </c>
      <c r="BM209" s="462">
        <f t="shared" si="22"/>
        <v>0</v>
      </c>
      <c r="BN209" s="462">
        <f>SUM(BN205:BN208)</f>
        <v>55488432985</v>
      </c>
      <c r="BO209" s="412" t="s">
        <v>1616</v>
      </c>
      <c r="BP209" s="412">
        <v>370000000</v>
      </c>
    </row>
    <row r="210" spans="1:66" ht="102.75" customHeight="1">
      <c r="A210" s="1377"/>
      <c r="B210" s="1384"/>
      <c r="C210" s="1377"/>
      <c r="D210" s="1395"/>
      <c r="E210" s="1367" t="s">
        <v>1162</v>
      </c>
      <c r="F210" s="1367" t="s">
        <v>1163</v>
      </c>
      <c r="G210" s="1395" t="s">
        <v>1164</v>
      </c>
      <c r="H210" s="1362" t="s">
        <v>1165</v>
      </c>
      <c r="I210" s="1389">
        <v>2</v>
      </c>
      <c r="J210" s="1388" t="s">
        <v>1166</v>
      </c>
      <c r="K210" s="389"/>
      <c r="L210" s="658" t="s">
        <v>1167</v>
      </c>
      <c r="M210" s="657" t="s">
        <v>1168</v>
      </c>
      <c r="N210" s="388"/>
      <c r="O210" s="378">
        <v>1</v>
      </c>
      <c r="P210" s="657">
        <v>1</v>
      </c>
      <c r="Q210" s="388"/>
      <c r="R210" s="1460">
        <v>11000000</v>
      </c>
      <c r="S210" s="1460">
        <v>250000</v>
      </c>
      <c r="T210" s="1460">
        <v>1700000</v>
      </c>
      <c r="U210" s="1460">
        <v>200000</v>
      </c>
      <c r="V210" s="1460">
        <v>13150000</v>
      </c>
      <c r="W210" s="374" t="s">
        <v>819</v>
      </c>
      <c r="X210" s="648" t="s">
        <v>1529</v>
      </c>
      <c r="Y210" s="1475"/>
      <c r="Z210" s="1475"/>
      <c r="AA210" s="1475"/>
      <c r="AB210" s="1475"/>
      <c r="AC210" s="1475"/>
      <c r="AD210" s="1475"/>
      <c r="AE210" s="1475"/>
      <c r="AF210" s="1475"/>
      <c r="AG210" s="1475"/>
      <c r="AH210" s="1475"/>
      <c r="AI210" s="1475"/>
      <c r="AJ210" s="1475"/>
      <c r="AK210" s="1445"/>
      <c r="AL210" s="1475">
        <v>40000000</v>
      </c>
      <c r="AM210" s="1475"/>
      <c r="AN210" s="1475"/>
      <c r="AO210" s="460"/>
      <c r="AP210" s="1475"/>
      <c r="AQ210" s="1475"/>
      <c r="AR210" s="1475"/>
      <c r="AS210" s="1475"/>
      <c r="AT210" s="1475"/>
      <c r="AU210" s="1475"/>
      <c r="AV210" s="1475"/>
      <c r="AW210" s="1475"/>
      <c r="AX210" s="1475"/>
      <c r="AY210" s="1475"/>
      <c r="AZ210" s="1475"/>
      <c r="BA210" s="1445"/>
      <c r="BB210" s="1475"/>
      <c r="BC210" s="1475"/>
      <c r="BD210" s="1475"/>
      <c r="BE210" s="1475"/>
      <c r="BF210" s="1475"/>
      <c r="BG210" s="1475"/>
      <c r="BH210" s="1475"/>
      <c r="BI210" s="1475"/>
      <c r="BJ210" s="1475"/>
      <c r="BK210" s="1475"/>
      <c r="BL210" s="1475"/>
      <c r="BM210" s="1475"/>
      <c r="BN210" s="1475">
        <f>SUM(Y210:BM212)</f>
        <v>40000000</v>
      </c>
    </row>
    <row r="211" spans="1:66" ht="49.5" customHeight="1">
      <c r="A211" s="1377"/>
      <c r="B211" s="1384"/>
      <c r="C211" s="1377"/>
      <c r="D211" s="1395"/>
      <c r="E211" s="1367"/>
      <c r="F211" s="1367"/>
      <c r="G211" s="1395"/>
      <c r="H211" s="1395"/>
      <c r="I211" s="1390"/>
      <c r="J211" s="1388"/>
      <c r="K211" s="389"/>
      <c r="L211" s="658" t="s">
        <v>1169</v>
      </c>
      <c r="M211" s="657" t="s">
        <v>1170</v>
      </c>
      <c r="N211" s="388"/>
      <c r="O211" s="657">
        <v>3</v>
      </c>
      <c r="P211" s="657">
        <v>1</v>
      </c>
      <c r="Q211" s="657"/>
      <c r="R211" s="1460"/>
      <c r="S211" s="1460"/>
      <c r="T211" s="1460"/>
      <c r="U211" s="1460"/>
      <c r="V211" s="1460"/>
      <c r="W211" s="374" t="s">
        <v>819</v>
      </c>
      <c r="X211" s="648"/>
      <c r="Y211" s="1475"/>
      <c r="Z211" s="1475"/>
      <c r="AA211" s="1475"/>
      <c r="AB211" s="1475"/>
      <c r="AC211" s="1475"/>
      <c r="AD211" s="1475"/>
      <c r="AE211" s="1475"/>
      <c r="AF211" s="1475"/>
      <c r="AG211" s="1475"/>
      <c r="AH211" s="1475"/>
      <c r="AI211" s="1475"/>
      <c r="AJ211" s="1475"/>
      <c r="AK211" s="1363"/>
      <c r="AL211" s="1475"/>
      <c r="AM211" s="1475"/>
      <c r="AN211" s="1475"/>
      <c r="AO211" s="460"/>
      <c r="AP211" s="1475"/>
      <c r="AQ211" s="1475"/>
      <c r="AR211" s="1475"/>
      <c r="AS211" s="1475"/>
      <c r="AT211" s="1475"/>
      <c r="AU211" s="1475"/>
      <c r="AV211" s="1475"/>
      <c r="AW211" s="1475"/>
      <c r="AX211" s="1475"/>
      <c r="AY211" s="1475"/>
      <c r="AZ211" s="1475"/>
      <c r="BA211" s="1363"/>
      <c r="BB211" s="1475"/>
      <c r="BC211" s="1475"/>
      <c r="BD211" s="1475"/>
      <c r="BE211" s="1475"/>
      <c r="BF211" s="1475"/>
      <c r="BG211" s="1475"/>
      <c r="BH211" s="1475"/>
      <c r="BI211" s="1475"/>
      <c r="BJ211" s="1475"/>
      <c r="BK211" s="1475"/>
      <c r="BL211" s="1475"/>
      <c r="BM211" s="1475"/>
      <c r="BN211" s="1475"/>
    </row>
    <row r="212" spans="1:66" ht="93" customHeight="1" hidden="1">
      <c r="A212" s="1377"/>
      <c r="B212" s="1384"/>
      <c r="C212" s="1377"/>
      <c r="D212" s="1395"/>
      <c r="E212" s="1367"/>
      <c r="F212" s="1367"/>
      <c r="G212" s="1395"/>
      <c r="H212" s="1395"/>
      <c r="I212" s="1391"/>
      <c r="J212" s="1388"/>
      <c r="K212" s="389"/>
      <c r="L212" s="658" t="s">
        <v>1171</v>
      </c>
      <c r="M212" s="657" t="s">
        <v>1172</v>
      </c>
      <c r="N212" s="388"/>
      <c r="O212" s="388"/>
      <c r="P212" s="657">
        <v>1</v>
      </c>
      <c r="Q212" s="388"/>
      <c r="R212" s="1460"/>
      <c r="S212" s="1460"/>
      <c r="T212" s="1460"/>
      <c r="U212" s="1460"/>
      <c r="V212" s="1460"/>
      <c r="W212" s="374" t="s">
        <v>819</v>
      </c>
      <c r="X212" s="648"/>
      <c r="Y212" s="1475"/>
      <c r="Z212" s="1475"/>
      <c r="AA212" s="1475"/>
      <c r="AB212" s="1475"/>
      <c r="AC212" s="1475"/>
      <c r="AD212" s="1475"/>
      <c r="AE212" s="1475"/>
      <c r="AF212" s="1475"/>
      <c r="AG212" s="1475"/>
      <c r="AH212" s="1475"/>
      <c r="AI212" s="1475"/>
      <c r="AJ212" s="1475"/>
      <c r="AK212" s="460"/>
      <c r="AL212" s="1475"/>
      <c r="AM212" s="1475"/>
      <c r="AN212" s="1475"/>
      <c r="AO212" s="460"/>
      <c r="AP212" s="1475"/>
      <c r="AQ212" s="1475"/>
      <c r="AR212" s="1475"/>
      <c r="AS212" s="1475"/>
      <c r="AT212" s="1475"/>
      <c r="AU212" s="1475"/>
      <c r="AV212" s="1475"/>
      <c r="AW212" s="1475"/>
      <c r="AX212" s="1475"/>
      <c r="AY212" s="1475"/>
      <c r="AZ212" s="1475"/>
      <c r="BA212" s="460"/>
      <c r="BB212" s="1475"/>
      <c r="BC212" s="1475"/>
      <c r="BD212" s="1475"/>
      <c r="BE212" s="1475"/>
      <c r="BF212" s="1475"/>
      <c r="BG212" s="1475"/>
      <c r="BH212" s="1475"/>
      <c r="BI212" s="1475"/>
      <c r="BJ212" s="1475"/>
      <c r="BK212" s="1475"/>
      <c r="BL212" s="1475"/>
      <c r="BM212" s="1475"/>
      <c r="BN212" s="1475"/>
    </row>
    <row r="213" spans="1:68" ht="27" customHeight="1">
      <c r="A213" s="1377"/>
      <c r="B213" s="1384"/>
      <c r="C213" s="1377"/>
      <c r="D213" s="1395"/>
      <c r="E213" s="657"/>
      <c r="F213" s="657"/>
      <c r="G213" s="659"/>
      <c r="H213" s="659"/>
      <c r="I213" s="656"/>
      <c r="J213" s="1524" t="s">
        <v>1477</v>
      </c>
      <c r="K213" s="1525"/>
      <c r="L213" s="1525"/>
      <c r="M213" s="1525"/>
      <c r="N213" s="1525"/>
      <c r="O213" s="1525"/>
      <c r="P213" s="1525"/>
      <c r="Q213" s="1525"/>
      <c r="R213" s="1525"/>
      <c r="S213" s="1525"/>
      <c r="T213" s="1525"/>
      <c r="U213" s="1525"/>
      <c r="V213" s="1525"/>
      <c r="W213" s="1525"/>
      <c r="X213" s="1526"/>
      <c r="Y213" s="462">
        <f>SUM(Y210)</f>
        <v>0</v>
      </c>
      <c r="Z213" s="462">
        <f aca="true" t="shared" si="23" ref="Z213:BM213">SUM(Z210)</f>
        <v>0</v>
      </c>
      <c r="AA213" s="462">
        <f t="shared" si="23"/>
        <v>0</v>
      </c>
      <c r="AB213" s="462">
        <f t="shared" si="23"/>
        <v>0</v>
      </c>
      <c r="AC213" s="462">
        <f t="shared" si="23"/>
        <v>0</v>
      </c>
      <c r="AD213" s="462">
        <f t="shared" si="23"/>
        <v>0</v>
      </c>
      <c r="AE213" s="462">
        <f t="shared" si="23"/>
        <v>0</v>
      </c>
      <c r="AF213" s="462">
        <f t="shared" si="23"/>
        <v>0</v>
      </c>
      <c r="AG213" s="462">
        <f t="shared" si="23"/>
        <v>0</v>
      </c>
      <c r="AH213" s="462">
        <f t="shared" si="23"/>
        <v>0</v>
      </c>
      <c r="AI213" s="462">
        <f t="shared" si="23"/>
        <v>0</v>
      </c>
      <c r="AJ213" s="462">
        <f t="shared" si="23"/>
        <v>0</v>
      </c>
      <c r="AK213" s="462">
        <f t="shared" si="23"/>
        <v>0</v>
      </c>
      <c r="AL213" s="462">
        <f t="shared" si="23"/>
        <v>40000000</v>
      </c>
      <c r="AM213" s="462">
        <f t="shared" si="23"/>
        <v>0</v>
      </c>
      <c r="AN213" s="462">
        <f t="shared" si="23"/>
        <v>0</v>
      </c>
      <c r="AO213" s="462">
        <f t="shared" si="23"/>
        <v>0</v>
      </c>
      <c r="AP213" s="462">
        <f t="shared" si="23"/>
        <v>0</v>
      </c>
      <c r="AQ213" s="462">
        <f t="shared" si="23"/>
        <v>0</v>
      </c>
      <c r="AR213" s="462">
        <f t="shared" si="23"/>
        <v>0</v>
      </c>
      <c r="AS213" s="462">
        <f t="shared" si="23"/>
        <v>0</v>
      </c>
      <c r="AT213" s="462">
        <f t="shared" si="23"/>
        <v>0</v>
      </c>
      <c r="AU213" s="462">
        <f t="shared" si="23"/>
        <v>0</v>
      </c>
      <c r="AV213" s="462">
        <f t="shared" si="23"/>
        <v>0</v>
      </c>
      <c r="AW213" s="462">
        <f t="shared" si="23"/>
        <v>0</v>
      </c>
      <c r="AX213" s="462">
        <f t="shared" si="23"/>
        <v>0</v>
      </c>
      <c r="AY213" s="462">
        <f t="shared" si="23"/>
        <v>0</v>
      </c>
      <c r="AZ213" s="462">
        <f t="shared" si="23"/>
        <v>0</v>
      </c>
      <c r="BA213" s="462">
        <f t="shared" si="23"/>
        <v>0</v>
      </c>
      <c r="BB213" s="462">
        <f t="shared" si="23"/>
        <v>0</v>
      </c>
      <c r="BC213" s="462">
        <f t="shared" si="23"/>
        <v>0</v>
      </c>
      <c r="BD213" s="462">
        <f t="shared" si="23"/>
        <v>0</v>
      </c>
      <c r="BE213" s="462">
        <f t="shared" si="23"/>
        <v>0</v>
      </c>
      <c r="BF213" s="462">
        <f t="shared" si="23"/>
        <v>0</v>
      </c>
      <c r="BG213" s="462">
        <f t="shared" si="23"/>
        <v>0</v>
      </c>
      <c r="BH213" s="462">
        <f t="shared" si="23"/>
        <v>0</v>
      </c>
      <c r="BI213" s="462">
        <f t="shared" si="23"/>
        <v>0</v>
      </c>
      <c r="BJ213" s="462">
        <f t="shared" si="23"/>
        <v>0</v>
      </c>
      <c r="BK213" s="462">
        <f t="shared" si="23"/>
        <v>0</v>
      </c>
      <c r="BL213" s="462">
        <f t="shared" si="23"/>
        <v>0</v>
      </c>
      <c r="BM213" s="462">
        <f t="shared" si="23"/>
        <v>0</v>
      </c>
      <c r="BN213" s="462">
        <f>SUM(BN210)</f>
        <v>40000000</v>
      </c>
      <c r="BO213" s="412" t="s">
        <v>1616</v>
      </c>
      <c r="BP213" s="412">
        <v>40000000</v>
      </c>
    </row>
    <row r="214" spans="1:66" ht="64.5" customHeight="1">
      <c r="A214" s="1377"/>
      <c r="B214" s="1384"/>
      <c r="C214" s="1377"/>
      <c r="D214" s="1395"/>
      <c r="E214" s="1367" t="s">
        <v>1173</v>
      </c>
      <c r="F214" s="1367" t="s">
        <v>1174</v>
      </c>
      <c r="G214" s="1367" t="s">
        <v>888</v>
      </c>
      <c r="H214" s="1452">
        <v>0.8</v>
      </c>
      <c r="I214" s="1387">
        <v>2</v>
      </c>
      <c r="J214" s="1374" t="s">
        <v>1175</v>
      </c>
      <c r="K214" s="374"/>
      <c r="L214" s="1515" t="s">
        <v>1176</v>
      </c>
      <c r="M214" s="657"/>
      <c r="N214" s="1362"/>
      <c r="O214" s="1362">
        <v>1</v>
      </c>
      <c r="P214" s="657"/>
      <c r="Q214" s="657"/>
      <c r="R214" s="1447">
        <v>10150000</v>
      </c>
      <c r="S214" s="1447">
        <v>1367744</v>
      </c>
      <c r="T214" s="1447">
        <v>450000</v>
      </c>
      <c r="U214" s="1447">
        <v>300000</v>
      </c>
      <c r="V214" s="1448">
        <v>12267744</v>
      </c>
      <c r="W214" s="374" t="s">
        <v>819</v>
      </c>
      <c r="X214" s="1519" t="s">
        <v>1593</v>
      </c>
      <c r="Y214" s="1521"/>
      <c r="Z214" s="1521"/>
      <c r="AA214" s="1521"/>
      <c r="AB214" s="1521"/>
      <c r="AC214" s="1521"/>
      <c r="AD214" s="1521"/>
      <c r="AE214" s="1521"/>
      <c r="AF214" s="1521"/>
      <c r="AG214" s="1521"/>
      <c r="AH214" s="1521"/>
      <c r="AI214" s="1521"/>
      <c r="AJ214" s="1521"/>
      <c r="AK214" s="1521"/>
      <c r="AL214" s="1521">
        <v>40000000</v>
      </c>
      <c r="AM214" s="1521"/>
      <c r="AN214" s="1521"/>
      <c r="AO214" s="460"/>
      <c r="AP214" s="1521"/>
      <c r="AQ214" s="1521"/>
      <c r="AR214" s="1521"/>
      <c r="AS214" s="1521"/>
      <c r="AT214" s="1521"/>
      <c r="AU214" s="1521"/>
      <c r="AV214" s="1521"/>
      <c r="AW214" s="1521"/>
      <c r="AX214" s="1521"/>
      <c r="AY214" s="1521"/>
      <c r="AZ214" s="1521"/>
      <c r="BA214" s="1445"/>
      <c r="BB214" s="1521"/>
      <c r="BC214" s="1521"/>
      <c r="BD214" s="1521"/>
      <c r="BE214" s="1521"/>
      <c r="BF214" s="1521"/>
      <c r="BG214" s="1521"/>
      <c r="BH214" s="1521"/>
      <c r="BI214" s="1521"/>
      <c r="BJ214" s="1521"/>
      <c r="BK214" s="1521"/>
      <c r="BL214" s="1521"/>
      <c r="BM214" s="1521"/>
      <c r="BN214" s="1521">
        <f>SUM(Y214:BM215)</f>
        <v>40000000</v>
      </c>
    </row>
    <row r="215" spans="1:66" ht="26.25" customHeight="1">
      <c r="A215" s="1377"/>
      <c r="B215" s="1384"/>
      <c r="C215" s="1377"/>
      <c r="D215" s="1395"/>
      <c r="E215" s="1367"/>
      <c r="F215" s="1367"/>
      <c r="G215" s="1367"/>
      <c r="H215" s="1452"/>
      <c r="I215" s="1387"/>
      <c r="J215" s="1374"/>
      <c r="K215" s="374"/>
      <c r="L215" s="1516"/>
      <c r="M215" s="657" t="s">
        <v>1177</v>
      </c>
      <c r="N215" s="1366"/>
      <c r="O215" s="1366"/>
      <c r="P215" s="657">
        <v>1</v>
      </c>
      <c r="Q215" s="657"/>
      <c r="R215" s="1447"/>
      <c r="S215" s="1447"/>
      <c r="T215" s="1447"/>
      <c r="U215" s="1447"/>
      <c r="V215" s="1517"/>
      <c r="W215" s="374" t="s">
        <v>819</v>
      </c>
      <c r="X215" s="1520"/>
      <c r="Y215" s="1522"/>
      <c r="Z215" s="1522"/>
      <c r="AA215" s="1522"/>
      <c r="AB215" s="1522"/>
      <c r="AC215" s="1522"/>
      <c r="AD215" s="1522"/>
      <c r="AE215" s="1522"/>
      <c r="AF215" s="1522"/>
      <c r="AG215" s="1522"/>
      <c r="AH215" s="1522"/>
      <c r="AI215" s="1522"/>
      <c r="AJ215" s="1522"/>
      <c r="AK215" s="1522"/>
      <c r="AL215" s="1522"/>
      <c r="AM215" s="1522"/>
      <c r="AN215" s="1522"/>
      <c r="AO215" s="460"/>
      <c r="AP215" s="1522"/>
      <c r="AQ215" s="1522"/>
      <c r="AR215" s="1522"/>
      <c r="AS215" s="1522"/>
      <c r="AT215" s="1522"/>
      <c r="AU215" s="1522"/>
      <c r="AV215" s="1522"/>
      <c r="AW215" s="1522"/>
      <c r="AX215" s="1522"/>
      <c r="AY215" s="1522"/>
      <c r="AZ215" s="1522"/>
      <c r="BA215" s="1363"/>
      <c r="BB215" s="1522"/>
      <c r="BC215" s="1522"/>
      <c r="BD215" s="1522"/>
      <c r="BE215" s="1522"/>
      <c r="BF215" s="1522"/>
      <c r="BG215" s="1522"/>
      <c r="BH215" s="1522"/>
      <c r="BI215" s="1522"/>
      <c r="BJ215" s="1522"/>
      <c r="BK215" s="1522"/>
      <c r="BL215" s="1522"/>
      <c r="BM215" s="1522"/>
      <c r="BN215" s="1522"/>
    </row>
    <row r="216" spans="1:66" ht="95.25" customHeight="1">
      <c r="A216" s="1377"/>
      <c r="B216" s="1384"/>
      <c r="C216" s="1377"/>
      <c r="D216" s="1395"/>
      <c r="E216" s="1367"/>
      <c r="F216" s="1367"/>
      <c r="G216" s="1367"/>
      <c r="H216" s="1367"/>
      <c r="I216" s="1387"/>
      <c r="J216" s="1374"/>
      <c r="K216" s="374"/>
      <c r="L216" s="658" t="s">
        <v>1178</v>
      </c>
      <c r="M216" s="657" t="s">
        <v>1179</v>
      </c>
      <c r="N216" s="375"/>
      <c r="O216" s="657">
        <v>1</v>
      </c>
      <c r="P216" s="657">
        <v>1</v>
      </c>
      <c r="Q216" s="657"/>
      <c r="R216" s="1447"/>
      <c r="S216" s="1447"/>
      <c r="T216" s="1447"/>
      <c r="U216" s="1447"/>
      <c r="V216" s="1517"/>
      <c r="W216" s="374" t="s">
        <v>819</v>
      </c>
      <c r="X216" s="1523" t="s">
        <v>1559</v>
      </c>
      <c r="Y216" s="1475"/>
      <c r="Z216" s="1475"/>
      <c r="AA216" s="1475"/>
      <c r="AB216" s="1475"/>
      <c r="AC216" s="1475"/>
      <c r="AD216" s="1475"/>
      <c r="AE216" s="1475"/>
      <c r="AF216" s="1475"/>
      <c r="AG216" s="1475"/>
      <c r="AH216" s="1475"/>
      <c r="AI216" s="1475"/>
      <c r="AJ216" s="1475"/>
      <c r="AK216" s="1475"/>
      <c r="AL216" s="1475">
        <f>80000000-40000000</f>
        <v>40000000</v>
      </c>
      <c r="AM216" s="1475"/>
      <c r="AN216" s="1475"/>
      <c r="AO216" s="460"/>
      <c r="AP216" s="1475"/>
      <c r="AQ216" s="1475"/>
      <c r="AR216" s="1475"/>
      <c r="AS216" s="1475"/>
      <c r="AT216" s="1475"/>
      <c r="AU216" s="1475"/>
      <c r="AV216" s="1475"/>
      <c r="AW216" s="1475"/>
      <c r="AX216" s="1475"/>
      <c r="AY216" s="1475"/>
      <c r="AZ216" s="1475"/>
      <c r="BA216" s="1445"/>
      <c r="BB216" s="1475"/>
      <c r="BC216" s="1475"/>
      <c r="BD216" s="1475"/>
      <c r="BE216" s="1475"/>
      <c r="BF216" s="1475"/>
      <c r="BG216" s="1475"/>
      <c r="BH216" s="1475"/>
      <c r="BI216" s="1475"/>
      <c r="BJ216" s="1475"/>
      <c r="BK216" s="1475"/>
      <c r="BL216" s="1475"/>
      <c r="BM216" s="1475"/>
      <c r="BN216" s="1475">
        <f>SUM(Y216:BM217)</f>
        <v>40000000</v>
      </c>
    </row>
    <row r="217" spans="1:66" ht="87.75" customHeight="1">
      <c r="A217" s="1377"/>
      <c r="B217" s="1384"/>
      <c r="C217" s="1377"/>
      <c r="D217" s="1395"/>
      <c r="E217" s="1367"/>
      <c r="F217" s="1367"/>
      <c r="G217" s="1367"/>
      <c r="H217" s="1367"/>
      <c r="I217" s="1387"/>
      <c r="J217" s="1374"/>
      <c r="K217" s="374"/>
      <c r="L217" s="658" t="s">
        <v>1180</v>
      </c>
      <c r="M217" s="657" t="s">
        <v>1181</v>
      </c>
      <c r="N217" s="375"/>
      <c r="O217" s="657">
        <v>1</v>
      </c>
      <c r="P217" s="657"/>
      <c r="Q217" s="657"/>
      <c r="R217" s="1447"/>
      <c r="S217" s="1447"/>
      <c r="T217" s="1447"/>
      <c r="U217" s="1447"/>
      <c r="V217" s="1517"/>
      <c r="W217" s="374" t="s">
        <v>819</v>
      </c>
      <c r="X217" s="1523"/>
      <c r="Y217" s="1475"/>
      <c r="Z217" s="1475"/>
      <c r="AA217" s="1475"/>
      <c r="AB217" s="1475"/>
      <c r="AC217" s="1475"/>
      <c r="AD217" s="1475"/>
      <c r="AE217" s="1475"/>
      <c r="AF217" s="1475"/>
      <c r="AG217" s="1475"/>
      <c r="AH217" s="1475"/>
      <c r="AI217" s="1475"/>
      <c r="AJ217" s="1475"/>
      <c r="AK217" s="1475"/>
      <c r="AL217" s="1475"/>
      <c r="AM217" s="1475"/>
      <c r="AN217" s="1475"/>
      <c r="AO217" s="460"/>
      <c r="AP217" s="1475"/>
      <c r="AQ217" s="1475"/>
      <c r="AR217" s="1475"/>
      <c r="AS217" s="1475"/>
      <c r="AT217" s="1475"/>
      <c r="AU217" s="1475"/>
      <c r="AV217" s="1475"/>
      <c r="AW217" s="1475"/>
      <c r="AX217" s="1475"/>
      <c r="AY217" s="1475"/>
      <c r="AZ217" s="1475"/>
      <c r="BA217" s="1363"/>
      <c r="BB217" s="1475"/>
      <c r="BC217" s="1475"/>
      <c r="BD217" s="1475"/>
      <c r="BE217" s="1475"/>
      <c r="BF217" s="1475"/>
      <c r="BG217" s="1475"/>
      <c r="BH217" s="1475"/>
      <c r="BI217" s="1475"/>
      <c r="BJ217" s="1475"/>
      <c r="BK217" s="1475"/>
      <c r="BL217" s="1475"/>
      <c r="BM217" s="1475"/>
      <c r="BN217" s="1475"/>
    </row>
    <row r="218" spans="1:66" ht="75" customHeight="1">
      <c r="A218" s="1377"/>
      <c r="B218" s="1384"/>
      <c r="C218" s="1377"/>
      <c r="D218" s="1395"/>
      <c r="E218" s="1367"/>
      <c r="F218" s="1367"/>
      <c r="G218" s="1367"/>
      <c r="H218" s="1367"/>
      <c r="I218" s="1387"/>
      <c r="J218" s="1374"/>
      <c r="K218" s="374"/>
      <c r="L218" s="658" t="s">
        <v>1182</v>
      </c>
      <c r="M218" s="657" t="s">
        <v>1183</v>
      </c>
      <c r="N218" s="375"/>
      <c r="O218" s="657">
        <v>2</v>
      </c>
      <c r="P218" s="657"/>
      <c r="Q218" s="657"/>
      <c r="R218" s="1447"/>
      <c r="S218" s="1447"/>
      <c r="T218" s="1447"/>
      <c r="U218" s="1447"/>
      <c r="V218" s="1517"/>
      <c r="W218" s="374" t="s">
        <v>819</v>
      </c>
      <c r="X218" s="1449" t="s">
        <v>1592</v>
      </c>
      <c r="Y218" s="1436"/>
      <c r="Z218" s="1436"/>
      <c r="AA218" s="1436"/>
      <c r="AB218" s="1436"/>
      <c r="AC218" s="1436"/>
      <c r="AD218" s="1436"/>
      <c r="AE218" s="1436"/>
      <c r="AF218" s="1436"/>
      <c r="AG218" s="1436"/>
      <c r="AH218" s="1436"/>
      <c r="AI218" s="1436"/>
      <c r="AJ218" s="1436"/>
      <c r="AK218" s="1436"/>
      <c r="AL218" s="1436">
        <v>35000000</v>
      </c>
      <c r="AM218" s="1436"/>
      <c r="AN218" s="1436"/>
      <c r="AO218" s="1436"/>
      <c r="AP218" s="1436"/>
      <c r="AQ218" s="1436"/>
      <c r="AR218" s="1436"/>
      <c r="AS218" s="1436"/>
      <c r="AT218" s="1436"/>
      <c r="AU218" s="1436"/>
      <c r="AV218" s="1436"/>
      <c r="AW218" s="1436"/>
      <c r="AX218" s="1436"/>
      <c r="AY218" s="1436"/>
      <c r="AZ218" s="1436"/>
      <c r="BA218" s="1445"/>
      <c r="BB218" s="1436"/>
      <c r="BC218" s="1436"/>
      <c r="BD218" s="1436"/>
      <c r="BE218" s="1436"/>
      <c r="BF218" s="1436"/>
      <c r="BG218" s="1436"/>
      <c r="BH218" s="1436"/>
      <c r="BI218" s="1436"/>
      <c r="BJ218" s="1436"/>
      <c r="BK218" s="1436"/>
      <c r="BL218" s="1436"/>
      <c r="BM218" s="1436"/>
      <c r="BN218" s="1436">
        <f>SUM(Y218:BM220)</f>
        <v>35000000</v>
      </c>
    </row>
    <row r="219" spans="1:66" ht="28.5" customHeight="1">
      <c r="A219" s="1377"/>
      <c r="B219" s="1384"/>
      <c r="C219" s="1377"/>
      <c r="D219" s="1395"/>
      <c r="E219" s="1367"/>
      <c r="F219" s="1367"/>
      <c r="G219" s="1367"/>
      <c r="H219" s="1367"/>
      <c r="I219" s="1387"/>
      <c r="J219" s="1374"/>
      <c r="K219" s="374"/>
      <c r="L219" s="1515" t="s">
        <v>1184</v>
      </c>
      <c r="M219" s="657"/>
      <c r="N219" s="375"/>
      <c r="O219" s="1362">
        <v>1</v>
      </c>
      <c r="P219" s="657"/>
      <c r="Q219" s="657"/>
      <c r="R219" s="1447"/>
      <c r="S219" s="1447"/>
      <c r="T219" s="1447"/>
      <c r="U219" s="1447"/>
      <c r="V219" s="1517"/>
      <c r="W219" s="374" t="s">
        <v>819</v>
      </c>
      <c r="X219" s="1450"/>
      <c r="Y219" s="1437"/>
      <c r="Z219" s="1437"/>
      <c r="AA219" s="1437"/>
      <c r="AB219" s="1437"/>
      <c r="AC219" s="1437"/>
      <c r="AD219" s="1437"/>
      <c r="AE219" s="1437"/>
      <c r="AF219" s="1437"/>
      <c r="AG219" s="1437"/>
      <c r="AH219" s="1437"/>
      <c r="AI219" s="1437"/>
      <c r="AJ219" s="1437"/>
      <c r="AK219" s="1437"/>
      <c r="AL219" s="1437"/>
      <c r="AM219" s="1437"/>
      <c r="AN219" s="1437"/>
      <c r="AO219" s="1437"/>
      <c r="AP219" s="1437"/>
      <c r="AQ219" s="1437"/>
      <c r="AR219" s="1437"/>
      <c r="AS219" s="1437"/>
      <c r="AT219" s="1437"/>
      <c r="AU219" s="1437"/>
      <c r="AV219" s="1437"/>
      <c r="AW219" s="1437"/>
      <c r="AX219" s="1437"/>
      <c r="AY219" s="1437"/>
      <c r="AZ219" s="1437"/>
      <c r="BA219" s="1446"/>
      <c r="BB219" s="1437"/>
      <c r="BC219" s="1437"/>
      <c r="BD219" s="1437"/>
      <c r="BE219" s="1437"/>
      <c r="BF219" s="1437"/>
      <c r="BG219" s="1437"/>
      <c r="BH219" s="1437"/>
      <c r="BI219" s="1437"/>
      <c r="BJ219" s="1437"/>
      <c r="BK219" s="1437"/>
      <c r="BL219" s="1437"/>
      <c r="BM219" s="1437"/>
      <c r="BN219" s="1437"/>
    </row>
    <row r="220" spans="1:66" ht="33.75" customHeight="1">
      <c r="A220" s="1377"/>
      <c r="B220" s="1384"/>
      <c r="C220" s="1377"/>
      <c r="D220" s="1395"/>
      <c r="E220" s="1367"/>
      <c r="F220" s="1367"/>
      <c r="G220" s="1367"/>
      <c r="H220" s="1367"/>
      <c r="I220" s="1387"/>
      <c r="J220" s="1374"/>
      <c r="K220" s="374"/>
      <c r="L220" s="1516"/>
      <c r="M220" s="657" t="s">
        <v>1185</v>
      </c>
      <c r="N220" s="375"/>
      <c r="O220" s="1366"/>
      <c r="P220" s="657"/>
      <c r="Q220" s="657"/>
      <c r="R220" s="1447"/>
      <c r="S220" s="1447"/>
      <c r="T220" s="1447"/>
      <c r="U220" s="1447"/>
      <c r="V220" s="1517"/>
      <c r="W220" s="374" t="s">
        <v>819</v>
      </c>
      <c r="X220" s="1461"/>
      <c r="Y220" s="1454"/>
      <c r="Z220" s="1454"/>
      <c r="AA220" s="1454"/>
      <c r="AB220" s="1454"/>
      <c r="AC220" s="1454"/>
      <c r="AD220" s="1454"/>
      <c r="AE220" s="1454"/>
      <c r="AF220" s="1454"/>
      <c r="AG220" s="1454"/>
      <c r="AH220" s="1454"/>
      <c r="AI220" s="1454"/>
      <c r="AJ220" s="1454"/>
      <c r="AK220" s="1454"/>
      <c r="AL220" s="1454"/>
      <c r="AM220" s="1454"/>
      <c r="AN220" s="1454"/>
      <c r="AO220" s="1454"/>
      <c r="AP220" s="1454"/>
      <c r="AQ220" s="1454"/>
      <c r="AR220" s="1454"/>
      <c r="AS220" s="1454"/>
      <c r="AT220" s="1454"/>
      <c r="AU220" s="1454"/>
      <c r="AV220" s="1454"/>
      <c r="AW220" s="1454"/>
      <c r="AX220" s="1454"/>
      <c r="AY220" s="1454"/>
      <c r="AZ220" s="1454"/>
      <c r="BA220" s="1363"/>
      <c r="BB220" s="1454"/>
      <c r="BC220" s="1454"/>
      <c r="BD220" s="1454"/>
      <c r="BE220" s="1454"/>
      <c r="BF220" s="1454"/>
      <c r="BG220" s="1454"/>
      <c r="BH220" s="1454"/>
      <c r="BI220" s="1454"/>
      <c r="BJ220" s="1454"/>
      <c r="BK220" s="1454"/>
      <c r="BL220" s="1454"/>
      <c r="BM220" s="1454"/>
      <c r="BN220" s="1454"/>
    </row>
    <row r="221" spans="1:66" ht="65.25" customHeight="1">
      <c r="A221" s="1377"/>
      <c r="B221" s="1384"/>
      <c r="C221" s="1377"/>
      <c r="D221" s="1395"/>
      <c r="E221" s="1367"/>
      <c r="F221" s="1367"/>
      <c r="G221" s="1367"/>
      <c r="H221" s="1367"/>
      <c r="I221" s="1387"/>
      <c r="J221" s="1374"/>
      <c r="K221" s="374"/>
      <c r="L221" s="1515" t="s">
        <v>1186</v>
      </c>
      <c r="M221" s="657"/>
      <c r="N221" s="1362"/>
      <c r="O221" s="1362">
        <v>1</v>
      </c>
      <c r="P221" s="657"/>
      <c r="Q221" s="657"/>
      <c r="R221" s="1447"/>
      <c r="S221" s="1447"/>
      <c r="T221" s="1447"/>
      <c r="U221" s="1447"/>
      <c r="V221" s="1517"/>
      <c r="W221" s="374" t="s">
        <v>819</v>
      </c>
      <c r="X221" s="456" t="s">
        <v>1529</v>
      </c>
      <c r="Y221" s="638"/>
      <c r="Z221" s="638"/>
      <c r="AA221" s="638"/>
      <c r="AB221" s="638"/>
      <c r="AC221" s="638"/>
      <c r="AD221" s="638"/>
      <c r="AE221" s="638"/>
      <c r="AF221" s="638"/>
      <c r="AG221" s="638"/>
      <c r="AH221" s="638"/>
      <c r="AI221" s="638"/>
      <c r="AJ221" s="638"/>
      <c r="AK221" s="460"/>
      <c r="AL221" s="638">
        <v>35000000</v>
      </c>
      <c r="AM221" s="638"/>
      <c r="AN221" s="638"/>
      <c r="AO221" s="638"/>
      <c r="AP221" s="638"/>
      <c r="AQ221" s="638"/>
      <c r="AR221" s="638"/>
      <c r="AS221" s="638"/>
      <c r="AT221" s="638"/>
      <c r="AU221" s="638"/>
      <c r="AV221" s="638"/>
      <c r="AW221" s="638"/>
      <c r="AX221" s="638"/>
      <c r="AY221" s="638"/>
      <c r="AZ221" s="638"/>
      <c r="BA221" s="638"/>
      <c r="BB221" s="638"/>
      <c r="BC221" s="638"/>
      <c r="BD221" s="638"/>
      <c r="BE221" s="638"/>
      <c r="BF221" s="638"/>
      <c r="BG221" s="638"/>
      <c r="BH221" s="638"/>
      <c r="BI221" s="638"/>
      <c r="BJ221" s="638"/>
      <c r="BK221" s="638"/>
      <c r="BL221" s="638"/>
      <c r="BM221" s="638"/>
      <c r="BN221" s="638">
        <f>SUM(Y221:BM221)</f>
        <v>35000000</v>
      </c>
    </row>
    <row r="222" spans="1:66" ht="53.25" customHeight="1">
      <c r="A222" s="1377"/>
      <c r="B222" s="1384"/>
      <c r="C222" s="1377"/>
      <c r="D222" s="1395"/>
      <c r="E222" s="1367"/>
      <c r="F222" s="1367"/>
      <c r="G222" s="1367"/>
      <c r="H222" s="1367"/>
      <c r="I222" s="1387"/>
      <c r="J222" s="1374"/>
      <c r="K222" s="374"/>
      <c r="L222" s="1516"/>
      <c r="M222" s="657" t="s">
        <v>1187</v>
      </c>
      <c r="N222" s="1366"/>
      <c r="O222" s="1366"/>
      <c r="P222" s="657"/>
      <c r="Q222" s="657"/>
      <c r="R222" s="1447"/>
      <c r="S222" s="1447"/>
      <c r="T222" s="1447"/>
      <c r="U222" s="1447"/>
      <c r="V222" s="1517"/>
      <c r="W222" s="374" t="s">
        <v>819</v>
      </c>
      <c r="X222" s="456" t="s">
        <v>1611</v>
      </c>
      <c r="Y222" s="638"/>
      <c r="Z222" s="638"/>
      <c r="AA222" s="638"/>
      <c r="AB222" s="638"/>
      <c r="AC222" s="638"/>
      <c r="AD222" s="638"/>
      <c r="AE222" s="638"/>
      <c r="AF222" s="638"/>
      <c r="AG222" s="638"/>
      <c r="AH222" s="638"/>
      <c r="AI222" s="638"/>
      <c r="AJ222" s="638"/>
      <c r="AK222" s="460"/>
      <c r="AL222" s="638"/>
      <c r="AM222" s="638">
        <v>8000000000</v>
      </c>
      <c r="AN222" s="638"/>
      <c r="AO222" s="638"/>
      <c r="AP222" s="638"/>
      <c r="AQ222" s="638"/>
      <c r="AR222" s="638"/>
      <c r="AS222" s="638"/>
      <c r="AT222" s="638"/>
      <c r="AU222" s="638"/>
      <c r="AV222" s="638"/>
      <c r="AW222" s="638"/>
      <c r="AX222" s="638"/>
      <c r="AY222" s="638"/>
      <c r="AZ222" s="638"/>
      <c r="BA222" s="638"/>
      <c r="BB222" s="638"/>
      <c r="BC222" s="638"/>
      <c r="BD222" s="638"/>
      <c r="BE222" s="638"/>
      <c r="BF222" s="638"/>
      <c r="BG222" s="638"/>
      <c r="BH222" s="638"/>
      <c r="BI222" s="638"/>
      <c r="BJ222" s="638"/>
      <c r="BK222" s="638"/>
      <c r="BL222" s="638"/>
      <c r="BM222" s="638"/>
      <c r="BN222" s="638">
        <f>SUM(Y222:BM222)</f>
        <v>8000000000</v>
      </c>
    </row>
    <row r="223" spans="1:66" ht="122.25" customHeight="1">
      <c r="A223" s="1377"/>
      <c r="B223" s="1384"/>
      <c r="C223" s="1377"/>
      <c r="D223" s="1395"/>
      <c r="E223" s="1367"/>
      <c r="F223" s="1367"/>
      <c r="G223" s="1367"/>
      <c r="H223" s="1367"/>
      <c r="I223" s="1387"/>
      <c r="J223" s="1374"/>
      <c r="K223" s="374"/>
      <c r="L223" s="658" t="s">
        <v>1188</v>
      </c>
      <c r="M223" s="657" t="s">
        <v>1189</v>
      </c>
      <c r="N223" s="375"/>
      <c r="O223" s="657">
        <v>1</v>
      </c>
      <c r="P223" s="657"/>
      <c r="Q223" s="657"/>
      <c r="R223" s="1447"/>
      <c r="S223" s="1447"/>
      <c r="T223" s="1447"/>
      <c r="U223" s="1447"/>
      <c r="V223" s="1518"/>
      <c r="W223" s="374" t="s">
        <v>819</v>
      </c>
      <c r="X223" s="456"/>
      <c r="Y223" s="638"/>
      <c r="Z223" s="638"/>
      <c r="AA223" s="638"/>
      <c r="AB223" s="638"/>
      <c r="AC223" s="638"/>
      <c r="AD223" s="638"/>
      <c r="AE223" s="638"/>
      <c r="AF223" s="638"/>
      <c r="AG223" s="638"/>
      <c r="AH223" s="638"/>
      <c r="AI223" s="638"/>
      <c r="AJ223" s="638"/>
      <c r="AK223" s="460"/>
      <c r="AL223" s="638"/>
      <c r="AM223" s="638"/>
      <c r="AN223" s="638"/>
      <c r="AO223" s="638"/>
      <c r="AP223" s="638"/>
      <c r="AQ223" s="638"/>
      <c r="AR223" s="638"/>
      <c r="AS223" s="638"/>
      <c r="AT223" s="638"/>
      <c r="AU223" s="638"/>
      <c r="AV223" s="638"/>
      <c r="AW223" s="638"/>
      <c r="AX223" s="638"/>
      <c r="AY223" s="638"/>
      <c r="AZ223" s="638"/>
      <c r="BA223" s="638"/>
      <c r="BB223" s="638"/>
      <c r="BC223" s="638"/>
      <c r="BD223" s="638"/>
      <c r="BE223" s="638"/>
      <c r="BF223" s="638"/>
      <c r="BG223" s="638"/>
      <c r="BH223" s="638"/>
      <c r="BI223" s="638"/>
      <c r="BJ223" s="638"/>
      <c r="BK223" s="638"/>
      <c r="BL223" s="638"/>
      <c r="BM223" s="638"/>
      <c r="BN223" s="638">
        <f>SUM(Y223:BM223)</f>
        <v>0</v>
      </c>
    </row>
    <row r="224" spans="1:68" ht="29.25" customHeight="1">
      <c r="A224" s="1377"/>
      <c r="B224" s="1384"/>
      <c r="C224" s="1377"/>
      <c r="D224" s="1395"/>
      <c r="E224" s="657"/>
      <c r="F224" s="657"/>
      <c r="G224" s="657"/>
      <c r="H224" s="657"/>
      <c r="I224" s="651"/>
      <c r="J224" s="1462" t="s">
        <v>1478</v>
      </c>
      <c r="K224" s="1463"/>
      <c r="L224" s="1463"/>
      <c r="M224" s="1463"/>
      <c r="N224" s="1463"/>
      <c r="O224" s="1463"/>
      <c r="P224" s="1463"/>
      <c r="Q224" s="1463"/>
      <c r="R224" s="1463"/>
      <c r="S224" s="1463"/>
      <c r="T224" s="1463"/>
      <c r="U224" s="1463"/>
      <c r="V224" s="1463"/>
      <c r="W224" s="1463"/>
      <c r="X224" s="1464"/>
      <c r="Y224" s="462">
        <f>SUM(Y214:Y223)</f>
        <v>0</v>
      </c>
      <c r="Z224" s="462">
        <f aca="true" t="shared" si="24" ref="Z224:BM224">SUM(Z214:Z223)</f>
        <v>0</v>
      </c>
      <c r="AA224" s="462">
        <f t="shared" si="24"/>
        <v>0</v>
      </c>
      <c r="AB224" s="462">
        <f t="shared" si="24"/>
        <v>0</v>
      </c>
      <c r="AC224" s="462">
        <f t="shared" si="24"/>
        <v>0</v>
      </c>
      <c r="AD224" s="462">
        <f t="shared" si="24"/>
        <v>0</v>
      </c>
      <c r="AE224" s="462">
        <f t="shared" si="24"/>
        <v>0</v>
      </c>
      <c r="AF224" s="462">
        <f t="shared" si="24"/>
        <v>0</v>
      </c>
      <c r="AG224" s="462">
        <f t="shared" si="24"/>
        <v>0</v>
      </c>
      <c r="AH224" s="462">
        <f t="shared" si="24"/>
        <v>0</v>
      </c>
      <c r="AI224" s="462">
        <f t="shared" si="24"/>
        <v>0</v>
      </c>
      <c r="AJ224" s="462">
        <f t="shared" si="24"/>
        <v>0</v>
      </c>
      <c r="AK224" s="462">
        <f t="shared" si="24"/>
        <v>0</v>
      </c>
      <c r="AL224" s="462">
        <f t="shared" si="24"/>
        <v>150000000</v>
      </c>
      <c r="AM224" s="462">
        <f t="shared" si="24"/>
        <v>8000000000</v>
      </c>
      <c r="AN224" s="462">
        <f t="shared" si="24"/>
        <v>0</v>
      </c>
      <c r="AO224" s="462">
        <f t="shared" si="24"/>
        <v>0</v>
      </c>
      <c r="AP224" s="462">
        <f t="shared" si="24"/>
        <v>0</v>
      </c>
      <c r="AQ224" s="462">
        <f t="shared" si="24"/>
        <v>0</v>
      </c>
      <c r="AR224" s="462">
        <f t="shared" si="24"/>
        <v>0</v>
      </c>
      <c r="AS224" s="462">
        <f t="shared" si="24"/>
        <v>0</v>
      </c>
      <c r="AT224" s="462">
        <f t="shared" si="24"/>
        <v>0</v>
      </c>
      <c r="AU224" s="462">
        <f t="shared" si="24"/>
        <v>0</v>
      </c>
      <c r="AV224" s="462">
        <f t="shared" si="24"/>
        <v>0</v>
      </c>
      <c r="AW224" s="462">
        <f t="shared" si="24"/>
        <v>0</v>
      </c>
      <c r="AX224" s="462">
        <f t="shared" si="24"/>
        <v>0</v>
      </c>
      <c r="AY224" s="462">
        <f t="shared" si="24"/>
        <v>0</v>
      </c>
      <c r="AZ224" s="462">
        <f t="shared" si="24"/>
        <v>0</v>
      </c>
      <c r="BA224" s="462">
        <f t="shared" si="24"/>
        <v>0</v>
      </c>
      <c r="BB224" s="462">
        <f t="shared" si="24"/>
        <v>0</v>
      </c>
      <c r="BC224" s="462">
        <f t="shared" si="24"/>
        <v>0</v>
      </c>
      <c r="BD224" s="462">
        <f t="shared" si="24"/>
        <v>0</v>
      </c>
      <c r="BE224" s="462">
        <f t="shared" si="24"/>
        <v>0</v>
      </c>
      <c r="BF224" s="462">
        <f t="shared" si="24"/>
        <v>0</v>
      </c>
      <c r="BG224" s="462">
        <f t="shared" si="24"/>
        <v>0</v>
      </c>
      <c r="BH224" s="462">
        <f t="shared" si="24"/>
        <v>0</v>
      </c>
      <c r="BI224" s="462">
        <f t="shared" si="24"/>
        <v>0</v>
      </c>
      <c r="BJ224" s="462">
        <f t="shared" si="24"/>
        <v>0</v>
      </c>
      <c r="BK224" s="462">
        <f t="shared" si="24"/>
        <v>0</v>
      </c>
      <c r="BL224" s="462">
        <f t="shared" si="24"/>
        <v>0</v>
      </c>
      <c r="BM224" s="462">
        <f t="shared" si="24"/>
        <v>0</v>
      </c>
      <c r="BN224" s="462">
        <f>SUM(BN214:BN223)</f>
        <v>8150000000</v>
      </c>
      <c r="BO224" s="412" t="s">
        <v>1616</v>
      </c>
      <c r="BP224" s="412">
        <v>150000000</v>
      </c>
    </row>
    <row r="225" spans="1:66" ht="66" customHeight="1">
      <c r="A225" s="1377"/>
      <c r="B225" s="1384"/>
      <c r="C225" s="1377"/>
      <c r="D225" s="1395"/>
      <c r="E225" s="655" t="s">
        <v>1190</v>
      </c>
      <c r="F225" s="655" t="s">
        <v>1191</v>
      </c>
      <c r="G225" s="383" t="s">
        <v>1192</v>
      </c>
      <c r="H225" s="365"/>
      <c r="I225" s="1376">
        <v>2</v>
      </c>
      <c r="J225" s="1331" t="s">
        <v>1193</v>
      </c>
      <c r="K225" s="666"/>
      <c r="L225" s="658" t="s">
        <v>1194</v>
      </c>
      <c r="M225" s="655" t="s">
        <v>1195</v>
      </c>
      <c r="N225" s="657" t="s">
        <v>1196</v>
      </c>
      <c r="O225" s="657" t="s">
        <v>1197</v>
      </c>
      <c r="P225" s="657" t="s">
        <v>1198</v>
      </c>
      <c r="Q225" s="657" t="s">
        <v>1198</v>
      </c>
      <c r="R225" s="1509">
        <v>65100000</v>
      </c>
      <c r="S225" s="1509">
        <v>10150000</v>
      </c>
      <c r="T225" s="1509">
        <v>8200000</v>
      </c>
      <c r="U225" s="1509">
        <v>4900000</v>
      </c>
      <c r="V225" s="1509">
        <v>88350000</v>
      </c>
      <c r="W225" s="391" t="s">
        <v>819</v>
      </c>
      <c r="X225" s="441" t="s">
        <v>1560</v>
      </c>
      <c r="Y225" s="460"/>
      <c r="Z225" s="460"/>
      <c r="AA225" s="460"/>
      <c r="AB225" s="460"/>
      <c r="AC225" s="460"/>
      <c r="AD225" s="460"/>
      <c r="AE225" s="460"/>
      <c r="AF225" s="460"/>
      <c r="AG225" s="460"/>
      <c r="AH225" s="460"/>
      <c r="AI225" s="460"/>
      <c r="AJ225" s="460"/>
      <c r="AK225" s="460"/>
      <c r="AL225" s="460">
        <f>300000000+50000000</f>
        <v>350000000</v>
      </c>
      <c r="AM225" s="460">
        <v>51000000000</v>
      </c>
      <c r="AN225" s="460"/>
      <c r="AO225" s="460"/>
      <c r="AP225" s="460"/>
      <c r="AQ225" s="460"/>
      <c r="AR225" s="460"/>
      <c r="AS225" s="460"/>
      <c r="AT225" s="460"/>
      <c r="AU225" s="460"/>
      <c r="AV225" s="460"/>
      <c r="AW225" s="460"/>
      <c r="AX225" s="460"/>
      <c r="AY225" s="460"/>
      <c r="AZ225" s="460"/>
      <c r="BA225" s="460"/>
      <c r="BB225" s="460"/>
      <c r="BC225" s="460"/>
      <c r="BD225" s="460"/>
      <c r="BE225" s="460"/>
      <c r="BF225" s="460"/>
      <c r="BG225" s="460"/>
      <c r="BH225" s="460"/>
      <c r="BI225" s="460"/>
      <c r="BJ225" s="460"/>
      <c r="BK225" s="460"/>
      <c r="BL225" s="460"/>
      <c r="BM225" s="460"/>
      <c r="BN225" s="460">
        <f>SUM(Y225:BM225)</f>
        <v>51350000000</v>
      </c>
    </row>
    <row r="226" spans="1:66" ht="46.5" customHeight="1">
      <c r="A226" s="1377"/>
      <c r="B226" s="1384"/>
      <c r="C226" s="1377"/>
      <c r="D226" s="1395"/>
      <c r="E226" s="655" t="s">
        <v>1199</v>
      </c>
      <c r="F226" s="655" t="s">
        <v>1200</v>
      </c>
      <c r="G226" s="365"/>
      <c r="H226" s="365"/>
      <c r="I226" s="1378"/>
      <c r="J226" s="1332"/>
      <c r="K226" s="666"/>
      <c r="L226" s="658" t="s">
        <v>1201</v>
      </c>
      <c r="M226" s="655" t="s">
        <v>1202</v>
      </c>
      <c r="N226" s="657">
        <v>1</v>
      </c>
      <c r="O226" s="657">
        <v>1</v>
      </c>
      <c r="P226" s="657">
        <v>1</v>
      </c>
      <c r="Q226" s="657">
        <v>1</v>
      </c>
      <c r="R226" s="1510"/>
      <c r="S226" s="1510"/>
      <c r="T226" s="1510"/>
      <c r="U226" s="1510"/>
      <c r="V226" s="1510"/>
      <c r="W226" s="391" t="s">
        <v>819</v>
      </c>
      <c r="X226" s="441" t="s">
        <v>1595</v>
      </c>
      <c r="Y226" s="460"/>
      <c r="Z226" s="460"/>
      <c r="AA226" s="460"/>
      <c r="AB226" s="460"/>
      <c r="AC226" s="460"/>
      <c r="AD226" s="460"/>
      <c r="AE226" s="460"/>
      <c r="AF226" s="460"/>
      <c r="AG226" s="460"/>
      <c r="AH226" s="460"/>
      <c r="AI226" s="460"/>
      <c r="AJ226" s="460">
        <v>50000000</v>
      </c>
      <c r="AK226" s="460"/>
      <c r="AL226" s="460">
        <f>100000000-50000000</f>
        <v>50000000</v>
      </c>
      <c r="AM226" s="460"/>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c r="BH226" s="460"/>
      <c r="BI226" s="460"/>
      <c r="BJ226" s="460"/>
      <c r="BK226" s="460"/>
      <c r="BL226" s="460"/>
      <c r="BM226" s="460"/>
      <c r="BN226" s="460">
        <f>SUM(Y226:BM226)</f>
        <v>100000000</v>
      </c>
    </row>
    <row r="227" spans="1:68" ht="33" customHeight="1">
      <c r="A227" s="1377"/>
      <c r="B227" s="1384"/>
      <c r="C227" s="1377"/>
      <c r="D227" s="1395"/>
      <c r="E227" s="655"/>
      <c r="F227" s="391"/>
      <c r="G227" s="365"/>
      <c r="H227" s="365"/>
      <c r="I227" s="652"/>
      <c r="J227" s="1511" t="s">
        <v>1479</v>
      </c>
      <c r="K227" s="1512"/>
      <c r="L227" s="1512"/>
      <c r="M227" s="1512"/>
      <c r="N227" s="1512"/>
      <c r="O227" s="1512"/>
      <c r="P227" s="1512"/>
      <c r="Q227" s="1512"/>
      <c r="R227" s="1512"/>
      <c r="S227" s="1512"/>
      <c r="T227" s="1512"/>
      <c r="U227" s="1512"/>
      <c r="V227" s="1512"/>
      <c r="W227" s="1512"/>
      <c r="X227" s="1513"/>
      <c r="Y227" s="462">
        <f>SUM(Y225:Y226)</f>
        <v>0</v>
      </c>
      <c r="Z227" s="462">
        <f aca="true" t="shared" si="25" ref="Z227:BM227">SUM(Z225:Z226)</f>
        <v>0</v>
      </c>
      <c r="AA227" s="462">
        <f t="shared" si="25"/>
        <v>0</v>
      </c>
      <c r="AB227" s="462">
        <f t="shared" si="25"/>
        <v>0</v>
      </c>
      <c r="AC227" s="462">
        <f t="shared" si="25"/>
        <v>0</v>
      </c>
      <c r="AD227" s="462">
        <f t="shared" si="25"/>
        <v>0</v>
      </c>
      <c r="AE227" s="462">
        <f t="shared" si="25"/>
        <v>0</v>
      </c>
      <c r="AF227" s="462">
        <f t="shared" si="25"/>
        <v>0</v>
      </c>
      <c r="AG227" s="462">
        <f t="shared" si="25"/>
        <v>0</v>
      </c>
      <c r="AH227" s="462">
        <f t="shared" si="25"/>
        <v>0</v>
      </c>
      <c r="AI227" s="462">
        <f t="shared" si="25"/>
        <v>0</v>
      </c>
      <c r="AJ227" s="462">
        <f t="shared" si="25"/>
        <v>50000000</v>
      </c>
      <c r="AK227" s="462">
        <f t="shared" si="25"/>
        <v>0</v>
      </c>
      <c r="AL227" s="462">
        <f t="shared" si="25"/>
        <v>400000000</v>
      </c>
      <c r="AM227" s="462">
        <f t="shared" si="25"/>
        <v>51000000000</v>
      </c>
      <c r="AN227" s="462">
        <f t="shared" si="25"/>
        <v>0</v>
      </c>
      <c r="AO227" s="462">
        <f t="shared" si="25"/>
        <v>0</v>
      </c>
      <c r="AP227" s="462">
        <f t="shared" si="25"/>
        <v>0</v>
      </c>
      <c r="AQ227" s="462">
        <f t="shared" si="25"/>
        <v>0</v>
      </c>
      <c r="AR227" s="462">
        <f t="shared" si="25"/>
        <v>0</v>
      </c>
      <c r="AS227" s="462">
        <f t="shared" si="25"/>
        <v>0</v>
      </c>
      <c r="AT227" s="462">
        <f t="shared" si="25"/>
        <v>0</v>
      </c>
      <c r="AU227" s="462">
        <f t="shared" si="25"/>
        <v>0</v>
      </c>
      <c r="AV227" s="462">
        <f t="shared" si="25"/>
        <v>0</v>
      </c>
      <c r="AW227" s="462">
        <f t="shared" si="25"/>
        <v>0</v>
      </c>
      <c r="AX227" s="462">
        <f t="shared" si="25"/>
        <v>0</v>
      </c>
      <c r="AY227" s="462">
        <f t="shared" si="25"/>
        <v>0</v>
      </c>
      <c r="AZ227" s="462">
        <f t="shared" si="25"/>
        <v>0</v>
      </c>
      <c r="BA227" s="462">
        <f t="shared" si="25"/>
        <v>0</v>
      </c>
      <c r="BB227" s="462">
        <f t="shared" si="25"/>
        <v>0</v>
      </c>
      <c r="BC227" s="462">
        <f t="shared" si="25"/>
        <v>0</v>
      </c>
      <c r="BD227" s="462">
        <f t="shared" si="25"/>
        <v>0</v>
      </c>
      <c r="BE227" s="462">
        <f t="shared" si="25"/>
        <v>0</v>
      </c>
      <c r="BF227" s="462">
        <f t="shared" si="25"/>
        <v>0</v>
      </c>
      <c r="BG227" s="462">
        <f t="shared" si="25"/>
        <v>0</v>
      </c>
      <c r="BH227" s="462">
        <f t="shared" si="25"/>
        <v>0</v>
      </c>
      <c r="BI227" s="462">
        <f t="shared" si="25"/>
        <v>0</v>
      </c>
      <c r="BJ227" s="462">
        <f t="shared" si="25"/>
        <v>0</v>
      </c>
      <c r="BK227" s="462">
        <f t="shared" si="25"/>
        <v>0</v>
      </c>
      <c r="BL227" s="462">
        <f t="shared" si="25"/>
        <v>0</v>
      </c>
      <c r="BM227" s="462">
        <f t="shared" si="25"/>
        <v>0</v>
      </c>
      <c r="BN227" s="462">
        <f>SUM(BN225:BN226)</f>
        <v>51450000000</v>
      </c>
      <c r="BO227" s="412" t="s">
        <v>1616</v>
      </c>
      <c r="BP227" s="412">
        <v>400000000</v>
      </c>
    </row>
    <row r="228" spans="1:66" ht="42" customHeight="1">
      <c r="A228" s="1377"/>
      <c r="B228" s="1384"/>
      <c r="C228" s="1377"/>
      <c r="D228" s="1395"/>
      <c r="E228" s="657" t="s">
        <v>1203</v>
      </c>
      <c r="F228" s="374" t="s">
        <v>1204</v>
      </c>
      <c r="G228" s="662">
        <v>0.8</v>
      </c>
      <c r="H228" s="662">
        <v>0.88</v>
      </c>
      <c r="I228" s="1376">
        <v>1</v>
      </c>
      <c r="J228" s="1375" t="s">
        <v>1205</v>
      </c>
      <c r="K228" s="666"/>
      <c r="L228" s="658" t="s">
        <v>1206</v>
      </c>
      <c r="M228" s="657" t="s">
        <v>1207</v>
      </c>
      <c r="N228" s="367"/>
      <c r="O228" s="662"/>
      <c r="P228" s="662">
        <v>0.06</v>
      </c>
      <c r="Q228" s="662">
        <v>0.02</v>
      </c>
      <c r="R228" s="1460">
        <v>20050000</v>
      </c>
      <c r="S228" s="1460">
        <v>76000</v>
      </c>
      <c r="T228" s="1460">
        <v>200000</v>
      </c>
      <c r="U228" s="1460">
        <v>100000</v>
      </c>
      <c r="V228" s="1460">
        <v>20426000</v>
      </c>
      <c r="W228" s="374" t="s">
        <v>1208</v>
      </c>
      <c r="X228" s="1514" t="s">
        <v>1561</v>
      </c>
      <c r="Y228" s="1475"/>
      <c r="Z228" s="1475"/>
      <c r="AA228" s="1475"/>
      <c r="AB228" s="1475"/>
      <c r="AC228" s="1475"/>
      <c r="AD228" s="1475"/>
      <c r="AE228" s="1475"/>
      <c r="AF228" s="1475"/>
      <c r="AG228" s="1475"/>
      <c r="AH228" s="1475"/>
      <c r="AI228" s="1475"/>
      <c r="AJ228" s="1475"/>
      <c r="AK228" s="1445"/>
      <c r="AL228" s="1475">
        <v>50000000</v>
      </c>
      <c r="AM228" s="1475"/>
      <c r="AN228" s="1475"/>
      <c r="AO228" s="460"/>
      <c r="AP228" s="1475"/>
      <c r="AQ228" s="1475"/>
      <c r="AR228" s="1475"/>
      <c r="AS228" s="1475"/>
      <c r="AT228" s="1475"/>
      <c r="AU228" s="1475"/>
      <c r="AV228" s="1475"/>
      <c r="AW228" s="1475"/>
      <c r="AX228" s="1475"/>
      <c r="AY228" s="1475"/>
      <c r="AZ228" s="1475"/>
      <c r="BA228" s="1445"/>
      <c r="BB228" s="1475"/>
      <c r="BC228" s="1475"/>
      <c r="BD228" s="1475"/>
      <c r="BE228" s="1475"/>
      <c r="BF228" s="1475"/>
      <c r="BG228" s="1475"/>
      <c r="BH228" s="1475"/>
      <c r="BI228" s="1475"/>
      <c r="BJ228" s="1475"/>
      <c r="BK228" s="1475"/>
      <c r="BL228" s="1475"/>
      <c r="BM228" s="1475"/>
      <c r="BN228" s="1475">
        <f>SUM(Y228:BM229)</f>
        <v>50000000</v>
      </c>
    </row>
    <row r="229" spans="1:66" ht="56.25" customHeight="1">
      <c r="A229" s="1377"/>
      <c r="B229" s="1384"/>
      <c r="C229" s="1377"/>
      <c r="D229" s="1395"/>
      <c r="E229" s="657" t="s">
        <v>1209</v>
      </c>
      <c r="F229" s="374" t="s">
        <v>1210</v>
      </c>
      <c r="G229" s="662">
        <v>0.15</v>
      </c>
      <c r="H229" s="662">
        <v>0.23</v>
      </c>
      <c r="I229" s="1377"/>
      <c r="J229" s="1375"/>
      <c r="K229" s="666"/>
      <c r="L229" s="658" t="s">
        <v>1211</v>
      </c>
      <c r="M229" s="657" t="s">
        <v>1207</v>
      </c>
      <c r="N229" s="367"/>
      <c r="O229" s="662"/>
      <c r="P229" s="662">
        <v>0.02</v>
      </c>
      <c r="Q229" s="662">
        <v>0.06</v>
      </c>
      <c r="R229" s="1460"/>
      <c r="S229" s="1460"/>
      <c r="T229" s="1460"/>
      <c r="U229" s="1460"/>
      <c r="V229" s="1460"/>
      <c r="W229" s="374" t="s">
        <v>1208</v>
      </c>
      <c r="X229" s="1514"/>
      <c r="Y229" s="1475"/>
      <c r="Z229" s="1475"/>
      <c r="AA229" s="1475"/>
      <c r="AB229" s="1475"/>
      <c r="AC229" s="1475"/>
      <c r="AD229" s="1475"/>
      <c r="AE229" s="1475"/>
      <c r="AF229" s="1475"/>
      <c r="AG229" s="1475"/>
      <c r="AH229" s="1475"/>
      <c r="AI229" s="1475"/>
      <c r="AJ229" s="1475"/>
      <c r="AK229" s="1363"/>
      <c r="AL229" s="1475"/>
      <c r="AM229" s="1475"/>
      <c r="AN229" s="1475"/>
      <c r="AO229" s="460"/>
      <c r="AP229" s="1475"/>
      <c r="AQ229" s="1475"/>
      <c r="AR229" s="1475"/>
      <c r="AS229" s="1475"/>
      <c r="AT229" s="1475"/>
      <c r="AU229" s="1475"/>
      <c r="AV229" s="1475"/>
      <c r="AW229" s="1475"/>
      <c r="AX229" s="1475"/>
      <c r="AY229" s="1475"/>
      <c r="AZ229" s="1475"/>
      <c r="BA229" s="1363"/>
      <c r="BB229" s="1475"/>
      <c r="BC229" s="1475"/>
      <c r="BD229" s="1475"/>
      <c r="BE229" s="1475"/>
      <c r="BF229" s="1475"/>
      <c r="BG229" s="1475"/>
      <c r="BH229" s="1475"/>
      <c r="BI229" s="1475"/>
      <c r="BJ229" s="1475"/>
      <c r="BK229" s="1475"/>
      <c r="BL229" s="1475"/>
      <c r="BM229" s="1475"/>
      <c r="BN229" s="1475"/>
    </row>
    <row r="230" spans="1:66" ht="81.75" customHeight="1">
      <c r="A230" s="1377"/>
      <c r="B230" s="1384"/>
      <c r="C230" s="1377"/>
      <c r="D230" s="1395"/>
      <c r="E230" s="657" t="s">
        <v>1212</v>
      </c>
      <c r="F230" s="374" t="s">
        <v>1213</v>
      </c>
      <c r="G230" s="662">
        <v>0.98</v>
      </c>
      <c r="H230" s="662">
        <v>1</v>
      </c>
      <c r="I230" s="1377"/>
      <c r="J230" s="1375"/>
      <c r="K230" s="666"/>
      <c r="L230" s="396" t="s">
        <v>1214</v>
      </c>
      <c r="M230" s="657" t="s">
        <v>1215</v>
      </c>
      <c r="N230" s="367"/>
      <c r="O230" s="662">
        <v>0.01</v>
      </c>
      <c r="P230" s="662">
        <v>0.01</v>
      </c>
      <c r="Q230" s="367"/>
      <c r="R230" s="1460"/>
      <c r="S230" s="1460"/>
      <c r="T230" s="1460"/>
      <c r="U230" s="1460"/>
      <c r="V230" s="1460"/>
      <c r="W230" s="374" t="s">
        <v>1208</v>
      </c>
      <c r="X230" s="451" t="s">
        <v>1594</v>
      </c>
      <c r="Y230" s="461"/>
      <c r="Z230" s="461"/>
      <c r="AA230" s="461"/>
      <c r="AB230" s="461"/>
      <c r="AC230" s="461"/>
      <c r="AD230" s="461"/>
      <c r="AE230" s="461"/>
      <c r="AF230" s="461"/>
      <c r="AG230" s="461"/>
      <c r="AH230" s="461"/>
      <c r="AI230" s="461"/>
      <c r="AJ230" s="461"/>
      <c r="AK230" s="460"/>
      <c r="AL230" s="461">
        <v>35000000</v>
      </c>
      <c r="AM230" s="461">
        <v>13316622830</v>
      </c>
      <c r="AN230" s="461"/>
      <c r="AO230" s="460"/>
      <c r="AP230" s="461"/>
      <c r="AQ230" s="461"/>
      <c r="AR230" s="461"/>
      <c r="AS230" s="461"/>
      <c r="AT230" s="461"/>
      <c r="AU230" s="461"/>
      <c r="AV230" s="461"/>
      <c r="AW230" s="461"/>
      <c r="AX230" s="461"/>
      <c r="AY230" s="461"/>
      <c r="AZ230" s="461"/>
      <c r="BA230" s="460"/>
      <c r="BB230" s="461"/>
      <c r="BC230" s="461"/>
      <c r="BD230" s="461"/>
      <c r="BE230" s="461"/>
      <c r="BF230" s="461"/>
      <c r="BG230" s="461"/>
      <c r="BH230" s="461"/>
      <c r="BI230" s="461"/>
      <c r="BJ230" s="461"/>
      <c r="BK230" s="461"/>
      <c r="BL230" s="461"/>
      <c r="BM230" s="461">
        <v>0</v>
      </c>
      <c r="BN230" s="461">
        <f>SUM(Y230:BM230)</f>
        <v>13351622830</v>
      </c>
    </row>
    <row r="231" spans="1:66" ht="81.75" customHeight="1">
      <c r="A231" s="1377"/>
      <c r="B231" s="1384"/>
      <c r="C231" s="1377"/>
      <c r="D231" s="1395"/>
      <c r="E231" s="657"/>
      <c r="F231" s="374"/>
      <c r="G231" s="662"/>
      <c r="H231" s="662"/>
      <c r="I231" s="1377"/>
      <c r="J231" s="1375"/>
      <c r="K231" s="666"/>
      <c r="L231" s="396"/>
      <c r="M231" s="657"/>
      <c r="N231" s="367"/>
      <c r="O231" s="662"/>
      <c r="P231" s="662"/>
      <c r="Q231" s="367"/>
      <c r="R231" s="1460"/>
      <c r="S231" s="1460"/>
      <c r="T231" s="1460"/>
      <c r="U231" s="1460"/>
      <c r="V231" s="1460"/>
      <c r="W231" s="374"/>
      <c r="X231" s="458" t="s">
        <v>1614</v>
      </c>
      <c r="Y231" s="463"/>
      <c r="Z231" s="463"/>
      <c r="AA231" s="463"/>
      <c r="AB231" s="463"/>
      <c r="AC231" s="463"/>
      <c r="AD231" s="463"/>
      <c r="AE231" s="463"/>
      <c r="AF231" s="463"/>
      <c r="AG231" s="463"/>
      <c r="AH231" s="463"/>
      <c r="AI231" s="463"/>
      <c r="AJ231" s="463"/>
      <c r="AK231" s="460"/>
      <c r="AL231" s="463"/>
      <c r="AM231" s="463">
        <v>1126896500</v>
      </c>
      <c r="AN231" s="463"/>
      <c r="AO231" s="460"/>
      <c r="AP231" s="463"/>
      <c r="AQ231" s="463"/>
      <c r="AR231" s="463"/>
      <c r="AS231" s="463"/>
      <c r="AT231" s="463"/>
      <c r="AU231" s="463"/>
      <c r="AV231" s="463"/>
      <c r="AW231" s="463"/>
      <c r="AX231" s="463"/>
      <c r="AY231" s="463"/>
      <c r="AZ231" s="463"/>
      <c r="BA231" s="460"/>
      <c r="BB231" s="463"/>
      <c r="BC231" s="463"/>
      <c r="BD231" s="463"/>
      <c r="BE231" s="463"/>
      <c r="BF231" s="463"/>
      <c r="BG231" s="463"/>
      <c r="BH231" s="463"/>
      <c r="BI231" s="463"/>
      <c r="BJ231" s="463"/>
      <c r="BK231" s="463"/>
      <c r="BL231" s="463"/>
      <c r="BM231" s="463"/>
      <c r="BN231" s="461">
        <f>SUM(Y231:BM231)</f>
        <v>1126896500</v>
      </c>
    </row>
    <row r="232" spans="1:66" ht="84" customHeight="1">
      <c r="A232" s="1377"/>
      <c r="B232" s="1384"/>
      <c r="C232" s="1377"/>
      <c r="D232" s="1395"/>
      <c r="E232" s="657" t="s">
        <v>1216</v>
      </c>
      <c r="F232" s="374" t="s">
        <v>1217</v>
      </c>
      <c r="G232" s="669">
        <v>0.5556</v>
      </c>
      <c r="H232" s="657" t="s">
        <v>1218</v>
      </c>
      <c r="I232" s="1377"/>
      <c r="J232" s="1375"/>
      <c r="K232" s="666"/>
      <c r="L232" s="396" t="s">
        <v>1219</v>
      </c>
      <c r="M232" s="657" t="s">
        <v>1220</v>
      </c>
      <c r="N232" s="367"/>
      <c r="O232" s="662">
        <v>0.06</v>
      </c>
      <c r="P232" s="662">
        <v>0.04</v>
      </c>
      <c r="Q232" s="662"/>
      <c r="R232" s="1460"/>
      <c r="S232" s="1460"/>
      <c r="T232" s="1460"/>
      <c r="U232" s="1460"/>
      <c r="V232" s="1460"/>
      <c r="W232" s="374" t="s">
        <v>1208</v>
      </c>
      <c r="X232" s="458" t="s">
        <v>615</v>
      </c>
      <c r="Y232" s="463"/>
      <c r="Z232" s="463"/>
      <c r="AA232" s="463"/>
      <c r="AB232" s="463"/>
      <c r="AC232" s="463"/>
      <c r="AD232" s="463"/>
      <c r="AE232" s="463"/>
      <c r="AF232" s="463"/>
      <c r="AG232" s="463"/>
      <c r="AH232" s="463"/>
      <c r="AI232" s="463"/>
      <c r="AJ232" s="463"/>
      <c r="AK232" s="460"/>
      <c r="AL232" s="463"/>
      <c r="AM232" s="463"/>
      <c r="AN232" s="463"/>
      <c r="AO232" s="460"/>
      <c r="AP232" s="463">
        <v>200000000</v>
      </c>
      <c r="AQ232" s="463"/>
      <c r="AR232" s="463"/>
      <c r="AS232" s="463"/>
      <c r="AT232" s="463"/>
      <c r="AU232" s="463"/>
      <c r="AV232" s="463"/>
      <c r="AW232" s="463"/>
      <c r="AX232" s="463"/>
      <c r="AY232" s="463"/>
      <c r="AZ232" s="463"/>
      <c r="BA232" s="460"/>
      <c r="BB232" s="463"/>
      <c r="BC232" s="463"/>
      <c r="BD232" s="463"/>
      <c r="BE232" s="463"/>
      <c r="BF232" s="463"/>
      <c r="BG232" s="463"/>
      <c r="BH232" s="463"/>
      <c r="BI232" s="463"/>
      <c r="BJ232" s="463"/>
      <c r="BK232" s="463"/>
      <c r="BL232" s="463"/>
      <c r="BM232" s="463"/>
      <c r="BN232" s="461">
        <f>SUM(Y232:BM232)</f>
        <v>200000000</v>
      </c>
    </row>
    <row r="233" spans="1:66" ht="56.25" customHeight="1" hidden="1">
      <c r="A233" s="1377"/>
      <c r="B233" s="1384"/>
      <c r="C233" s="1378"/>
      <c r="D233" s="1395"/>
      <c r="E233" s="661" t="s">
        <v>1221</v>
      </c>
      <c r="F233" s="376" t="s">
        <v>1222</v>
      </c>
      <c r="G233" s="661" t="s">
        <v>1223</v>
      </c>
      <c r="H233" s="661" t="s">
        <v>1224</v>
      </c>
      <c r="I233" s="1378"/>
      <c r="J233" s="1383"/>
      <c r="K233" s="390"/>
      <c r="L233" s="674" t="s">
        <v>1225</v>
      </c>
      <c r="M233" s="661" t="s">
        <v>1226</v>
      </c>
      <c r="N233" s="663"/>
      <c r="O233" s="384"/>
      <c r="P233" s="384">
        <v>0.05</v>
      </c>
      <c r="Q233" s="384"/>
      <c r="R233" s="1509"/>
      <c r="S233" s="1509"/>
      <c r="T233" s="1509"/>
      <c r="U233" s="1509"/>
      <c r="V233" s="1509"/>
      <c r="W233" s="376" t="s">
        <v>1208</v>
      </c>
      <c r="X233" s="441"/>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0"/>
      <c r="AY233" s="460"/>
      <c r="AZ233" s="460"/>
      <c r="BA233" s="460"/>
      <c r="BB233" s="460"/>
      <c r="BC233" s="460"/>
      <c r="BD233" s="460"/>
      <c r="BE233" s="460"/>
      <c r="BF233" s="460"/>
      <c r="BG233" s="460"/>
      <c r="BH233" s="460"/>
      <c r="BI233" s="460"/>
      <c r="BJ233" s="460"/>
      <c r="BK233" s="460"/>
      <c r="BL233" s="460"/>
      <c r="BM233" s="460"/>
      <c r="BN233" s="460"/>
    </row>
    <row r="234" spans="1:68" ht="27" customHeight="1">
      <c r="A234" s="1377"/>
      <c r="B234" s="1384"/>
      <c r="C234" s="652"/>
      <c r="D234" s="427"/>
      <c r="E234" s="422"/>
      <c r="F234" s="428"/>
      <c r="G234" s="422"/>
      <c r="H234" s="422"/>
      <c r="I234" s="424"/>
      <c r="J234" s="1456" t="s">
        <v>1480</v>
      </c>
      <c r="K234" s="1457"/>
      <c r="L234" s="1457"/>
      <c r="M234" s="1457"/>
      <c r="N234" s="1457"/>
      <c r="O234" s="1457"/>
      <c r="P234" s="1457"/>
      <c r="Q234" s="1457"/>
      <c r="R234" s="1457"/>
      <c r="S234" s="1457"/>
      <c r="T234" s="1457"/>
      <c r="U234" s="1457"/>
      <c r="V234" s="1457"/>
      <c r="W234" s="1457"/>
      <c r="X234" s="1458"/>
      <c r="Y234" s="462">
        <f>SUM(Y228:Y232)</f>
        <v>0</v>
      </c>
      <c r="Z234" s="462">
        <f aca="true" t="shared" si="26" ref="Z234:BM234">SUM(Z228:Z232)</f>
        <v>0</v>
      </c>
      <c r="AA234" s="462">
        <f t="shared" si="26"/>
        <v>0</v>
      </c>
      <c r="AB234" s="462">
        <f t="shared" si="26"/>
        <v>0</v>
      </c>
      <c r="AC234" s="462">
        <f t="shared" si="26"/>
        <v>0</v>
      </c>
      <c r="AD234" s="462">
        <f t="shared" si="26"/>
        <v>0</v>
      </c>
      <c r="AE234" s="462">
        <f t="shared" si="26"/>
        <v>0</v>
      </c>
      <c r="AF234" s="462">
        <f t="shared" si="26"/>
        <v>0</v>
      </c>
      <c r="AG234" s="462">
        <f t="shared" si="26"/>
        <v>0</v>
      </c>
      <c r="AH234" s="462">
        <f t="shared" si="26"/>
        <v>0</v>
      </c>
      <c r="AI234" s="462">
        <f t="shared" si="26"/>
        <v>0</v>
      </c>
      <c r="AJ234" s="462">
        <f t="shared" si="26"/>
        <v>0</v>
      </c>
      <c r="AK234" s="462">
        <f t="shared" si="26"/>
        <v>0</v>
      </c>
      <c r="AL234" s="462">
        <f t="shared" si="26"/>
        <v>85000000</v>
      </c>
      <c r="AM234" s="462">
        <f t="shared" si="26"/>
        <v>14443519330</v>
      </c>
      <c r="AN234" s="462">
        <f t="shared" si="26"/>
        <v>0</v>
      </c>
      <c r="AO234" s="462">
        <f t="shared" si="26"/>
        <v>0</v>
      </c>
      <c r="AP234" s="462">
        <f t="shared" si="26"/>
        <v>200000000</v>
      </c>
      <c r="AQ234" s="462">
        <f t="shared" si="26"/>
        <v>0</v>
      </c>
      <c r="AR234" s="462">
        <f t="shared" si="26"/>
        <v>0</v>
      </c>
      <c r="AS234" s="462">
        <f t="shared" si="26"/>
        <v>0</v>
      </c>
      <c r="AT234" s="462">
        <f t="shared" si="26"/>
        <v>0</v>
      </c>
      <c r="AU234" s="462">
        <f t="shared" si="26"/>
        <v>0</v>
      </c>
      <c r="AV234" s="462">
        <f t="shared" si="26"/>
        <v>0</v>
      </c>
      <c r="AW234" s="462">
        <f t="shared" si="26"/>
        <v>0</v>
      </c>
      <c r="AX234" s="462">
        <f t="shared" si="26"/>
        <v>0</v>
      </c>
      <c r="AY234" s="462">
        <f t="shared" si="26"/>
        <v>0</v>
      </c>
      <c r="AZ234" s="462">
        <f t="shared" si="26"/>
        <v>0</v>
      </c>
      <c r="BA234" s="462">
        <f t="shared" si="26"/>
        <v>0</v>
      </c>
      <c r="BB234" s="462">
        <f t="shared" si="26"/>
        <v>0</v>
      </c>
      <c r="BC234" s="462">
        <f t="shared" si="26"/>
        <v>0</v>
      </c>
      <c r="BD234" s="462">
        <f t="shared" si="26"/>
        <v>0</v>
      </c>
      <c r="BE234" s="462">
        <f t="shared" si="26"/>
        <v>0</v>
      </c>
      <c r="BF234" s="462">
        <f t="shared" si="26"/>
        <v>0</v>
      </c>
      <c r="BG234" s="462">
        <f t="shared" si="26"/>
        <v>0</v>
      </c>
      <c r="BH234" s="462">
        <f t="shared" si="26"/>
        <v>0</v>
      </c>
      <c r="BI234" s="462">
        <f t="shared" si="26"/>
        <v>0</v>
      </c>
      <c r="BJ234" s="462">
        <f t="shared" si="26"/>
        <v>0</v>
      </c>
      <c r="BK234" s="462">
        <f t="shared" si="26"/>
        <v>0</v>
      </c>
      <c r="BL234" s="462">
        <f t="shared" si="26"/>
        <v>0</v>
      </c>
      <c r="BM234" s="462">
        <f t="shared" si="26"/>
        <v>0</v>
      </c>
      <c r="BN234" s="462">
        <f>SUM(BN228:BN232)</f>
        <v>14728519330</v>
      </c>
      <c r="BO234" s="412" t="s">
        <v>1616</v>
      </c>
      <c r="BP234" s="412">
        <v>85000000</v>
      </c>
    </row>
    <row r="235" spans="1:66" ht="73.5" customHeight="1">
      <c r="A235" s="1377"/>
      <c r="B235" s="1384"/>
      <c r="C235" s="1376">
        <v>5</v>
      </c>
      <c r="D235" s="1379" t="s">
        <v>1227</v>
      </c>
      <c r="E235" s="1379" t="s">
        <v>1228</v>
      </c>
      <c r="F235" s="1379" t="s">
        <v>1229</v>
      </c>
      <c r="G235" s="1379" t="s">
        <v>1230</v>
      </c>
      <c r="H235" s="365"/>
      <c r="I235" s="365"/>
      <c r="J235" s="1385"/>
      <c r="K235" s="666"/>
      <c r="L235" s="400" t="s">
        <v>1231</v>
      </c>
      <c r="M235" s="377" t="s">
        <v>1232</v>
      </c>
      <c r="N235" s="367">
        <v>1</v>
      </c>
      <c r="O235" s="367">
        <v>1</v>
      </c>
      <c r="P235" s="367">
        <v>1</v>
      </c>
      <c r="Q235" s="367">
        <v>1</v>
      </c>
      <c r="R235" s="1469">
        <v>1200000</v>
      </c>
      <c r="S235" s="1469">
        <v>200000</v>
      </c>
      <c r="T235" s="1469">
        <v>300000</v>
      </c>
      <c r="U235" s="1469">
        <v>150000</v>
      </c>
      <c r="V235" s="1494">
        <v>1850000</v>
      </c>
      <c r="W235" s="393" t="s">
        <v>854</v>
      </c>
      <c r="X235" s="1470" t="s">
        <v>1562</v>
      </c>
      <c r="Y235" s="1439"/>
      <c r="Z235" s="1439"/>
      <c r="AA235" s="1439"/>
      <c r="AB235" s="1439"/>
      <c r="AC235" s="1439"/>
      <c r="AD235" s="1439"/>
      <c r="AE235" s="1439"/>
      <c r="AF235" s="1439"/>
      <c r="AG235" s="1439"/>
      <c r="AH235" s="1439"/>
      <c r="AI235" s="1439"/>
      <c r="AJ235" s="1439">
        <v>10000000</v>
      </c>
      <c r="AK235" s="1445"/>
      <c r="AL235" s="1439">
        <v>50000000</v>
      </c>
      <c r="AM235" s="1439"/>
      <c r="AN235" s="1439"/>
      <c r="AO235" s="1445"/>
      <c r="AP235" s="1439"/>
      <c r="AQ235" s="1439"/>
      <c r="AR235" s="1439"/>
      <c r="AS235" s="1439"/>
      <c r="AT235" s="1439"/>
      <c r="AU235" s="1439"/>
      <c r="AV235" s="1439"/>
      <c r="AW235" s="1439"/>
      <c r="AX235" s="1439"/>
      <c r="AY235" s="1439"/>
      <c r="AZ235" s="1439"/>
      <c r="BA235" s="1445"/>
      <c r="BB235" s="1439"/>
      <c r="BC235" s="1439"/>
      <c r="BD235" s="1439"/>
      <c r="BE235" s="1439"/>
      <c r="BF235" s="1439"/>
      <c r="BG235" s="1439"/>
      <c r="BH235" s="1439"/>
      <c r="BI235" s="1439"/>
      <c r="BJ235" s="1439"/>
      <c r="BK235" s="1439"/>
      <c r="BL235" s="1439"/>
      <c r="BM235" s="1439"/>
      <c r="BN235" s="1439">
        <f>SUM(Y235:BM237)</f>
        <v>60000000</v>
      </c>
    </row>
    <row r="236" spans="1:66" ht="63" customHeight="1">
      <c r="A236" s="1377"/>
      <c r="B236" s="1384"/>
      <c r="C236" s="1377"/>
      <c r="D236" s="1379"/>
      <c r="E236" s="1379"/>
      <c r="F236" s="1379"/>
      <c r="G236" s="1379"/>
      <c r="H236" s="365"/>
      <c r="I236" s="365"/>
      <c r="J236" s="1385"/>
      <c r="K236" s="666"/>
      <c r="L236" s="400" t="s">
        <v>1233</v>
      </c>
      <c r="M236" s="377" t="s">
        <v>1234</v>
      </c>
      <c r="N236" s="367"/>
      <c r="O236" s="367">
        <v>1</v>
      </c>
      <c r="P236" s="367">
        <v>1</v>
      </c>
      <c r="Q236" s="367"/>
      <c r="R236" s="1469"/>
      <c r="S236" s="1469"/>
      <c r="T236" s="1469"/>
      <c r="U236" s="1469"/>
      <c r="V236" s="1494"/>
      <c r="W236" s="393" t="s">
        <v>854</v>
      </c>
      <c r="X236" s="1471"/>
      <c r="Y236" s="1440"/>
      <c r="Z236" s="1440"/>
      <c r="AA236" s="1440"/>
      <c r="AB236" s="1440"/>
      <c r="AC236" s="1440"/>
      <c r="AD236" s="1440"/>
      <c r="AE236" s="1440"/>
      <c r="AF236" s="1440"/>
      <c r="AG236" s="1440"/>
      <c r="AH236" s="1440"/>
      <c r="AI236" s="1440"/>
      <c r="AJ236" s="1440"/>
      <c r="AK236" s="1446"/>
      <c r="AL236" s="1440"/>
      <c r="AM236" s="1440"/>
      <c r="AN236" s="1440"/>
      <c r="AO236" s="1446"/>
      <c r="AP236" s="1440"/>
      <c r="AQ236" s="1440"/>
      <c r="AR236" s="1440"/>
      <c r="AS236" s="1440"/>
      <c r="AT236" s="1440"/>
      <c r="AU236" s="1440"/>
      <c r="AV236" s="1440"/>
      <c r="AW236" s="1440"/>
      <c r="AX236" s="1440"/>
      <c r="AY236" s="1440"/>
      <c r="AZ236" s="1440"/>
      <c r="BA236" s="1446"/>
      <c r="BB236" s="1440"/>
      <c r="BC236" s="1440"/>
      <c r="BD236" s="1440"/>
      <c r="BE236" s="1440"/>
      <c r="BF236" s="1440"/>
      <c r="BG236" s="1440"/>
      <c r="BH236" s="1440"/>
      <c r="BI236" s="1440"/>
      <c r="BJ236" s="1440"/>
      <c r="BK236" s="1440"/>
      <c r="BL236" s="1440"/>
      <c r="BM236" s="1440"/>
      <c r="BN236" s="1440"/>
    </row>
    <row r="237" spans="1:66" ht="56.25" customHeight="1">
      <c r="A237" s="1377"/>
      <c r="B237" s="1384"/>
      <c r="C237" s="1377"/>
      <c r="D237" s="1379"/>
      <c r="E237" s="1379"/>
      <c r="F237" s="1379"/>
      <c r="G237" s="1379"/>
      <c r="H237" s="365"/>
      <c r="I237" s="365"/>
      <c r="J237" s="1385"/>
      <c r="K237" s="666"/>
      <c r="L237" s="400" t="s">
        <v>1235</v>
      </c>
      <c r="M237" s="377" t="s">
        <v>1236</v>
      </c>
      <c r="N237" s="367">
        <v>1</v>
      </c>
      <c r="O237" s="367">
        <v>1</v>
      </c>
      <c r="P237" s="367">
        <v>1</v>
      </c>
      <c r="Q237" s="367">
        <v>1</v>
      </c>
      <c r="R237" s="1469"/>
      <c r="S237" s="1469"/>
      <c r="T237" s="1469"/>
      <c r="U237" s="1469"/>
      <c r="V237" s="1494"/>
      <c r="W237" s="393" t="s">
        <v>854</v>
      </c>
      <c r="X237" s="1472"/>
      <c r="Y237" s="1455"/>
      <c r="Z237" s="1455"/>
      <c r="AA237" s="1455"/>
      <c r="AB237" s="1455"/>
      <c r="AC237" s="1455"/>
      <c r="AD237" s="1455"/>
      <c r="AE237" s="1455"/>
      <c r="AF237" s="1455"/>
      <c r="AG237" s="1455"/>
      <c r="AH237" s="1455"/>
      <c r="AI237" s="1455"/>
      <c r="AJ237" s="1455"/>
      <c r="AK237" s="1363"/>
      <c r="AL237" s="1455"/>
      <c r="AM237" s="1455"/>
      <c r="AN237" s="1455"/>
      <c r="AO237" s="1363"/>
      <c r="AP237" s="1455"/>
      <c r="AQ237" s="1455"/>
      <c r="AR237" s="1455"/>
      <c r="AS237" s="1455"/>
      <c r="AT237" s="1455"/>
      <c r="AU237" s="1455"/>
      <c r="AV237" s="1455"/>
      <c r="AW237" s="1455"/>
      <c r="AX237" s="1455"/>
      <c r="AY237" s="1455"/>
      <c r="AZ237" s="1455"/>
      <c r="BA237" s="1363"/>
      <c r="BB237" s="1455"/>
      <c r="BC237" s="1455"/>
      <c r="BD237" s="1455"/>
      <c r="BE237" s="1455"/>
      <c r="BF237" s="1455"/>
      <c r="BG237" s="1455"/>
      <c r="BH237" s="1455"/>
      <c r="BI237" s="1455"/>
      <c r="BJ237" s="1455"/>
      <c r="BK237" s="1455"/>
      <c r="BL237" s="1455"/>
      <c r="BM237" s="1455"/>
      <c r="BN237" s="1455"/>
    </row>
    <row r="238" spans="1:66" ht="56.25" customHeight="1" hidden="1">
      <c r="A238" s="1377"/>
      <c r="B238" s="1384"/>
      <c r="C238" s="1377"/>
      <c r="D238" s="1379"/>
      <c r="E238" s="1379"/>
      <c r="F238" s="1379"/>
      <c r="G238" s="1379"/>
      <c r="H238" s="365"/>
      <c r="I238" s="365"/>
      <c r="J238" s="1385"/>
      <c r="K238" s="666"/>
      <c r="L238" s="400" t="s">
        <v>1237</v>
      </c>
      <c r="M238" s="377" t="s">
        <v>1238</v>
      </c>
      <c r="N238" s="367">
        <v>1</v>
      </c>
      <c r="O238" s="367"/>
      <c r="P238" s="367"/>
      <c r="Q238" s="367"/>
      <c r="R238" s="1469"/>
      <c r="S238" s="1469"/>
      <c r="T238" s="1469"/>
      <c r="U238" s="1469"/>
      <c r="V238" s="1494"/>
      <c r="W238" s="393" t="s">
        <v>854</v>
      </c>
      <c r="X238" s="1470" t="s">
        <v>1563</v>
      </c>
      <c r="Y238" s="1439"/>
      <c r="Z238" s="1439"/>
      <c r="AA238" s="1439"/>
      <c r="AB238" s="1439"/>
      <c r="AC238" s="1439"/>
      <c r="AD238" s="1439"/>
      <c r="AE238" s="1439"/>
      <c r="AF238" s="1439"/>
      <c r="AG238" s="1439"/>
      <c r="AH238" s="1439"/>
      <c r="AI238" s="1439"/>
      <c r="AJ238" s="1439">
        <v>30000000</v>
      </c>
      <c r="AK238" s="460"/>
      <c r="AL238" s="1439">
        <v>30000000</v>
      </c>
      <c r="AM238" s="1439"/>
      <c r="AN238" s="1439"/>
      <c r="AO238" s="460"/>
      <c r="AP238" s="1439"/>
      <c r="AQ238" s="1439"/>
      <c r="AR238" s="1439"/>
      <c r="AS238" s="1439"/>
      <c r="AT238" s="1439"/>
      <c r="AU238" s="1439"/>
      <c r="AV238" s="1439"/>
      <c r="AW238" s="1439"/>
      <c r="AX238" s="1439"/>
      <c r="AY238" s="1439"/>
      <c r="AZ238" s="1439"/>
      <c r="BA238" s="460"/>
      <c r="BB238" s="1439"/>
      <c r="BC238" s="1439"/>
      <c r="BD238" s="1439"/>
      <c r="BE238" s="1439"/>
      <c r="BF238" s="1439"/>
      <c r="BG238" s="1439"/>
      <c r="BH238" s="1439"/>
      <c r="BI238" s="1439"/>
      <c r="BJ238" s="1439"/>
      <c r="BK238" s="1439"/>
      <c r="BL238" s="1439"/>
      <c r="BM238" s="1439"/>
      <c r="BN238" s="1439">
        <f>SUM(Y238:BM240)</f>
        <v>60000000</v>
      </c>
    </row>
    <row r="239" spans="1:66" ht="89.25" customHeight="1">
      <c r="A239" s="1377"/>
      <c r="B239" s="1384"/>
      <c r="C239" s="1377"/>
      <c r="D239" s="1379"/>
      <c r="E239" s="1379"/>
      <c r="F239" s="1379"/>
      <c r="G239" s="1379"/>
      <c r="H239" s="365"/>
      <c r="I239" s="365"/>
      <c r="J239" s="1385"/>
      <c r="K239" s="666"/>
      <c r="L239" s="400" t="s">
        <v>1239</v>
      </c>
      <c r="M239" s="377" t="s">
        <v>1240</v>
      </c>
      <c r="N239" s="367">
        <v>30</v>
      </c>
      <c r="O239" s="367">
        <v>30</v>
      </c>
      <c r="P239" s="367">
        <v>30</v>
      </c>
      <c r="Q239" s="367">
        <v>30</v>
      </c>
      <c r="R239" s="1469"/>
      <c r="S239" s="1469"/>
      <c r="T239" s="1469"/>
      <c r="U239" s="1469"/>
      <c r="V239" s="1494"/>
      <c r="W239" s="393" t="s">
        <v>854</v>
      </c>
      <c r="X239" s="1471"/>
      <c r="Y239" s="1440"/>
      <c r="Z239" s="1440"/>
      <c r="AA239" s="1440"/>
      <c r="AB239" s="1440"/>
      <c r="AC239" s="1440"/>
      <c r="AD239" s="1440"/>
      <c r="AE239" s="1440"/>
      <c r="AF239" s="1440"/>
      <c r="AG239" s="1440"/>
      <c r="AH239" s="1440"/>
      <c r="AI239" s="1440"/>
      <c r="AJ239" s="1440"/>
      <c r="AK239" s="1445"/>
      <c r="AL239" s="1440"/>
      <c r="AM239" s="1440"/>
      <c r="AN239" s="1440"/>
      <c r="AO239" s="460"/>
      <c r="AP239" s="1440"/>
      <c r="AQ239" s="1440"/>
      <c r="AR239" s="1440"/>
      <c r="AS239" s="1440"/>
      <c r="AT239" s="1440"/>
      <c r="AU239" s="1440"/>
      <c r="AV239" s="1440"/>
      <c r="AW239" s="1440"/>
      <c r="AX239" s="1440"/>
      <c r="AY239" s="1440"/>
      <c r="AZ239" s="1440"/>
      <c r="BA239" s="1445"/>
      <c r="BB239" s="1440"/>
      <c r="BC239" s="1440"/>
      <c r="BD239" s="1440"/>
      <c r="BE239" s="1440"/>
      <c r="BF239" s="1440"/>
      <c r="BG239" s="1440"/>
      <c r="BH239" s="1440"/>
      <c r="BI239" s="1440"/>
      <c r="BJ239" s="1440"/>
      <c r="BK239" s="1440"/>
      <c r="BL239" s="1440"/>
      <c r="BM239" s="1440"/>
      <c r="BN239" s="1440"/>
    </row>
    <row r="240" spans="1:66" ht="56.25" customHeight="1">
      <c r="A240" s="1377"/>
      <c r="B240" s="1384"/>
      <c r="C240" s="1377"/>
      <c r="D240" s="1379"/>
      <c r="E240" s="1379"/>
      <c r="F240" s="1379"/>
      <c r="G240" s="1379"/>
      <c r="H240" s="365"/>
      <c r="I240" s="365"/>
      <c r="J240" s="1385"/>
      <c r="K240" s="666"/>
      <c r="L240" s="400" t="s">
        <v>1241</v>
      </c>
      <c r="M240" s="377" t="s">
        <v>1242</v>
      </c>
      <c r="N240" s="367">
        <v>1</v>
      </c>
      <c r="O240" s="367">
        <v>1</v>
      </c>
      <c r="P240" s="367">
        <v>1</v>
      </c>
      <c r="Q240" s="367">
        <v>1</v>
      </c>
      <c r="R240" s="1469"/>
      <c r="S240" s="1469"/>
      <c r="T240" s="1469"/>
      <c r="U240" s="1469"/>
      <c r="V240" s="1494"/>
      <c r="W240" s="393" t="s">
        <v>854</v>
      </c>
      <c r="X240" s="1472"/>
      <c r="Y240" s="1455"/>
      <c r="Z240" s="1455"/>
      <c r="AA240" s="1455"/>
      <c r="AB240" s="1455"/>
      <c r="AC240" s="1455"/>
      <c r="AD240" s="1455"/>
      <c r="AE240" s="1455"/>
      <c r="AF240" s="1455"/>
      <c r="AG240" s="1455"/>
      <c r="AH240" s="1455"/>
      <c r="AI240" s="1455"/>
      <c r="AJ240" s="1455"/>
      <c r="AK240" s="1363"/>
      <c r="AL240" s="1455"/>
      <c r="AM240" s="1455"/>
      <c r="AN240" s="1455"/>
      <c r="AO240" s="460"/>
      <c r="AP240" s="1455"/>
      <c r="AQ240" s="1455"/>
      <c r="AR240" s="1455"/>
      <c r="AS240" s="1455"/>
      <c r="AT240" s="1455"/>
      <c r="AU240" s="1455"/>
      <c r="AV240" s="1455"/>
      <c r="AW240" s="1455"/>
      <c r="AX240" s="1455"/>
      <c r="AY240" s="1455"/>
      <c r="AZ240" s="1455"/>
      <c r="BA240" s="1363"/>
      <c r="BB240" s="1455"/>
      <c r="BC240" s="1455"/>
      <c r="BD240" s="1455"/>
      <c r="BE240" s="1455"/>
      <c r="BF240" s="1455"/>
      <c r="BG240" s="1455"/>
      <c r="BH240" s="1455"/>
      <c r="BI240" s="1455"/>
      <c r="BJ240" s="1455"/>
      <c r="BK240" s="1455"/>
      <c r="BL240" s="1455"/>
      <c r="BM240" s="1455"/>
      <c r="BN240" s="1455"/>
    </row>
    <row r="241" spans="1:66" ht="56.25" customHeight="1">
      <c r="A241" s="1377"/>
      <c r="B241" s="1384"/>
      <c r="C241" s="1377"/>
      <c r="D241" s="1379"/>
      <c r="E241" s="1379"/>
      <c r="F241" s="1379"/>
      <c r="G241" s="1379"/>
      <c r="H241" s="365"/>
      <c r="I241" s="365"/>
      <c r="J241" s="1385"/>
      <c r="K241" s="666"/>
      <c r="L241" s="400" t="s">
        <v>1243</v>
      </c>
      <c r="M241" s="377" t="s">
        <v>1244</v>
      </c>
      <c r="N241" s="367">
        <v>1</v>
      </c>
      <c r="O241" s="367">
        <v>1</v>
      </c>
      <c r="P241" s="367">
        <v>1</v>
      </c>
      <c r="Q241" s="367">
        <v>1</v>
      </c>
      <c r="R241" s="1469"/>
      <c r="S241" s="1469"/>
      <c r="T241" s="1469"/>
      <c r="U241" s="1469"/>
      <c r="V241" s="1494"/>
      <c r="W241" s="393" t="s">
        <v>854</v>
      </c>
      <c r="X241" s="1449" t="s">
        <v>1578</v>
      </c>
      <c r="Y241" s="1436"/>
      <c r="Z241" s="1436"/>
      <c r="AA241" s="1436"/>
      <c r="AB241" s="1436"/>
      <c r="AC241" s="1436"/>
      <c r="AD241" s="1436"/>
      <c r="AE241" s="1436"/>
      <c r="AF241" s="1436"/>
      <c r="AG241" s="1436"/>
      <c r="AH241" s="1436"/>
      <c r="AI241" s="1436"/>
      <c r="AJ241" s="1436">
        <v>10000000</v>
      </c>
      <c r="AK241" s="1436"/>
      <c r="AL241" s="1436">
        <v>60000000</v>
      </c>
      <c r="AM241" s="1436"/>
      <c r="AN241" s="1436"/>
      <c r="AO241" s="1436"/>
      <c r="AP241" s="1436"/>
      <c r="AQ241" s="1436"/>
      <c r="AR241" s="1436"/>
      <c r="AS241" s="1436"/>
      <c r="AT241" s="1436"/>
      <c r="AU241" s="1436"/>
      <c r="AV241" s="1436"/>
      <c r="AW241" s="1436"/>
      <c r="AX241" s="1436"/>
      <c r="AY241" s="1436"/>
      <c r="AZ241" s="1436"/>
      <c r="BA241" s="1436"/>
      <c r="BB241" s="1436"/>
      <c r="BC241" s="1436"/>
      <c r="BD241" s="1436"/>
      <c r="BE241" s="1436"/>
      <c r="BF241" s="1436"/>
      <c r="BG241" s="1436"/>
      <c r="BH241" s="1436"/>
      <c r="BI241" s="1436"/>
      <c r="BJ241" s="1436"/>
      <c r="BK241" s="1436"/>
      <c r="BL241" s="1436"/>
      <c r="BM241" s="1436"/>
      <c r="BN241" s="1436">
        <f>SUM(Y241:BM243)</f>
        <v>70000000</v>
      </c>
    </row>
    <row r="242" spans="1:66" ht="66" customHeight="1">
      <c r="A242" s="1377"/>
      <c r="B242" s="1384"/>
      <c r="C242" s="1377"/>
      <c r="D242" s="1379"/>
      <c r="E242" s="1379"/>
      <c r="F242" s="1379"/>
      <c r="G242" s="1379"/>
      <c r="H242" s="365"/>
      <c r="I242" s="365"/>
      <c r="J242" s="1385"/>
      <c r="K242" s="666"/>
      <c r="L242" s="400" t="s">
        <v>1245</v>
      </c>
      <c r="M242" s="377" t="s">
        <v>1246</v>
      </c>
      <c r="N242" s="367">
        <v>1</v>
      </c>
      <c r="O242" s="367">
        <v>1</v>
      </c>
      <c r="P242" s="367">
        <v>1</v>
      </c>
      <c r="Q242" s="367">
        <v>1</v>
      </c>
      <c r="R242" s="1469"/>
      <c r="S242" s="1469"/>
      <c r="T242" s="1469"/>
      <c r="U242" s="1469"/>
      <c r="V242" s="1494"/>
      <c r="W242" s="392" t="s">
        <v>854</v>
      </c>
      <c r="X242" s="1450"/>
      <c r="Y242" s="1437"/>
      <c r="Z242" s="1437"/>
      <c r="AA242" s="1437"/>
      <c r="AB242" s="1437"/>
      <c r="AC242" s="1437"/>
      <c r="AD242" s="1437"/>
      <c r="AE242" s="1437"/>
      <c r="AF242" s="1437"/>
      <c r="AG242" s="1437"/>
      <c r="AH242" s="1437"/>
      <c r="AI242" s="1437"/>
      <c r="AJ242" s="1437"/>
      <c r="AK242" s="1437"/>
      <c r="AL242" s="1437"/>
      <c r="AM242" s="1437"/>
      <c r="AN242" s="1437"/>
      <c r="AO242" s="1437"/>
      <c r="AP242" s="1437"/>
      <c r="AQ242" s="1437"/>
      <c r="AR242" s="1437"/>
      <c r="AS242" s="1437"/>
      <c r="AT242" s="1437"/>
      <c r="AU242" s="1437"/>
      <c r="AV242" s="1437"/>
      <c r="AW242" s="1437"/>
      <c r="AX242" s="1437"/>
      <c r="AY242" s="1437"/>
      <c r="AZ242" s="1437"/>
      <c r="BA242" s="1437"/>
      <c r="BB242" s="1437"/>
      <c r="BC242" s="1437"/>
      <c r="BD242" s="1437"/>
      <c r="BE242" s="1437"/>
      <c r="BF242" s="1437"/>
      <c r="BG242" s="1437"/>
      <c r="BH242" s="1437"/>
      <c r="BI242" s="1437"/>
      <c r="BJ242" s="1437"/>
      <c r="BK242" s="1437"/>
      <c r="BL242" s="1437"/>
      <c r="BM242" s="1437"/>
      <c r="BN242" s="1437"/>
    </row>
    <row r="243" spans="1:66" ht="56.25" customHeight="1">
      <c r="A243" s="1378"/>
      <c r="B243" s="1384"/>
      <c r="C243" s="1378"/>
      <c r="D243" s="1380"/>
      <c r="E243" s="1380"/>
      <c r="F243" s="1380"/>
      <c r="G243" s="1380"/>
      <c r="H243" s="373"/>
      <c r="I243" s="373"/>
      <c r="J243" s="1386"/>
      <c r="K243" s="390"/>
      <c r="L243" s="402" t="s">
        <v>1247</v>
      </c>
      <c r="M243" s="385" t="s">
        <v>1248</v>
      </c>
      <c r="N243" s="663"/>
      <c r="O243" s="663">
        <v>1</v>
      </c>
      <c r="P243" s="663"/>
      <c r="Q243" s="663"/>
      <c r="R243" s="1507"/>
      <c r="S243" s="1507"/>
      <c r="T243" s="1507"/>
      <c r="U243" s="1507"/>
      <c r="V243" s="1508"/>
      <c r="W243" s="394" t="s">
        <v>854</v>
      </c>
      <c r="X243" s="1461"/>
      <c r="Y243" s="1454"/>
      <c r="Z243" s="1454"/>
      <c r="AA243" s="1454"/>
      <c r="AB243" s="1454"/>
      <c r="AC243" s="1454"/>
      <c r="AD243" s="1454"/>
      <c r="AE243" s="1454"/>
      <c r="AF243" s="1454"/>
      <c r="AG243" s="1454"/>
      <c r="AH243" s="1454"/>
      <c r="AI243" s="1454"/>
      <c r="AJ243" s="1454"/>
      <c r="AK243" s="1454"/>
      <c r="AL243" s="1454"/>
      <c r="AM243" s="1454"/>
      <c r="AN243" s="1454"/>
      <c r="AO243" s="1454"/>
      <c r="AP243" s="1454"/>
      <c r="AQ243" s="1454"/>
      <c r="AR243" s="1454"/>
      <c r="AS243" s="1454"/>
      <c r="AT243" s="1454"/>
      <c r="AU243" s="1454"/>
      <c r="AV243" s="1454"/>
      <c r="AW243" s="1454"/>
      <c r="AX243" s="1454"/>
      <c r="AY243" s="1454"/>
      <c r="AZ243" s="1454"/>
      <c r="BA243" s="1454"/>
      <c r="BB243" s="1454"/>
      <c r="BC243" s="1454"/>
      <c r="BD243" s="1454"/>
      <c r="BE243" s="1454"/>
      <c r="BF243" s="1454"/>
      <c r="BG243" s="1454"/>
      <c r="BH243" s="1454"/>
      <c r="BI243" s="1454"/>
      <c r="BJ243" s="1454"/>
      <c r="BK243" s="1454"/>
      <c r="BL243" s="1454"/>
      <c r="BM243" s="1454"/>
      <c r="BN243" s="1454"/>
    </row>
    <row r="244" spans="1:68" ht="27" customHeight="1">
      <c r="A244" s="652"/>
      <c r="B244" s="654"/>
      <c r="C244" s="652"/>
      <c r="D244" s="1495" t="s">
        <v>1481</v>
      </c>
      <c r="E244" s="1496"/>
      <c r="F244" s="1496"/>
      <c r="G244" s="1496"/>
      <c r="H244" s="1496"/>
      <c r="I244" s="1496"/>
      <c r="J244" s="1496"/>
      <c r="K244" s="1496"/>
      <c r="L244" s="1496"/>
      <c r="M244" s="1496"/>
      <c r="N244" s="1496"/>
      <c r="O244" s="1496"/>
      <c r="P244" s="1496"/>
      <c r="Q244" s="1496"/>
      <c r="R244" s="1496"/>
      <c r="S244" s="1496"/>
      <c r="T244" s="1496"/>
      <c r="U244" s="1496"/>
      <c r="V244" s="1496"/>
      <c r="W244" s="1496"/>
      <c r="X244" s="1497"/>
      <c r="Y244" s="462">
        <f>SUM(Y235:Y243)</f>
        <v>0</v>
      </c>
      <c r="Z244" s="462">
        <f aca="true" t="shared" si="27" ref="Z244:BM244">SUM(Z235:Z243)</f>
        <v>0</v>
      </c>
      <c r="AA244" s="462">
        <f t="shared" si="27"/>
        <v>0</v>
      </c>
      <c r="AB244" s="462">
        <f t="shared" si="27"/>
        <v>0</v>
      </c>
      <c r="AC244" s="462">
        <f t="shared" si="27"/>
        <v>0</v>
      </c>
      <c r="AD244" s="462">
        <f t="shared" si="27"/>
        <v>0</v>
      </c>
      <c r="AE244" s="462">
        <f t="shared" si="27"/>
        <v>0</v>
      </c>
      <c r="AF244" s="462">
        <f t="shared" si="27"/>
        <v>0</v>
      </c>
      <c r="AG244" s="462">
        <f t="shared" si="27"/>
        <v>0</v>
      </c>
      <c r="AH244" s="462">
        <f t="shared" si="27"/>
        <v>0</v>
      </c>
      <c r="AI244" s="462">
        <f t="shared" si="27"/>
        <v>0</v>
      </c>
      <c r="AJ244" s="462">
        <f t="shared" si="27"/>
        <v>50000000</v>
      </c>
      <c r="AK244" s="462">
        <f t="shared" si="27"/>
        <v>0</v>
      </c>
      <c r="AL244" s="462">
        <f t="shared" si="27"/>
        <v>140000000</v>
      </c>
      <c r="AM244" s="462">
        <f t="shared" si="27"/>
        <v>0</v>
      </c>
      <c r="AN244" s="462">
        <f t="shared" si="27"/>
        <v>0</v>
      </c>
      <c r="AO244" s="462">
        <f t="shared" si="27"/>
        <v>0</v>
      </c>
      <c r="AP244" s="462">
        <f t="shared" si="27"/>
        <v>0</v>
      </c>
      <c r="AQ244" s="462">
        <f t="shared" si="27"/>
        <v>0</v>
      </c>
      <c r="AR244" s="462">
        <f t="shared" si="27"/>
        <v>0</v>
      </c>
      <c r="AS244" s="462">
        <f t="shared" si="27"/>
        <v>0</v>
      </c>
      <c r="AT244" s="462">
        <f t="shared" si="27"/>
        <v>0</v>
      </c>
      <c r="AU244" s="462">
        <f t="shared" si="27"/>
        <v>0</v>
      </c>
      <c r="AV244" s="462">
        <f t="shared" si="27"/>
        <v>0</v>
      </c>
      <c r="AW244" s="462">
        <f t="shared" si="27"/>
        <v>0</v>
      </c>
      <c r="AX244" s="462">
        <f t="shared" si="27"/>
        <v>0</v>
      </c>
      <c r="AY244" s="462">
        <f t="shared" si="27"/>
        <v>0</v>
      </c>
      <c r="AZ244" s="462">
        <f t="shared" si="27"/>
        <v>0</v>
      </c>
      <c r="BA244" s="462">
        <f t="shared" si="27"/>
        <v>0</v>
      </c>
      <c r="BB244" s="462">
        <f t="shared" si="27"/>
        <v>0</v>
      </c>
      <c r="BC244" s="462">
        <f t="shared" si="27"/>
        <v>0</v>
      </c>
      <c r="BD244" s="462">
        <f t="shared" si="27"/>
        <v>0</v>
      </c>
      <c r="BE244" s="462">
        <f t="shared" si="27"/>
        <v>0</v>
      </c>
      <c r="BF244" s="462">
        <f t="shared" si="27"/>
        <v>0</v>
      </c>
      <c r="BG244" s="462">
        <f t="shared" si="27"/>
        <v>0</v>
      </c>
      <c r="BH244" s="462">
        <f t="shared" si="27"/>
        <v>0</v>
      </c>
      <c r="BI244" s="462">
        <f t="shared" si="27"/>
        <v>0</v>
      </c>
      <c r="BJ244" s="462">
        <f t="shared" si="27"/>
        <v>0</v>
      </c>
      <c r="BK244" s="462">
        <f t="shared" si="27"/>
        <v>0</v>
      </c>
      <c r="BL244" s="462">
        <f t="shared" si="27"/>
        <v>0</v>
      </c>
      <c r="BM244" s="462">
        <f t="shared" si="27"/>
        <v>0</v>
      </c>
      <c r="BN244" s="462">
        <f>SUM(BN235:BN243)</f>
        <v>190000000</v>
      </c>
      <c r="BO244" s="412" t="s">
        <v>1616</v>
      </c>
      <c r="BP244" s="412">
        <v>140000000</v>
      </c>
    </row>
    <row r="245" spans="1:66" ht="52.5" customHeight="1">
      <c r="A245" s="652"/>
      <c r="B245" s="429"/>
      <c r="C245" s="426"/>
      <c r="D245" s="1504" t="s">
        <v>1482</v>
      </c>
      <c r="E245" s="1505"/>
      <c r="F245" s="1505"/>
      <c r="G245" s="1505"/>
      <c r="H245" s="1505"/>
      <c r="I245" s="1505"/>
      <c r="J245" s="1505"/>
      <c r="K245" s="1505"/>
      <c r="L245" s="1505"/>
      <c r="M245" s="1505"/>
      <c r="N245" s="1505"/>
      <c r="O245" s="1505"/>
      <c r="P245" s="1505"/>
      <c r="Q245" s="1505"/>
      <c r="R245" s="1505"/>
      <c r="S245" s="1505"/>
      <c r="T245" s="1505"/>
      <c r="U245" s="1505"/>
      <c r="V245" s="1505"/>
      <c r="W245" s="1505"/>
      <c r="X245" s="1506"/>
      <c r="Y245" s="469">
        <f>+Y186+Y204+Y209+Y213+Y224+Y227+Y234+Y244</f>
        <v>0</v>
      </c>
      <c r="Z245" s="469">
        <f aca="true" t="shared" si="28" ref="Z245:BN245">+Z186+Z204+Z209+Z213+Z224+Z227+Z234+Z244</f>
        <v>0</v>
      </c>
      <c r="AA245" s="469">
        <f t="shared" si="28"/>
        <v>0</v>
      </c>
      <c r="AB245" s="469">
        <f t="shared" si="28"/>
        <v>0</v>
      </c>
      <c r="AC245" s="469">
        <f t="shared" si="28"/>
        <v>0</v>
      </c>
      <c r="AD245" s="469">
        <f t="shared" si="28"/>
        <v>0</v>
      </c>
      <c r="AE245" s="469">
        <f t="shared" si="28"/>
        <v>0</v>
      </c>
      <c r="AF245" s="469">
        <f t="shared" si="28"/>
        <v>0</v>
      </c>
      <c r="AG245" s="469">
        <f t="shared" si="28"/>
        <v>900856837</v>
      </c>
      <c r="AH245" s="469">
        <f t="shared" si="28"/>
        <v>0</v>
      </c>
      <c r="AI245" s="469">
        <f t="shared" si="28"/>
        <v>0</v>
      </c>
      <c r="AJ245" s="469">
        <f t="shared" si="28"/>
        <v>100000000</v>
      </c>
      <c r="AK245" s="469">
        <f t="shared" si="28"/>
        <v>0</v>
      </c>
      <c r="AL245" s="469">
        <f t="shared" si="28"/>
        <v>1715000000</v>
      </c>
      <c r="AM245" s="469">
        <f t="shared" si="28"/>
        <v>145761952315</v>
      </c>
      <c r="AN245" s="469">
        <f t="shared" si="28"/>
        <v>0</v>
      </c>
      <c r="AO245" s="469">
        <f t="shared" si="28"/>
        <v>0</v>
      </c>
      <c r="AP245" s="469">
        <f t="shared" si="28"/>
        <v>200000000</v>
      </c>
      <c r="AQ245" s="469">
        <f t="shared" si="28"/>
        <v>0</v>
      </c>
      <c r="AR245" s="469">
        <f t="shared" si="28"/>
        <v>0</v>
      </c>
      <c r="AS245" s="469">
        <f t="shared" si="28"/>
        <v>0</v>
      </c>
      <c r="AT245" s="469">
        <f t="shared" si="28"/>
        <v>30000000</v>
      </c>
      <c r="AU245" s="469">
        <f t="shared" si="28"/>
        <v>0</v>
      </c>
      <c r="AV245" s="469">
        <f t="shared" si="28"/>
        <v>0</v>
      </c>
      <c r="AW245" s="469">
        <f t="shared" si="28"/>
        <v>0</v>
      </c>
      <c r="AX245" s="469">
        <f t="shared" si="28"/>
        <v>0</v>
      </c>
      <c r="AY245" s="469">
        <f t="shared" si="28"/>
        <v>0</v>
      </c>
      <c r="AZ245" s="469">
        <f t="shared" si="28"/>
        <v>5000000</v>
      </c>
      <c r="BA245" s="469">
        <f t="shared" si="28"/>
        <v>0</v>
      </c>
      <c r="BB245" s="469">
        <f t="shared" si="28"/>
        <v>0</v>
      </c>
      <c r="BC245" s="469">
        <f t="shared" si="28"/>
        <v>0</v>
      </c>
      <c r="BD245" s="469">
        <f t="shared" si="28"/>
        <v>2000000</v>
      </c>
      <c r="BE245" s="469">
        <f t="shared" si="28"/>
        <v>0</v>
      </c>
      <c r="BF245" s="469">
        <f t="shared" si="28"/>
        <v>309920825</v>
      </c>
      <c r="BG245" s="469">
        <f t="shared" si="28"/>
        <v>0</v>
      </c>
      <c r="BH245" s="469">
        <f t="shared" si="28"/>
        <v>0</v>
      </c>
      <c r="BI245" s="469">
        <f t="shared" si="28"/>
        <v>0</v>
      </c>
      <c r="BJ245" s="469">
        <f t="shared" si="28"/>
        <v>0</v>
      </c>
      <c r="BK245" s="469">
        <f t="shared" si="28"/>
        <v>0</v>
      </c>
      <c r="BL245" s="469">
        <f t="shared" si="28"/>
        <v>0</v>
      </c>
      <c r="BM245" s="469">
        <f t="shared" si="28"/>
        <v>0</v>
      </c>
      <c r="BN245" s="469">
        <f t="shared" si="28"/>
        <v>149024729977</v>
      </c>
    </row>
    <row r="246" spans="1:66" ht="56.25" customHeight="1">
      <c r="A246" s="1376">
        <v>20</v>
      </c>
      <c r="B246" s="1380" t="s">
        <v>1249</v>
      </c>
      <c r="C246" s="1376">
        <v>4</v>
      </c>
      <c r="D246" s="1379" t="s">
        <v>1250</v>
      </c>
      <c r="E246" s="1367" t="s">
        <v>1251</v>
      </c>
      <c r="F246" s="1367" t="s">
        <v>1252</v>
      </c>
      <c r="G246" s="1367" t="s">
        <v>1253</v>
      </c>
      <c r="H246" s="365"/>
      <c r="I246" s="365"/>
      <c r="J246" s="1379"/>
      <c r="K246" s="666"/>
      <c r="L246" s="400" t="s">
        <v>1254</v>
      </c>
      <c r="M246" s="665" t="s">
        <v>1255</v>
      </c>
      <c r="N246" s="367"/>
      <c r="O246" s="367">
        <v>1</v>
      </c>
      <c r="P246" s="367">
        <v>1</v>
      </c>
      <c r="Q246" s="367"/>
      <c r="R246" s="1469">
        <v>2667924</v>
      </c>
      <c r="S246" s="1469">
        <v>3302544</v>
      </c>
      <c r="T246" s="1469">
        <v>3509149</v>
      </c>
      <c r="U246" s="1469">
        <v>1960380</v>
      </c>
      <c r="V246" s="1494">
        <v>11439997</v>
      </c>
      <c r="W246" s="374" t="s">
        <v>854</v>
      </c>
      <c r="X246" s="1470" t="s">
        <v>1521</v>
      </c>
      <c r="Y246" s="1439"/>
      <c r="Z246" s="1439"/>
      <c r="AA246" s="1439"/>
      <c r="AB246" s="1439"/>
      <c r="AC246" s="1439"/>
      <c r="AD246" s="1439"/>
      <c r="AE246" s="1439"/>
      <c r="AF246" s="1439"/>
      <c r="AG246" s="1439"/>
      <c r="AH246" s="1439"/>
      <c r="AI246" s="1439"/>
      <c r="AJ246" s="1439"/>
      <c r="AK246" s="1439"/>
      <c r="AL246" s="1439"/>
      <c r="AM246" s="1439"/>
      <c r="AN246" s="1439"/>
      <c r="AO246" s="1439"/>
      <c r="AP246" s="1439"/>
      <c r="AQ246" s="1439"/>
      <c r="AR246" s="1439"/>
      <c r="AS246" s="1439"/>
      <c r="AT246" s="1439"/>
      <c r="AU246" s="1439"/>
      <c r="AV246" s="1439"/>
      <c r="AW246" s="1439"/>
      <c r="AX246" s="1439"/>
      <c r="AY246" s="1439">
        <v>30000000</v>
      </c>
      <c r="AZ246" s="1439"/>
      <c r="BA246" s="1439"/>
      <c r="BB246" s="1439"/>
      <c r="BC246" s="1439"/>
      <c r="BD246" s="1439"/>
      <c r="BE246" s="1439"/>
      <c r="BF246" s="1439"/>
      <c r="BG246" s="1439">
        <v>2746738223</v>
      </c>
      <c r="BH246" s="1439"/>
      <c r="BI246" s="1439"/>
      <c r="BJ246" s="1439"/>
      <c r="BK246" s="1439"/>
      <c r="BL246" s="1439"/>
      <c r="BM246" s="1439"/>
      <c r="BN246" s="1439">
        <f>SUM(Y246:BM249)</f>
        <v>2776738223</v>
      </c>
    </row>
    <row r="247" spans="1:66" ht="56.25" customHeight="1">
      <c r="A247" s="1377"/>
      <c r="B247" s="1381"/>
      <c r="C247" s="1377"/>
      <c r="D247" s="1379"/>
      <c r="E247" s="1367"/>
      <c r="F247" s="1367"/>
      <c r="G247" s="1367"/>
      <c r="H247" s="365"/>
      <c r="I247" s="365"/>
      <c r="J247" s="1379"/>
      <c r="K247" s="666"/>
      <c r="L247" s="400" t="s">
        <v>1256</v>
      </c>
      <c r="M247" s="665" t="s">
        <v>1257</v>
      </c>
      <c r="N247" s="367">
        <v>1</v>
      </c>
      <c r="O247" s="367">
        <v>1</v>
      </c>
      <c r="P247" s="367"/>
      <c r="Q247" s="367"/>
      <c r="R247" s="1469"/>
      <c r="S247" s="1469"/>
      <c r="T247" s="1469"/>
      <c r="U247" s="1469"/>
      <c r="V247" s="1494"/>
      <c r="W247" s="374" t="s">
        <v>854</v>
      </c>
      <c r="X247" s="1471"/>
      <c r="Y247" s="1440"/>
      <c r="Z247" s="1440"/>
      <c r="AA247" s="1440"/>
      <c r="AB247" s="1440"/>
      <c r="AC247" s="1440"/>
      <c r="AD247" s="1440"/>
      <c r="AE247" s="1440"/>
      <c r="AF247" s="1440"/>
      <c r="AG247" s="1440"/>
      <c r="AH247" s="1440"/>
      <c r="AI247" s="1440"/>
      <c r="AJ247" s="1440"/>
      <c r="AK247" s="1440"/>
      <c r="AL247" s="1440"/>
      <c r="AM247" s="1440"/>
      <c r="AN247" s="1440"/>
      <c r="AO247" s="1440"/>
      <c r="AP247" s="1440"/>
      <c r="AQ247" s="1440"/>
      <c r="AR247" s="1440"/>
      <c r="AS247" s="1440"/>
      <c r="AT247" s="1440"/>
      <c r="AU247" s="1440"/>
      <c r="AV247" s="1440"/>
      <c r="AW247" s="1440"/>
      <c r="AX247" s="1440"/>
      <c r="AY247" s="1440"/>
      <c r="AZ247" s="1440"/>
      <c r="BA247" s="1440"/>
      <c r="BB247" s="1440"/>
      <c r="BC247" s="1440"/>
      <c r="BD247" s="1440"/>
      <c r="BE247" s="1440"/>
      <c r="BF247" s="1440"/>
      <c r="BG247" s="1440"/>
      <c r="BH247" s="1440"/>
      <c r="BI247" s="1440"/>
      <c r="BJ247" s="1440"/>
      <c r="BK247" s="1440"/>
      <c r="BL247" s="1440"/>
      <c r="BM247" s="1440"/>
      <c r="BN247" s="1440"/>
    </row>
    <row r="248" spans="1:66" ht="56.25" customHeight="1">
      <c r="A248" s="1377"/>
      <c r="B248" s="1381"/>
      <c r="C248" s="1377"/>
      <c r="D248" s="1379"/>
      <c r="E248" s="1367"/>
      <c r="F248" s="1367"/>
      <c r="G248" s="1367"/>
      <c r="H248" s="365"/>
      <c r="I248" s="365"/>
      <c r="J248" s="1379"/>
      <c r="K248" s="666"/>
      <c r="L248" s="400" t="s">
        <v>1258</v>
      </c>
      <c r="M248" s="665" t="s">
        <v>1259</v>
      </c>
      <c r="N248" s="367"/>
      <c r="O248" s="367">
        <v>1</v>
      </c>
      <c r="P248" s="367"/>
      <c r="Q248" s="367"/>
      <c r="R248" s="1469"/>
      <c r="S248" s="1469"/>
      <c r="T248" s="1469"/>
      <c r="U248" s="1469"/>
      <c r="V248" s="1494"/>
      <c r="W248" s="374" t="s">
        <v>854</v>
      </c>
      <c r="X248" s="1471"/>
      <c r="Y248" s="1440"/>
      <c r="Z248" s="1440"/>
      <c r="AA248" s="1440"/>
      <c r="AB248" s="1440"/>
      <c r="AC248" s="1440"/>
      <c r="AD248" s="1440"/>
      <c r="AE248" s="1440"/>
      <c r="AF248" s="1440"/>
      <c r="AG248" s="1440"/>
      <c r="AH248" s="1440"/>
      <c r="AI248" s="1440"/>
      <c r="AJ248" s="1440"/>
      <c r="AK248" s="1440"/>
      <c r="AL248" s="1440"/>
      <c r="AM248" s="1440"/>
      <c r="AN248" s="1440"/>
      <c r="AO248" s="1440"/>
      <c r="AP248" s="1440"/>
      <c r="AQ248" s="1440"/>
      <c r="AR248" s="1440"/>
      <c r="AS248" s="1440"/>
      <c r="AT248" s="1440"/>
      <c r="AU248" s="1440"/>
      <c r="AV248" s="1440"/>
      <c r="AW248" s="1440"/>
      <c r="AX248" s="1440"/>
      <c r="AY248" s="1440"/>
      <c r="AZ248" s="1440"/>
      <c r="BA248" s="1440"/>
      <c r="BB248" s="1440"/>
      <c r="BC248" s="1440"/>
      <c r="BD248" s="1440"/>
      <c r="BE248" s="1440"/>
      <c r="BF248" s="1440"/>
      <c r="BG248" s="1440"/>
      <c r="BH248" s="1440"/>
      <c r="BI248" s="1440"/>
      <c r="BJ248" s="1440"/>
      <c r="BK248" s="1440"/>
      <c r="BL248" s="1440"/>
      <c r="BM248" s="1440"/>
      <c r="BN248" s="1440"/>
    </row>
    <row r="249" spans="1:66" ht="56.25" customHeight="1">
      <c r="A249" s="1377"/>
      <c r="B249" s="1381"/>
      <c r="C249" s="1377"/>
      <c r="D249" s="1379"/>
      <c r="E249" s="1367"/>
      <c r="F249" s="1367"/>
      <c r="G249" s="1367"/>
      <c r="H249" s="365"/>
      <c r="I249" s="365"/>
      <c r="J249" s="1379"/>
      <c r="K249" s="666"/>
      <c r="L249" s="400" t="s">
        <v>1260</v>
      </c>
      <c r="M249" s="665" t="s">
        <v>1261</v>
      </c>
      <c r="N249" s="367">
        <v>1</v>
      </c>
      <c r="O249" s="367">
        <v>1</v>
      </c>
      <c r="P249" s="367">
        <v>1</v>
      </c>
      <c r="Q249" s="367">
        <v>1</v>
      </c>
      <c r="R249" s="1469"/>
      <c r="S249" s="1469"/>
      <c r="T249" s="1469"/>
      <c r="U249" s="1469"/>
      <c r="V249" s="1494"/>
      <c r="W249" s="374" t="s">
        <v>854</v>
      </c>
      <c r="X249" s="1472"/>
      <c r="Y249" s="1455"/>
      <c r="Z249" s="1455"/>
      <c r="AA249" s="1455"/>
      <c r="AB249" s="1455"/>
      <c r="AC249" s="1455"/>
      <c r="AD249" s="1455"/>
      <c r="AE249" s="1455"/>
      <c r="AF249" s="1455"/>
      <c r="AG249" s="1455"/>
      <c r="AH249" s="1455"/>
      <c r="AI249" s="1455"/>
      <c r="AJ249" s="1455"/>
      <c r="AK249" s="1455"/>
      <c r="AL249" s="1455"/>
      <c r="AM249" s="1455"/>
      <c r="AN249" s="1455"/>
      <c r="AO249" s="1455"/>
      <c r="AP249" s="1455"/>
      <c r="AQ249" s="1455"/>
      <c r="AR249" s="1455"/>
      <c r="AS249" s="1455"/>
      <c r="AT249" s="1455"/>
      <c r="AU249" s="1455"/>
      <c r="AV249" s="1455"/>
      <c r="AW249" s="1455"/>
      <c r="AX249" s="1455"/>
      <c r="AY249" s="1455"/>
      <c r="AZ249" s="1455"/>
      <c r="BA249" s="1455"/>
      <c r="BB249" s="1455"/>
      <c r="BC249" s="1455"/>
      <c r="BD249" s="1455"/>
      <c r="BE249" s="1455"/>
      <c r="BF249" s="1455"/>
      <c r="BG249" s="1455"/>
      <c r="BH249" s="1455"/>
      <c r="BI249" s="1455"/>
      <c r="BJ249" s="1455"/>
      <c r="BK249" s="1455"/>
      <c r="BL249" s="1455"/>
      <c r="BM249" s="1455"/>
      <c r="BN249" s="1455"/>
    </row>
    <row r="250" spans="1:66" ht="56.25" customHeight="1">
      <c r="A250" s="1377"/>
      <c r="B250" s="1381"/>
      <c r="C250" s="1377"/>
      <c r="D250" s="1379"/>
      <c r="E250" s="1367"/>
      <c r="F250" s="1367"/>
      <c r="G250" s="1367"/>
      <c r="H250" s="365"/>
      <c r="I250" s="365"/>
      <c r="J250" s="1379"/>
      <c r="K250" s="666"/>
      <c r="L250" s="400" t="s">
        <v>1262</v>
      </c>
      <c r="M250" s="665" t="s">
        <v>1263</v>
      </c>
      <c r="N250" s="367">
        <v>1</v>
      </c>
      <c r="O250" s="367">
        <v>1</v>
      </c>
      <c r="P250" s="367"/>
      <c r="Q250" s="367"/>
      <c r="R250" s="1469"/>
      <c r="S250" s="1469"/>
      <c r="T250" s="1469"/>
      <c r="U250" s="1469"/>
      <c r="V250" s="1494"/>
      <c r="W250" s="374" t="s">
        <v>854</v>
      </c>
      <c r="X250" s="446" t="s">
        <v>1530</v>
      </c>
      <c r="Y250" s="460"/>
      <c r="Z250" s="460"/>
      <c r="AA250" s="460"/>
      <c r="AB250" s="460"/>
      <c r="AC250" s="460"/>
      <c r="AD250" s="460"/>
      <c r="AE250" s="460"/>
      <c r="AF250" s="460"/>
      <c r="AG250" s="460"/>
      <c r="AH250" s="460"/>
      <c r="AI250" s="460"/>
      <c r="AJ250" s="460"/>
      <c r="AK250" s="460"/>
      <c r="AL250" s="460"/>
      <c r="AM250" s="460"/>
      <c r="AN250" s="460"/>
      <c r="AO250" s="460"/>
      <c r="AP250" s="460"/>
      <c r="AQ250" s="460"/>
      <c r="AR250" s="460"/>
      <c r="AS250" s="460"/>
      <c r="AT250" s="460"/>
      <c r="AU250" s="460"/>
      <c r="AV250" s="460"/>
      <c r="AW250" s="460"/>
      <c r="AX250" s="460"/>
      <c r="AY250" s="460"/>
      <c r="AZ250" s="460"/>
      <c r="BA250" s="460"/>
      <c r="BB250" s="460"/>
      <c r="BC250" s="460"/>
      <c r="BD250" s="460"/>
      <c r="BE250" s="460"/>
      <c r="BF250" s="460"/>
      <c r="BG250" s="460">
        <v>300000000</v>
      </c>
      <c r="BH250" s="460"/>
      <c r="BI250" s="460"/>
      <c r="BJ250" s="460"/>
      <c r="BK250" s="460"/>
      <c r="BL250" s="460"/>
      <c r="BM250" s="460"/>
      <c r="BN250" s="460">
        <f>SUM(Y250:BM250)</f>
        <v>300000000</v>
      </c>
    </row>
    <row r="251" spans="1:66" ht="56.25" customHeight="1">
      <c r="A251" s="1377"/>
      <c r="B251" s="1381"/>
      <c r="C251" s="1377"/>
      <c r="D251" s="1379"/>
      <c r="E251" s="1367"/>
      <c r="F251" s="1367"/>
      <c r="G251" s="1367"/>
      <c r="H251" s="365"/>
      <c r="I251" s="365"/>
      <c r="J251" s="1379"/>
      <c r="K251" s="666"/>
      <c r="L251" s="400"/>
      <c r="M251" s="665" t="s">
        <v>1263</v>
      </c>
      <c r="N251" s="367">
        <v>1</v>
      </c>
      <c r="O251" s="367">
        <v>1</v>
      </c>
      <c r="P251" s="367"/>
      <c r="Q251" s="367"/>
      <c r="R251" s="1469"/>
      <c r="S251" s="1469"/>
      <c r="T251" s="1469"/>
      <c r="U251" s="1469"/>
      <c r="V251" s="1494"/>
      <c r="W251" s="374" t="s">
        <v>854</v>
      </c>
      <c r="X251" s="446" t="s">
        <v>1590</v>
      </c>
      <c r="Y251" s="460"/>
      <c r="Z251" s="460"/>
      <c r="AA251" s="460"/>
      <c r="AB251" s="460"/>
      <c r="AC251" s="460"/>
      <c r="AD251" s="460"/>
      <c r="AE251" s="460"/>
      <c r="AF251" s="460"/>
      <c r="AG251" s="460"/>
      <c r="AH251" s="460"/>
      <c r="AI251" s="460"/>
      <c r="AJ251" s="460">
        <v>130000000</v>
      </c>
      <c r="AK251" s="460"/>
      <c r="AL251" s="460"/>
      <c r="AM251" s="460"/>
      <c r="AN251" s="460"/>
      <c r="AO251" s="460"/>
      <c r="AP251" s="460"/>
      <c r="AQ251" s="460"/>
      <c r="AR251" s="460"/>
      <c r="AS251" s="460"/>
      <c r="AT251" s="460"/>
      <c r="AU251" s="460"/>
      <c r="AV251" s="460"/>
      <c r="AW251" s="460"/>
      <c r="AX251" s="460"/>
      <c r="AY251" s="460"/>
      <c r="AZ251" s="460"/>
      <c r="BA251" s="460"/>
      <c r="BB251" s="460"/>
      <c r="BC251" s="460"/>
      <c r="BD251" s="460"/>
      <c r="BE251" s="460"/>
      <c r="BF251" s="460"/>
      <c r="BG251" s="460"/>
      <c r="BH251" s="460"/>
      <c r="BI251" s="460"/>
      <c r="BJ251" s="460"/>
      <c r="BK251" s="460"/>
      <c r="BL251" s="460"/>
      <c r="BM251" s="460"/>
      <c r="BN251" s="460">
        <f>SUM(Y251:BM251)</f>
        <v>130000000</v>
      </c>
    </row>
    <row r="252" spans="1:66" ht="79.5" customHeight="1">
      <c r="A252" s="1377"/>
      <c r="B252" s="1381"/>
      <c r="C252" s="1378"/>
      <c r="D252" s="1379"/>
      <c r="E252" s="1367"/>
      <c r="F252" s="1367"/>
      <c r="G252" s="1367"/>
      <c r="H252" s="365"/>
      <c r="I252" s="365"/>
      <c r="J252" s="1379"/>
      <c r="K252" s="666"/>
      <c r="L252" s="400" t="s">
        <v>1264</v>
      </c>
      <c r="M252" s="665" t="s">
        <v>1265</v>
      </c>
      <c r="N252" s="367">
        <v>1</v>
      </c>
      <c r="O252" s="367">
        <v>1</v>
      </c>
      <c r="P252" s="367">
        <v>1</v>
      </c>
      <c r="Q252" s="367">
        <v>1</v>
      </c>
      <c r="R252" s="1469"/>
      <c r="S252" s="1469"/>
      <c r="T252" s="1469"/>
      <c r="U252" s="1469"/>
      <c r="V252" s="1494"/>
      <c r="W252" s="374" t="s">
        <v>854</v>
      </c>
      <c r="X252" s="444" t="s">
        <v>1564</v>
      </c>
      <c r="Y252" s="460"/>
      <c r="Z252" s="460"/>
      <c r="AA252" s="460"/>
      <c r="AB252" s="460"/>
      <c r="AC252" s="460"/>
      <c r="AD252" s="460"/>
      <c r="AE252" s="460"/>
      <c r="AF252" s="460"/>
      <c r="AG252" s="460"/>
      <c r="AH252" s="460"/>
      <c r="AI252" s="460"/>
      <c r="AJ252" s="460"/>
      <c r="AK252" s="460"/>
      <c r="AL252" s="460">
        <v>32000000</v>
      </c>
      <c r="AM252" s="460"/>
      <c r="AN252" s="460"/>
      <c r="AO252" s="460"/>
      <c r="AP252" s="460"/>
      <c r="AQ252" s="460"/>
      <c r="AR252" s="460"/>
      <c r="AS252" s="460"/>
      <c r="AT252" s="460"/>
      <c r="AU252" s="460"/>
      <c r="AV252" s="460"/>
      <c r="AW252" s="460"/>
      <c r="AX252" s="460"/>
      <c r="AY252" s="460"/>
      <c r="AZ252" s="460"/>
      <c r="BA252" s="460"/>
      <c r="BB252" s="460"/>
      <c r="BC252" s="460"/>
      <c r="BD252" s="460"/>
      <c r="BE252" s="460"/>
      <c r="BF252" s="460"/>
      <c r="BG252" s="460"/>
      <c r="BH252" s="460"/>
      <c r="BI252" s="460"/>
      <c r="BJ252" s="460"/>
      <c r="BK252" s="460"/>
      <c r="BL252" s="460"/>
      <c r="BM252" s="460"/>
      <c r="BN252" s="460">
        <f>SUM(Y252:BM252)</f>
        <v>32000000</v>
      </c>
    </row>
    <row r="253" spans="1:68" ht="37.5" customHeight="1">
      <c r="A253" s="1377"/>
      <c r="B253" s="1381"/>
      <c r="C253" s="652"/>
      <c r="D253" s="1495" t="s">
        <v>1483</v>
      </c>
      <c r="E253" s="1496"/>
      <c r="F253" s="1496"/>
      <c r="G253" s="1496"/>
      <c r="H253" s="1496"/>
      <c r="I253" s="1496"/>
      <c r="J253" s="1496"/>
      <c r="K253" s="1496"/>
      <c r="L253" s="1496"/>
      <c r="M253" s="1496"/>
      <c r="N253" s="1496"/>
      <c r="O253" s="1496"/>
      <c r="P253" s="1496"/>
      <c r="Q253" s="1496"/>
      <c r="R253" s="1496"/>
      <c r="S253" s="1496"/>
      <c r="T253" s="1496"/>
      <c r="U253" s="1496"/>
      <c r="V253" s="1496"/>
      <c r="W253" s="1496"/>
      <c r="X253" s="1497"/>
      <c r="Y253" s="462">
        <f>SUM(Y246:Y252)</f>
        <v>0</v>
      </c>
      <c r="Z253" s="462">
        <f aca="true" t="shared" si="29" ref="Z253:BM253">SUM(Z246:Z252)</f>
        <v>0</v>
      </c>
      <c r="AA253" s="462">
        <f t="shared" si="29"/>
        <v>0</v>
      </c>
      <c r="AB253" s="462">
        <f t="shared" si="29"/>
        <v>0</v>
      </c>
      <c r="AC253" s="462">
        <f t="shared" si="29"/>
        <v>0</v>
      </c>
      <c r="AD253" s="462">
        <f t="shared" si="29"/>
        <v>0</v>
      </c>
      <c r="AE253" s="462">
        <f t="shared" si="29"/>
        <v>0</v>
      </c>
      <c r="AF253" s="462">
        <f t="shared" si="29"/>
        <v>0</v>
      </c>
      <c r="AG253" s="462">
        <f t="shared" si="29"/>
        <v>0</v>
      </c>
      <c r="AH253" s="462">
        <f t="shared" si="29"/>
        <v>0</v>
      </c>
      <c r="AI253" s="462">
        <f t="shared" si="29"/>
        <v>0</v>
      </c>
      <c r="AJ253" s="462">
        <f t="shared" si="29"/>
        <v>130000000</v>
      </c>
      <c r="AK253" s="462">
        <f t="shared" si="29"/>
        <v>0</v>
      </c>
      <c r="AL253" s="462">
        <f t="shared" si="29"/>
        <v>32000000</v>
      </c>
      <c r="AM253" s="462">
        <f t="shared" si="29"/>
        <v>0</v>
      </c>
      <c r="AN253" s="462">
        <f t="shared" si="29"/>
        <v>0</v>
      </c>
      <c r="AO253" s="462">
        <f t="shared" si="29"/>
        <v>0</v>
      </c>
      <c r="AP253" s="462">
        <f t="shared" si="29"/>
        <v>0</v>
      </c>
      <c r="AQ253" s="462">
        <f t="shared" si="29"/>
        <v>0</v>
      </c>
      <c r="AR253" s="462">
        <f t="shared" si="29"/>
        <v>0</v>
      </c>
      <c r="AS253" s="462">
        <f t="shared" si="29"/>
        <v>0</v>
      </c>
      <c r="AT253" s="462">
        <f t="shared" si="29"/>
        <v>0</v>
      </c>
      <c r="AU253" s="462">
        <f t="shared" si="29"/>
        <v>0</v>
      </c>
      <c r="AV253" s="462">
        <f t="shared" si="29"/>
        <v>0</v>
      </c>
      <c r="AW253" s="462">
        <f t="shared" si="29"/>
        <v>0</v>
      </c>
      <c r="AX253" s="462">
        <f t="shared" si="29"/>
        <v>0</v>
      </c>
      <c r="AY253" s="462">
        <f t="shared" si="29"/>
        <v>30000000</v>
      </c>
      <c r="AZ253" s="462">
        <f t="shared" si="29"/>
        <v>0</v>
      </c>
      <c r="BA253" s="462">
        <f t="shared" si="29"/>
        <v>0</v>
      </c>
      <c r="BB253" s="462">
        <f t="shared" si="29"/>
        <v>0</v>
      </c>
      <c r="BC253" s="462">
        <f t="shared" si="29"/>
        <v>0</v>
      </c>
      <c r="BD253" s="462">
        <f t="shared" si="29"/>
        <v>0</v>
      </c>
      <c r="BE253" s="462">
        <f t="shared" si="29"/>
        <v>0</v>
      </c>
      <c r="BF253" s="462">
        <f t="shared" si="29"/>
        <v>0</v>
      </c>
      <c r="BG253" s="462">
        <f t="shared" si="29"/>
        <v>3046738223</v>
      </c>
      <c r="BH253" s="462">
        <f t="shared" si="29"/>
        <v>0</v>
      </c>
      <c r="BI253" s="462">
        <f t="shared" si="29"/>
        <v>0</v>
      </c>
      <c r="BJ253" s="462">
        <f t="shared" si="29"/>
        <v>0</v>
      </c>
      <c r="BK253" s="462">
        <f t="shared" si="29"/>
        <v>0</v>
      </c>
      <c r="BL253" s="462">
        <f t="shared" si="29"/>
        <v>0</v>
      </c>
      <c r="BM253" s="462">
        <f t="shared" si="29"/>
        <v>0</v>
      </c>
      <c r="BN253" s="462">
        <f>SUM(BN246:BN252)</f>
        <v>3238738223</v>
      </c>
      <c r="BO253" s="412" t="s">
        <v>1616</v>
      </c>
      <c r="BP253" s="412">
        <v>32000000</v>
      </c>
    </row>
    <row r="254" spans="1:66" ht="125.25" customHeight="1">
      <c r="A254" s="1377"/>
      <c r="B254" s="1381"/>
      <c r="C254" s="1376">
        <v>50</v>
      </c>
      <c r="D254" s="1379" t="s">
        <v>1266</v>
      </c>
      <c r="E254" s="1367" t="s">
        <v>1267</v>
      </c>
      <c r="F254" s="1367" t="s">
        <v>1268</v>
      </c>
      <c r="G254" s="1367" t="s">
        <v>888</v>
      </c>
      <c r="H254" s="365"/>
      <c r="I254" s="365"/>
      <c r="J254" s="1379"/>
      <c r="K254" s="666"/>
      <c r="L254" s="400" t="s">
        <v>1269</v>
      </c>
      <c r="M254" s="665" t="s">
        <v>1270</v>
      </c>
      <c r="N254" s="367"/>
      <c r="O254" s="367">
        <v>1</v>
      </c>
      <c r="P254" s="367"/>
      <c r="Q254" s="367"/>
      <c r="R254" s="1469">
        <v>12832728</v>
      </c>
      <c r="S254" s="1469">
        <v>1700000</v>
      </c>
      <c r="T254" s="1469">
        <v>1293653</v>
      </c>
      <c r="U254" s="1469">
        <v>1800000</v>
      </c>
      <c r="V254" s="1494">
        <v>17626381</v>
      </c>
      <c r="W254" s="374" t="s">
        <v>819</v>
      </c>
      <c r="X254" s="450" t="s">
        <v>1589</v>
      </c>
      <c r="Y254" s="460"/>
      <c r="Z254" s="460"/>
      <c r="AA254" s="460"/>
      <c r="AB254" s="460"/>
      <c r="AC254" s="460"/>
      <c r="AD254" s="460"/>
      <c r="AE254" s="460"/>
      <c r="AF254" s="460"/>
      <c r="AG254" s="460"/>
      <c r="AH254" s="460"/>
      <c r="AI254" s="460"/>
      <c r="AJ254" s="460">
        <v>130000000</v>
      </c>
      <c r="AK254" s="460"/>
      <c r="AL254" s="460">
        <v>130000000</v>
      </c>
      <c r="AM254" s="460"/>
      <c r="AN254" s="460"/>
      <c r="AO254" s="460"/>
      <c r="AP254" s="460"/>
      <c r="AQ254" s="460"/>
      <c r="AR254" s="460"/>
      <c r="AS254" s="460"/>
      <c r="AT254" s="460"/>
      <c r="AU254" s="460"/>
      <c r="AV254" s="460"/>
      <c r="AW254" s="460"/>
      <c r="AX254" s="460"/>
      <c r="AY254" s="460"/>
      <c r="AZ254" s="460"/>
      <c r="BA254" s="460"/>
      <c r="BB254" s="460"/>
      <c r="BC254" s="460"/>
      <c r="BD254" s="460"/>
      <c r="BE254" s="460"/>
      <c r="BF254" s="460"/>
      <c r="BG254" s="460"/>
      <c r="BH254" s="460"/>
      <c r="BI254" s="460"/>
      <c r="BJ254" s="460"/>
      <c r="BK254" s="460"/>
      <c r="BL254" s="460"/>
      <c r="BM254" s="460"/>
      <c r="BN254" s="460">
        <f>SUM(Y254:BM254)</f>
        <v>260000000</v>
      </c>
    </row>
    <row r="255" spans="1:66" ht="66" customHeight="1">
      <c r="A255" s="1377"/>
      <c r="B255" s="1381"/>
      <c r="C255" s="1377"/>
      <c r="D255" s="1379"/>
      <c r="E255" s="1367"/>
      <c r="F255" s="1367"/>
      <c r="G255" s="1367"/>
      <c r="H255" s="365"/>
      <c r="I255" s="365"/>
      <c r="J255" s="1379"/>
      <c r="K255" s="666"/>
      <c r="L255" s="400" t="s">
        <v>1271</v>
      </c>
      <c r="M255" s="665" t="s">
        <v>1272</v>
      </c>
      <c r="N255" s="367"/>
      <c r="O255" s="367">
        <v>1</v>
      </c>
      <c r="P255" s="367"/>
      <c r="Q255" s="367"/>
      <c r="R255" s="1469"/>
      <c r="S255" s="1469"/>
      <c r="T255" s="1469"/>
      <c r="U255" s="1469"/>
      <c r="V255" s="1494"/>
      <c r="W255" s="374" t="s">
        <v>854</v>
      </c>
      <c r="X255" s="1486" t="s">
        <v>1566</v>
      </c>
      <c r="Y255" s="1437"/>
      <c r="Z255" s="1437"/>
      <c r="AA255" s="1437"/>
      <c r="AB255" s="1437"/>
      <c r="AC255" s="1437"/>
      <c r="AD255" s="1437"/>
      <c r="AE255" s="1437"/>
      <c r="AF255" s="1437"/>
      <c r="AG255" s="1437"/>
      <c r="AH255" s="1437"/>
      <c r="AI255" s="1437"/>
      <c r="AJ255" s="1437">
        <v>505263741</v>
      </c>
      <c r="AK255" s="1437"/>
      <c r="AL255" s="1437">
        <v>242854781</v>
      </c>
      <c r="AM255" s="1437"/>
      <c r="AN255" s="1437"/>
      <c r="AO255" s="1437"/>
      <c r="AP255" s="1437"/>
      <c r="AQ255" s="1437"/>
      <c r="AR255" s="1437"/>
      <c r="AS255" s="1437"/>
      <c r="AT255" s="1437"/>
      <c r="AU255" s="1437"/>
      <c r="AV255" s="1437"/>
      <c r="AW255" s="1437"/>
      <c r="AX255" s="1437"/>
      <c r="AY255" s="1437"/>
      <c r="AZ255" s="1437"/>
      <c r="BA255" s="1437"/>
      <c r="BB255" s="1437"/>
      <c r="BC255" s="1437"/>
      <c r="BD255" s="1437"/>
      <c r="BE255" s="1437"/>
      <c r="BF255" s="1437"/>
      <c r="BG255" s="1437"/>
      <c r="BH255" s="1437"/>
      <c r="BI255" s="1437"/>
      <c r="BJ255" s="1437"/>
      <c r="BK255" s="1437"/>
      <c r="BL255" s="1437"/>
      <c r="BM255" s="1437"/>
      <c r="BN255" s="1437">
        <f>SUM(Y255:BM278)</f>
        <v>748118522</v>
      </c>
    </row>
    <row r="256" spans="1:66" ht="64.5" customHeight="1" hidden="1">
      <c r="A256" s="1377"/>
      <c r="B256" s="1381"/>
      <c r="C256" s="1377"/>
      <c r="D256" s="1379"/>
      <c r="E256" s="1367"/>
      <c r="F256" s="1367"/>
      <c r="G256" s="1367"/>
      <c r="H256" s="365"/>
      <c r="I256" s="365"/>
      <c r="J256" s="1379"/>
      <c r="K256" s="666"/>
      <c r="L256" s="400" t="s">
        <v>1273</v>
      </c>
      <c r="M256" s="665" t="s">
        <v>1274</v>
      </c>
      <c r="N256" s="367">
        <v>1</v>
      </c>
      <c r="O256" s="367"/>
      <c r="P256" s="367"/>
      <c r="Q256" s="367"/>
      <c r="R256" s="1469"/>
      <c r="S256" s="1469"/>
      <c r="T256" s="1469"/>
      <c r="U256" s="1469"/>
      <c r="V256" s="1494"/>
      <c r="W256" s="374" t="s">
        <v>1275</v>
      </c>
      <c r="X256" s="1486"/>
      <c r="Y256" s="1437"/>
      <c r="Z256" s="1437"/>
      <c r="AA256" s="1437"/>
      <c r="AB256" s="1437"/>
      <c r="AC256" s="1437"/>
      <c r="AD256" s="1437"/>
      <c r="AE256" s="1437"/>
      <c r="AF256" s="1437"/>
      <c r="AG256" s="1437"/>
      <c r="AH256" s="1437"/>
      <c r="AI256" s="1437"/>
      <c r="AJ256" s="1437"/>
      <c r="AK256" s="1437"/>
      <c r="AL256" s="1437"/>
      <c r="AM256" s="1437"/>
      <c r="AN256" s="1437"/>
      <c r="AO256" s="1437"/>
      <c r="AP256" s="1437"/>
      <c r="AQ256" s="1437"/>
      <c r="AR256" s="1437"/>
      <c r="AS256" s="1437"/>
      <c r="AT256" s="1437"/>
      <c r="AU256" s="1437"/>
      <c r="AV256" s="1437"/>
      <c r="AW256" s="1437"/>
      <c r="AX256" s="1437"/>
      <c r="AY256" s="1437"/>
      <c r="AZ256" s="1437"/>
      <c r="BA256" s="1437"/>
      <c r="BB256" s="1437"/>
      <c r="BC256" s="1437"/>
      <c r="BD256" s="1437"/>
      <c r="BE256" s="1437"/>
      <c r="BF256" s="1437"/>
      <c r="BG256" s="1437"/>
      <c r="BH256" s="1437"/>
      <c r="BI256" s="1437"/>
      <c r="BJ256" s="1437"/>
      <c r="BK256" s="1437"/>
      <c r="BL256" s="1437"/>
      <c r="BM256" s="1437"/>
      <c r="BN256" s="1437"/>
    </row>
    <row r="257" spans="1:66" ht="69.75" customHeight="1">
      <c r="A257" s="1377"/>
      <c r="B257" s="1381"/>
      <c r="C257" s="1377"/>
      <c r="D257" s="1379"/>
      <c r="E257" s="1367"/>
      <c r="F257" s="1367"/>
      <c r="G257" s="1367"/>
      <c r="H257" s="365"/>
      <c r="I257" s="365"/>
      <c r="J257" s="1379"/>
      <c r="K257" s="666"/>
      <c r="L257" s="400" t="s">
        <v>1276</v>
      </c>
      <c r="M257" s="665" t="s">
        <v>1277</v>
      </c>
      <c r="N257" s="367"/>
      <c r="O257" s="367">
        <v>1</v>
      </c>
      <c r="P257" s="367"/>
      <c r="Q257" s="367"/>
      <c r="R257" s="1469"/>
      <c r="S257" s="1469"/>
      <c r="T257" s="1469"/>
      <c r="U257" s="1469"/>
      <c r="V257" s="1494"/>
      <c r="W257" s="374" t="s">
        <v>819</v>
      </c>
      <c r="X257" s="1486"/>
      <c r="Y257" s="1437"/>
      <c r="Z257" s="1437"/>
      <c r="AA257" s="1437"/>
      <c r="AB257" s="1437"/>
      <c r="AC257" s="1437"/>
      <c r="AD257" s="1437"/>
      <c r="AE257" s="1437"/>
      <c r="AF257" s="1437"/>
      <c r="AG257" s="1437"/>
      <c r="AH257" s="1437"/>
      <c r="AI257" s="1437"/>
      <c r="AJ257" s="1437"/>
      <c r="AK257" s="1437"/>
      <c r="AL257" s="1437"/>
      <c r="AM257" s="1437"/>
      <c r="AN257" s="1437"/>
      <c r="AO257" s="1437"/>
      <c r="AP257" s="1437"/>
      <c r="AQ257" s="1437"/>
      <c r="AR257" s="1437"/>
      <c r="AS257" s="1437"/>
      <c r="AT257" s="1437"/>
      <c r="AU257" s="1437"/>
      <c r="AV257" s="1437"/>
      <c r="AW257" s="1437"/>
      <c r="AX257" s="1437"/>
      <c r="AY257" s="1437"/>
      <c r="AZ257" s="1437"/>
      <c r="BA257" s="1437"/>
      <c r="BB257" s="1437"/>
      <c r="BC257" s="1437"/>
      <c r="BD257" s="1437"/>
      <c r="BE257" s="1437"/>
      <c r="BF257" s="1437"/>
      <c r="BG257" s="1437"/>
      <c r="BH257" s="1437"/>
      <c r="BI257" s="1437"/>
      <c r="BJ257" s="1437"/>
      <c r="BK257" s="1437"/>
      <c r="BL257" s="1437"/>
      <c r="BM257" s="1437"/>
      <c r="BN257" s="1437"/>
    </row>
    <row r="258" spans="1:66" ht="63.75" customHeight="1">
      <c r="A258" s="1377"/>
      <c r="B258" s="1381"/>
      <c r="C258" s="1377"/>
      <c r="D258" s="1379"/>
      <c r="E258" s="1367"/>
      <c r="F258" s="1367"/>
      <c r="G258" s="1367"/>
      <c r="H258" s="365"/>
      <c r="I258" s="365"/>
      <c r="J258" s="1379"/>
      <c r="K258" s="666"/>
      <c r="L258" s="400" t="s">
        <v>1278</v>
      </c>
      <c r="M258" s="665" t="s">
        <v>1279</v>
      </c>
      <c r="N258" s="367"/>
      <c r="O258" s="367">
        <v>1</v>
      </c>
      <c r="P258" s="367"/>
      <c r="Q258" s="367"/>
      <c r="R258" s="1469"/>
      <c r="S258" s="1469"/>
      <c r="T258" s="1469"/>
      <c r="U258" s="1469"/>
      <c r="V258" s="1494"/>
      <c r="W258" s="374" t="s">
        <v>819</v>
      </c>
      <c r="X258" s="1486"/>
      <c r="Y258" s="1437"/>
      <c r="Z258" s="1437"/>
      <c r="AA258" s="1437"/>
      <c r="AB258" s="1437"/>
      <c r="AC258" s="1437"/>
      <c r="AD258" s="1437"/>
      <c r="AE258" s="1437"/>
      <c r="AF258" s="1437"/>
      <c r="AG258" s="1437"/>
      <c r="AH258" s="1437"/>
      <c r="AI258" s="1437"/>
      <c r="AJ258" s="1437"/>
      <c r="AK258" s="1437"/>
      <c r="AL258" s="1437"/>
      <c r="AM258" s="1437"/>
      <c r="AN258" s="1437"/>
      <c r="AO258" s="1437"/>
      <c r="AP258" s="1437"/>
      <c r="AQ258" s="1437"/>
      <c r="AR258" s="1437"/>
      <c r="AS258" s="1437"/>
      <c r="AT258" s="1437"/>
      <c r="AU258" s="1437"/>
      <c r="AV258" s="1437"/>
      <c r="AW258" s="1437"/>
      <c r="AX258" s="1437"/>
      <c r="AY258" s="1437"/>
      <c r="AZ258" s="1437"/>
      <c r="BA258" s="1437"/>
      <c r="BB258" s="1437"/>
      <c r="BC258" s="1437"/>
      <c r="BD258" s="1437"/>
      <c r="BE258" s="1437"/>
      <c r="BF258" s="1437"/>
      <c r="BG258" s="1437"/>
      <c r="BH258" s="1437"/>
      <c r="BI258" s="1437"/>
      <c r="BJ258" s="1437"/>
      <c r="BK258" s="1437"/>
      <c r="BL258" s="1437"/>
      <c r="BM258" s="1437"/>
      <c r="BN258" s="1437"/>
    </row>
    <row r="259" spans="1:66" ht="67.5" customHeight="1" hidden="1">
      <c r="A259" s="1377"/>
      <c r="B259" s="1381"/>
      <c r="C259" s="1377"/>
      <c r="D259" s="1379"/>
      <c r="E259" s="1367"/>
      <c r="F259" s="1367"/>
      <c r="G259" s="1367"/>
      <c r="H259" s="365"/>
      <c r="I259" s="365"/>
      <c r="J259" s="1379"/>
      <c r="K259" s="666"/>
      <c r="L259" s="400" t="s">
        <v>1280</v>
      </c>
      <c r="M259" s="665" t="s">
        <v>1281</v>
      </c>
      <c r="N259" s="367"/>
      <c r="O259" s="367"/>
      <c r="P259" s="367">
        <v>1</v>
      </c>
      <c r="Q259" s="367"/>
      <c r="R259" s="1469"/>
      <c r="S259" s="1469"/>
      <c r="T259" s="1469"/>
      <c r="U259" s="1469"/>
      <c r="V259" s="1494"/>
      <c r="W259" s="374" t="s">
        <v>819</v>
      </c>
      <c r="X259" s="1486"/>
      <c r="Y259" s="1437"/>
      <c r="Z259" s="1437"/>
      <c r="AA259" s="1437"/>
      <c r="AB259" s="1437"/>
      <c r="AC259" s="1437"/>
      <c r="AD259" s="1437"/>
      <c r="AE259" s="1437"/>
      <c r="AF259" s="1437"/>
      <c r="AG259" s="1437"/>
      <c r="AH259" s="1437"/>
      <c r="AI259" s="1437"/>
      <c r="AJ259" s="1437"/>
      <c r="AK259" s="1437"/>
      <c r="AL259" s="1437"/>
      <c r="AM259" s="1437"/>
      <c r="AN259" s="1437"/>
      <c r="AO259" s="1437"/>
      <c r="AP259" s="1437"/>
      <c r="AQ259" s="1437"/>
      <c r="AR259" s="1437"/>
      <c r="AS259" s="1437"/>
      <c r="AT259" s="1437"/>
      <c r="AU259" s="1437"/>
      <c r="AV259" s="1437"/>
      <c r="AW259" s="1437"/>
      <c r="AX259" s="1437"/>
      <c r="AY259" s="1437"/>
      <c r="AZ259" s="1437"/>
      <c r="BA259" s="1437"/>
      <c r="BB259" s="1437"/>
      <c r="BC259" s="1437"/>
      <c r="BD259" s="1437"/>
      <c r="BE259" s="1437"/>
      <c r="BF259" s="1437"/>
      <c r="BG259" s="1437"/>
      <c r="BH259" s="1437"/>
      <c r="BI259" s="1437"/>
      <c r="BJ259" s="1437"/>
      <c r="BK259" s="1437"/>
      <c r="BL259" s="1437"/>
      <c r="BM259" s="1437"/>
      <c r="BN259" s="1437"/>
    </row>
    <row r="260" spans="1:66" ht="82.5" customHeight="1">
      <c r="A260" s="1377"/>
      <c r="B260" s="1381"/>
      <c r="C260" s="1377"/>
      <c r="D260" s="1379"/>
      <c r="E260" s="1367"/>
      <c r="F260" s="1367"/>
      <c r="G260" s="1367"/>
      <c r="H260" s="365"/>
      <c r="I260" s="365"/>
      <c r="J260" s="1379"/>
      <c r="K260" s="666"/>
      <c r="L260" s="400" t="s">
        <v>1282</v>
      </c>
      <c r="M260" s="665" t="s">
        <v>1283</v>
      </c>
      <c r="N260" s="367">
        <v>1</v>
      </c>
      <c r="O260" s="367">
        <v>1</v>
      </c>
      <c r="P260" s="367">
        <v>1</v>
      </c>
      <c r="Q260" s="367">
        <v>1</v>
      </c>
      <c r="R260" s="1469"/>
      <c r="S260" s="1469"/>
      <c r="T260" s="1469"/>
      <c r="U260" s="1469"/>
      <c r="V260" s="1494"/>
      <c r="W260" s="392" t="s">
        <v>854</v>
      </c>
      <c r="X260" s="1486"/>
      <c r="Y260" s="1437"/>
      <c r="Z260" s="1437"/>
      <c r="AA260" s="1437"/>
      <c r="AB260" s="1437"/>
      <c r="AC260" s="1437"/>
      <c r="AD260" s="1437"/>
      <c r="AE260" s="1437"/>
      <c r="AF260" s="1437"/>
      <c r="AG260" s="1437"/>
      <c r="AH260" s="1437"/>
      <c r="AI260" s="1437"/>
      <c r="AJ260" s="1437"/>
      <c r="AK260" s="1437"/>
      <c r="AL260" s="1437"/>
      <c r="AM260" s="1437"/>
      <c r="AN260" s="1437"/>
      <c r="AO260" s="1437"/>
      <c r="AP260" s="1437"/>
      <c r="AQ260" s="1437"/>
      <c r="AR260" s="1437"/>
      <c r="AS260" s="1437"/>
      <c r="AT260" s="1437"/>
      <c r="AU260" s="1437"/>
      <c r="AV260" s="1437"/>
      <c r="AW260" s="1437"/>
      <c r="AX260" s="1437"/>
      <c r="AY260" s="1437"/>
      <c r="AZ260" s="1437"/>
      <c r="BA260" s="1437"/>
      <c r="BB260" s="1437"/>
      <c r="BC260" s="1437"/>
      <c r="BD260" s="1437"/>
      <c r="BE260" s="1437"/>
      <c r="BF260" s="1437"/>
      <c r="BG260" s="1437"/>
      <c r="BH260" s="1437"/>
      <c r="BI260" s="1437"/>
      <c r="BJ260" s="1437"/>
      <c r="BK260" s="1437"/>
      <c r="BL260" s="1437"/>
      <c r="BM260" s="1437"/>
      <c r="BN260" s="1437"/>
    </row>
    <row r="261" spans="1:66" ht="56.25" customHeight="1">
      <c r="A261" s="1377"/>
      <c r="B261" s="1381"/>
      <c r="C261" s="1377"/>
      <c r="D261" s="1379"/>
      <c r="E261" s="1367"/>
      <c r="F261" s="1367"/>
      <c r="G261" s="1367"/>
      <c r="H261" s="365"/>
      <c r="I261" s="365"/>
      <c r="J261" s="1379"/>
      <c r="K261" s="666"/>
      <c r="L261" s="400" t="s">
        <v>1284</v>
      </c>
      <c r="M261" s="665" t="s">
        <v>1285</v>
      </c>
      <c r="N261" s="367">
        <v>1</v>
      </c>
      <c r="O261" s="367">
        <v>1</v>
      </c>
      <c r="P261" s="367">
        <v>1</v>
      </c>
      <c r="Q261" s="367">
        <v>1</v>
      </c>
      <c r="R261" s="1469"/>
      <c r="S261" s="1469"/>
      <c r="T261" s="1469"/>
      <c r="U261" s="1469"/>
      <c r="V261" s="1494"/>
      <c r="W261" s="374" t="s">
        <v>819</v>
      </c>
      <c r="X261" s="1486"/>
      <c r="Y261" s="1437"/>
      <c r="Z261" s="1437"/>
      <c r="AA261" s="1437"/>
      <c r="AB261" s="1437"/>
      <c r="AC261" s="1437"/>
      <c r="AD261" s="1437"/>
      <c r="AE261" s="1437"/>
      <c r="AF261" s="1437"/>
      <c r="AG261" s="1437"/>
      <c r="AH261" s="1437"/>
      <c r="AI261" s="1437"/>
      <c r="AJ261" s="1437"/>
      <c r="AK261" s="1437"/>
      <c r="AL261" s="1437"/>
      <c r="AM261" s="1437"/>
      <c r="AN261" s="1437"/>
      <c r="AO261" s="1437"/>
      <c r="AP261" s="1437"/>
      <c r="AQ261" s="1437"/>
      <c r="AR261" s="1437"/>
      <c r="AS261" s="1437"/>
      <c r="AT261" s="1437"/>
      <c r="AU261" s="1437"/>
      <c r="AV261" s="1437"/>
      <c r="AW261" s="1437"/>
      <c r="AX261" s="1437"/>
      <c r="AY261" s="1437"/>
      <c r="AZ261" s="1437"/>
      <c r="BA261" s="1437"/>
      <c r="BB261" s="1437"/>
      <c r="BC261" s="1437"/>
      <c r="BD261" s="1437"/>
      <c r="BE261" s="1437"/>
      <c r="BF261" s="1437"/>
      <c r="BG261" s="1437"/>
      <c r="BH261" s="1437"/>
      <c r="BI261" s="1437"/>
      <c r="BJ261" s="1437"/>
      <c r="BK261" s="1437"/>
      <c r="BL261" s="1437"/>
      <c r="BM261" s="1437"/>
      <c r="BN261" s="1437"/>
    </row>
    <row r="262" spans="1:66" ht="66" customHeight="1">
      <c r="A262" s="1377"/>
      <c r="B262" s="1381"/>
      <c r="C262" s="1377"/>
      <c r="D262" s="1379"/>
      <c r="E262" s="1367"/>
      <c r="F262" s="1367"/>
      <c r="G262" s="1367"/>
      <c r="H262" s="365"/>
      <c r="I262" s="365"/>
      <c r="J262" s="1379"/>
      <c r="K262" s="666"/>
      <c r="L262" s="400" t="s">
        <v>1286</v>
      </c>
      <c r="M262" s="665" t="s">
        <v>1287</v>
      </c>
      <c r="N262" s="367"/>
      <c r="O262" s="367">
        <v>1</v>
      </c>
      <c r="P262" s="367"/>
      <c r="Q262" s="367"/>
      <c r="R262" s="1469"/>
      <c r="S262" s="1469"/>
      <c r="T262" s="1469"/>
      <c r="U262" s="1469"/>
      <c r="V262" s="1494"/>
      <c r="W262" s="374" t="s">
        <v>819</v>
      </c>
      <c r="X262" s="1486"/>
      <c r="Y262" s="1437"/>
      <c r="Z262" s="1437"/>
      <c r="AA262" s="1437"/>
      <c r="AB262" s="1437"/>
      <c r="AC262" s="1437"/>
      <c r="AD262" s="1437"/>
      <c r="AE262" s="1437"/>
      <c r="AF262" s="1437"/>
      <c r="AG262" s="1437"/>
      <c r="AH262" s="1437"/>
      <c r="AI262" s="1437"/>
      <c r="AJ262" s="1437"/>
      <c r="AK262" s="1437"/>
      <c r="AL262" s="1437"/>
      <c r="AM262" s="1437"/>
      <c r="AN262" s="1437"/>
      <c r="AO262" s="1437"/>
      <c r="AP262" s="1437"/>
      <c r="AQ262" s="1437"/>
      <c r="AR262" s="1437"/>
      <c r="AS262" s="1437"/>
      <c r="AT262" s="1437"/>
      <c r="AU262" s="1437"/>
      <c r="AV262" s="1437"/>
      <c r="AW262" s="1437"/>
      <c r="AX262" s="1437"/>
      <c r="AY262" s="1437"/>
      <c r="AZ262" s="1437"/>
      <c r="BA262" s="1437"/>
      <c r="BB262" s="1437"/>
      <c r="BC262" s="1437"/>
      <c r="BD262" s="1437"/>
      <c r="BE262" s="1437"/>
      <c r="BF262" s="1437"/>
      <c r="BG262" s="1437"/>
      <c r="BH262" s="1437"/>
      <c r="BI262" s="1437"/>
      <c r="BJ262" s="1437"/>
      <c r="BK262" s="1437"/>
      <c r="BL262" s="1437"/>
      <c r="BM262" s="1437"/>
      <c r="BN262" s="1437"/>
    </row>
    <row r="263" spans="1:66" ht="94.5" customHeight="1">
      <c r="A263" s="1377"/>
      <c r="B263" s="1381"/>
      <c r="C263" s="1377"/>
      <c r="D263" s="1379"/>
      <c r="E263" s="1367"/>
      <c r="F263" s="1367"/>
      <c r="G263" s="1367"/>
      <c r="H263" s="365"/>
      <c r="I263" s="365"/>
      <c r="J263" s="1379"/>
      <c r="K263" s="666"/>
      <c r="L263" s="400" t="s">
        <v>1288</v>
      </c>
      <c r="M263" s="665" t="s">
        <v>1289</v>
      </c>
      <c r="N263" s="367">
        <v>1</v>
      </c>
      <c r="O263" s="367">
        <v>1</v>
      </c>
      <c r="P263" s="367">
        <v>1</v>
      </c>
      <c r="Q263" s="367">
        <v>1</v>
      </c>
      <c r="R263" s="1469"/>
      <c r="S263" s="1469"/>
      <c r="T263" s="1469"/>
      <c r="U263" s="1469"/>
      <c r="V263" s="1494"/>
      <c r="W263" s="374" t="s">
        <v>819</v>
      </c>
      <c r="X263" s="1486"/>
      <c r="Y263" s="1437"/>
      <c r="Z263" s="1437"/>
      <c r="AA263" s="1437"/>
      <c r="AB263" s="1437"/>
      <c r="AC263" s="1437"/>
      <c r="AD263" s="1437"/>
      <c r="AE263" s="1437"/>
      <c r="AF263" s="1437"/>
      <c r="AG263" s="1437"/>
      <c r="AH263" s="1437"/>
      <c r="AI263" s="1437"/>
      <c r="AJ263" s="1437"/>
      <c r="AK263" s="1437"/>
      <c r="AL263" s="1437"/>
      <c r="AM263" s="1437"/>
      <c r="AN263" s="1437"/>
      <c r="AO263" s="1437"/>
      <c r="AP263" s="1437"/>
      <c r="AQ263" s="1437"/>
      <c r="AR263" s="1437"/>
      <c r="AS263" s="1437"/>
      <c r="AT263" s="1437"/>
      <c r="AU263" s="1437"/>
      <c r="AV263" s="1437"/>
      <c r="AW263" s="1437"/>
      <c r="AX263" s="1437"/>
      <c r="AY263" s="1437"/>
      <c r="AZ263" s="1437"/>
      <c r="BA263" s="1437"/>
      <c r="BB263" s="1437"/>
      <c r="BC263" s="1437"/>
      <c r="BD263" s="1437"/>
      <c r="BE263" s="1437"/>
      <c r="BF263" s="1437"/>
      <c r="BG263" s="1437"/>
      <c r="BH263" s="1437"/>
      <c r="BI263" s="1437"/>
      <c r="BJ263" s="1437"/>
      <c r="BK263" s="1437"/>
      <c r="BL263" s="1437"/>
      <c r="BM263" s="1437"/>
      <c r="BN263" s="1437"/>
    </row>
    <row r="264" spans="1:66" ht="56.25" customHeight="1">
      <c r="A264" s="1377"/>
      <c r="B264" s="1381"/>
      <c r="C264" s="1377"/>
      <c r="D264" s="1379"/>
      <c r="E264" s="1367"/>
      <c r="F264" s="1367"/>
      <c r="G264" s="1367"/>
      <c r="H264" s="365"/>
      <c r="I264" s="365"/>
      <c r="J264" s="1379"/>
      <c r="K264" s="666"/>
      <c r="L264" s="400" t="s">
        <v>1290</v>
      </c>
      <c r="M264" s="665" t="s">
        <v>1291</v>
      </c>
      <c r="N264" s="367">
        <v>1</v>
      </c>
      <c r="O264" s="367">
        <v>1</v>
      </c>
      <c r="P264" s="367">
        <v>1</v>
      </c>
      <c r="Q264" s="367">
        <v>1</v>
      </c>
      <c r="R264" s="1469"/>
      <c r="S264" s="1469"/>
      <c r="T264" s="1469"/>
      <c r="U264" s="1469"/>
      <c r="V264" s="1494"/>
      <c r="W264" s="374" t="s">
        <v>854</v>
      </c>
      <c r="X264" s="1486"/>
      <c r="Y264" s="1437"/>
      <c r="Z264" s="1437"/>
      <c r="AA264" s="1437"/>
      <c r="AB264" s="1437"/>
      <c r="AC264" s="1437"/>
      <c r="AD264" s="1437"/>
      <c r="AE264" s="1437"/>
      <c r="AF264" s="1437"/>
      <c r="AG264" s="1437"/>
      <c r="AH264" s="1437"/>
      <c r="AI264" s="1437"/>
      <c r="AJ264" s="1437"/>
      <c r="AK264" s="1437"/>
      <c r="AL264" s="1437"/>
      <c r="AM264" s="1437"/>
      <c r="AN264" s="1437"/>
      <c r="AO264" s="1437"/>
      <c r="AP264" s="1437"/>
      <c r="AQ264" s="1437"/>
      <c r="AR264" s="1437"/>
      <c r="AS264" s="1437"/>
      <c r="AT264" s="1437"/>
      <c r="AU264" s="1437"/>
      <c r="AV264" s="1437"/>
      <c r="AW264" s="1437"/>
      <c r="AX264" s="1437"/>
      <c r="AY264" s="1437"/>
      <c r="AZ264" s="1437"/>
      <c r="BA264" s="1437"/>
      <c r="BB264" s="1437"/>
      <c r="BC264" s="1437"/>
      <c r="BD264" s="1437"/>
      <c r="BE264" s="1437"/>
      <c r="BF264" s="1437"/>
      <c r="BG264" s="1437"/>
      <c r="BH264" s="1437"/>
      <c r="BI264" s="1437"/>
      <c r="BJ264" s="1437"/>
      <c r="BK264" s="1437"/>
      <c r="BL264" s="1437"/>
      <c r="BM264" s="1437"/>
      <c r="BN264" s="1437"/>
    </row>
    <row r="265" spans="1:66" ht="56.25" customHeight="1" hidden="1">
      <c r="A265" s="1377"/>
      <c r="B265" s="1381"/>
      <c r="C265" s="1377"/>
      <c r="D265" s="1379"/>
      <c r="E265" s="1367"/>
      <c r="F265" s="1367"/>
      <c r="G265" s="1367"/>
      <c r="H265" s="365"/>
      <c r="I265" s="365"/>
      <c r="J265" s="1379"/>
      <c r="K265" s="666"/>
      <c r="L265" s="400" t="s">
        <v>1292</v>
      </c>
      <c r="M265" s="665" t="s">
        <v>1293</v>
      </c>
      <c r="N265" s="367">
        <v>1</v>
      </c>
      <c r="O265" s="367"/>
      <c r="P265" s="367"/>
      <c r="Q265" s="367"/>
      <c r="R265" s="1469"/>
      <c r="S265" s="1469"/>
      <c r="T265" s="1469"/>
      <c r="U265" s="1469"/>
      <c r="V265" s="1494"/>
      <c r="W265" s="374" t="s">
        <v>1275</v>
      </c>
      <c r="X265" s="1486"/>
      <c r="Y265" s="1437"/>
      <c r="Z265" s="1437"/>
      <c r="AA265" s="1437"/>
      <c r="AB265" s="1437"/>
      <c r="AC265" s="1437"/>
      <c r="AD265" s="1437"/>
      <c r="AE265" s="1437"/>
      <c r="AF265" s="1437"/>
      <c r="AG265" s="1437"/>
      <c r="AH265" s="1437"/>
      <c r="AI265" s="1437"/>
      <c r="AJ265" s="1437"/>
      <c r="AK265" s="1437"/>
      <c r="AL265" s="1437"/>
      <c r="AM265" s="1437"/>
      <c r="AN265" s="1437"/>
      <c r="AO265" s="1437"/>
      <c r="AP265" s="1437"/>
      <c r="AQ265" s="1437"/>
      <c r="AR265" s="1437"/>
      <c r="AS265" s="1437"/>
      <c r="AT265" s="1437"/>
      <c r="AU265" s="1437"/>
      <c r="AV265" s="1437"/>
      <c r="AW265" s="1437"/>
      <c r="AX265" s="1437"/>
      <c r="AY265" s="1437"/>
      <c r="AZ265" s="1437"/>
      <c r="BA265" s="1437"/>
      <c r="BB265" s="1437"/>
      <c r="BC265" s="1437"/>
      <c r="BD265" s="1437"/>
      <c r="BE265" s="1437"/>
      <c r="BF265" s="1437"/>
      <c r="BG265" s="1437"/>
      <c r="BH265" s="1437"/>
      <c r="BI265" s="1437"/>
      <c r="BJ265" s="1437"/>
      <c r="BK265" s="1437"/>
      <c r="BL265" s="1437"/>
      <c r="BM265" s="1437"/>
      <c r="BN265" s="1437"/>
    </row>
    <row r="266" spans="1:66" ht="56.25" customHeight="1">
      <c r="A266" s="1377"/>
      <c r="B266" s="1381"/>
      <c r="C266" s="1377"/>
      <c r="D266" s="1379"/>
      <c r="E266" s="1367"/>
      <c r="F266" s="1367"/>
      <c r="G266" s="1367"/>
      <c r="H266" s="365"/>
      <c r="I266" s="365"/>
      <c r="J266" s="1379"/>
      <c r="K266" s="666"/>
      <c r="L266" s="400" t="s">
        <v>1294</v>
      </c>
      <c r="M266" s="665" t="s">
        <v>1295</v>
      </c>
      <c r="N266" s="367"/>
      <c r="O266" s="367">
        <v>1</v>
      </c>
      <c r="P266" s="367"/>
      <c r="Q266" s="367"/>
      <c r="R266" s="1469"/>
      <c r="S266" s="1469"/>
      <c r="T266" s="1469"/>
      <c r="U266" s="1469"/>
      <c r="V266" s="1494"/>
      <c r="W266" s="374" t="s">
        <v>819</v>
      </c>
      <c r="X266" s="1486"/>
      <c r="Y266" s="1437"/>
      <c r="Z266" s="1437"/>
      <c r="AA266" s="1437"/>
      <c r="AB266" s="1437"/>
      <c r="AC266" s="1437"/>
      <c r="AD266" s="1437"/>
      <c r="AE266" s="1437"/>
      <c r="AF266" s="1437"/>
      <c r="AG266" s="1437"/>
      <c r="AH266" s="1437"/>
      <c r="AI266" s="1437"/>
      <c r="AJ266" s="1437"/>
      <c r="AK266" s="1437"/>
      <c r="AL266" s="1437"/>
      <c r="AM266" s="1437"/>
      <c r="AN266" s="1437"/>
      <c r="AO266" s="1437"/>
      <c r="AP266" s="1437"/>
      <c r="AQ266" s="1437"/>
      <c r="AR266" s="1437"/>
      <c r="AS266" s="1437"/>
      <c r="AT266" s="1437"/>
      <c r="AU266" s="1437"/>
      <c r="AV266" s="1437"/>
      <c r="AW266" s="1437"/>
      <c r="AX266" s="1437"/>
      <c r="AY266" s="1437"/>
      <c r="AZ266" s="1437"/>
      <c r="BA266" s="1437"/>
      <c r="BB266" s="1437"/>
      <c r="BC266" s="1437"/>
      <c r="BD266" s="1437"/>
      <c r="BE266" s="1437"/>
      <c r="BF266" s="1437"/>
      <c r="BG266" s="1437"/>
      <c r="BH266" s="1437"/>
      <c r="BI266" s="1437"/>
      <c r="BJ266" s="1437"/>
      <c r="BK266" s="1437"/>
      <c r="BL266" s="1437"/>
      <c r="BM266" s="1437"/>
      <c r="BN266" s="1437"/>
    </row>
    <row r="267" spans="1:66" ht="56.25" customHeight="1">
      <c r="A267" s="1377"/>
      <c r="B267" s="1381"/>
      <c r="C267" s="1377"/>
      <c r="D267" s="1379"/>
      <c r="E267" s="1367"/>
      <c r="F267" s="1367"/>
      <c r="G267" s="1367"/>
      <c r="H267" s="365"/>
      <c r="I267" s="365"/>
      <c r="J267" s="1379"/>
      <c r="K267" s="666"/>
      <c r="L267" s="400" t="s">
        <v>1296</v>
      </c>
      <c r="M267" s="665" t="s">
        <v>1297</v>
      </c>
      <c r="N267" s="367">
        <v>1</v>
      </c>
      <c r="O267" s="367">
        <v>1</v>
      </c>
      <c r="P267" s="367">
        <v>1</v>
      </c>
      <c r="Q267" s="367">
        <v>1</v>
      </c>
      <c r="R267" s="1469"/>
      <c r="S267" s="1469"/>
      <c r="T267" s="1469"/>
      <c r="U267" s="1469"/>
      <c r="V267" s="1494"/>
      <c r="W267" s="374" t="s">
        <v>854</v>
      </c>
      <c r="X267" s="1486"/>
      <c r="Y267" s="1437"/>
      <c r="Z267" s="1437"/>
      <c r="AA267" s="1437"/>
      <c r="AB267" s="1437"/>
      <c r="AC267" s="1437"/>
      <c r="AD267" s="1437"/>
      <c r="AE267" s="1437"/>
      <c r="AF267" s="1437"/>
      <c r="AG267" s="1437"/>
      <c r="AH267" s="1437"/>
      <c r="AI267" s="1437"/>
      <c r="AJ267" s="1437"/>
      <c r="AK267" s="1437"/>
      <c r="AL267" s="1437"/>
      <c r="AM267" s="1437"/>
      <c r="AN267" s="1437"/>
      <c r="AO267" s="1437"/>
      <c r="AP267" s="1437"/>
      <c r="AQ267" s="1437"/>
      <c r="AR267" s="1437"/>
      <c r="AS267" s="1437"/>
      <c r="AT267" s="1437"/>
      <c r="AU267" s="1437"/>
      <c r="AV267" s="1437"/>
      <c r="AW267" s="1437"/>
      <c r="AX267" s="1437"/>
      <c r="AY267" s="1437"/>
      <c r="AZ267" s="1437"/>
      <c r="BA267" s="1437"/>
      <c r="BB267" s="1437"/>
      <c r="BC267" s="1437"/>
      <c r="BD267" s="1437"/>
      <c r="BE267" s="1437"/>
      <c r="BF267" s="1437"/>
      <c r="BG267" s="1437"/>
      <c r="BH267" s="1437"/>
      <c r="BI267" s="1437"/>
      <c r="BJ267" s="1437"/>
      <c r="BK267" s="1437"/>
      <c r="BL267" s="1437"/>
      <c r="BM267" s="1437"/>
      <c r="BN267" s="1437"/>
    </row>
    <row r="268" spans="1:66" ht="76.5" customHeight="1">
      <c r="A268" s="1377"/>
      <c r="B268" s="1381"/>
      <c r="C268" s="1377"/>
      <c r="D268" s="1379"/>
      <c r="E268" s="1367"/>
      <c r="F268" s="1367"/>
      <c r="G268" s="1367"/>
      <c r="H268" s="365"/>
      <c r="I268" s="365"/>
      <c r="J268" s="1379"/>
      <c r="K268" s="666"/>
      <c r="L268" s="400" t="s">
        <v>1298</v>
      </c>
      <c r="M268" s="665" t="s">
        <v>1299</v>
      </c>
      <c r="N268" s="367">
        <v>1</v>
      </c>
      <c r="O268" s="367">
        <v>1</v>
      </c>
      <c r="P268" s="367">
        <v>1</v>
      </c>
      <c r="Q268" s="367">
        <v>1</v>
      </c>
      <c r="R268" s="1469"/>
      <c r="S268" s="1469"/>
      <c r="T268" s="1469"/>
      <c r="U268" s="1469"/>
      <c r="V268" s="1494"/>
      <c r="W268" s="374" t="s">
        <v>1275</v>
      </c>
      <c r="X268" s="1486"/>
      <c r="Y268" s="1437"/>
      <c r="Z268" s="1437"/>
      <c r="AA268" s="1437"/>
      <c r="AB268" s="1437"/>
      <c r="AC268" s="1437"/>
      <c r="AD268" s="1437"/>
      <c r="AE268" s="1437"/>
      <c r="AF268" s="1437"/>
      <c r="AG268" s="1437"/>
      <c r="AH268" s="1437"/>
      <c r="AI268" s="1437"/>
      <c r="AJ268" s="1437"/>
      <c r="AK268" s="1437"/>
      <c r="AL268" s="1437"/>
      <c r="AM268" s="1437"/>
      <c r="AN268" s="1437"/>
      <c r="AO268" s="1437"/>
      <c r="AP268" s="1437"/>
      <c r="AQ268" s="1437"/>
      <c r="AR268" s="1437"/>
      <c r="AS268" s="1437"/>
      <c r="AT268" s="1437"/>
      <c r="AU268" s="1437"/>
      <c r="AV268" s="1437"/>
      <c r="AW268" s="1437"/>
      <c r="AX268" s="1437"/>
      <c r="AY268" s="1437"/>
      <c r="AZ268" s="1437"/>
      <c r="BA268" s="1437"/>
      <c r="BB268" s="1437"/>
      <c r="BC268" s="1437"/>
      <c r="BD268" s="1437"/>
      <c r="BE268" s="1437"/>
      <c r="BF268" s="1437"/>
      <c r="BG268" s="1437"/>
      <c r="BH268" s="1437"/>
      <c r="BI268" s="1437"/>
      <c r="BJ268" s="1437"/>
      <c r="BK268" s="1437"/>
      <c r="BL268" s="1437"/>
      <c r="BM268" s="1437"/>
      <c r="BN268" s="1437"/>
    </row>
    <row r="269" spans="1:66" ht="56.25" customHeight="1">
      <c r="A269" s="1377"/>
      <c r="B269" s="1381"/>
      <c r="C269" s="1377"/>
      <c r="D269" s="1379"/>
      <c r="E269" s="1367"/>
      <c r="F269" s="1367"/>
      <c r="G269" s="1367"/>
      <c r="H269" s="365"/>
      <c r="I269" s="365"/>
      <c r="J269" s="1379"/>
      <c r="K269" s="666"/>
      <c r="L269" s="400" t="s">
        <v>1300</v>
      </c>
      <c r="M269" s="665" t="s">
        <v>1301</v>
      </c>
      <c r="N269" s="367"/>
      <c r="O269" s="367">
        <v>1</v>
      </c>
      <c r="P269" s="367"/>
      <c r="Q269" s="367"/>
      <c r="R269" s="1469"/>
      <c r="S269" s="1469"/>
      <c r="T269" s="1469"/>
      <c r="U269" s="1469"/>
      <c r="V269" s="1494"/>
      <c r="W269" s="374" t="s">
        <v>819</v>
      </c>
      <c r="X269" s="1486"/>
      <c r="Y269" s="1437"/>
      <c r="Z269" s="1437"/>
      <c r="AA269" s="1437"/>
      <c r="AB269" s="1437"/>
      <c r="AC269" s="1437"/>
      <c r="AD269" s="1437"/>
      <c r="AE269" s="1437"/>
      <c r="AF269" s="1437"/>
      <c r="AG269" s="1437"/>
      <c r="AH269" s="1437"/>
      <c r="AI269" s="1437"/>
      <c r="AJ269" s="1437"/>
      <c r="AK269" s="1437"/>
      <c r="AL269" s="1437"/>
      <c r="AM269" s="1437"/>
      <c r="AN269" s="1437"/>
      <c r="AO269" s="1437"/>
      <c r="AP269" s="1437"/>
      <c r="AQ269" s="1437"/>
      <c r="AR269" s="1437"/>
      <c r="AS269" s="1437"/>
      <c r="AT269" s="1437"/>
      <c r="AU269" s="1437"/>
      <c r="AV269" s="1437"/>
      <c r="AW269" s="1437"/>
      <c r="AX269" s="1437"/>
      <c r="AY269" s="1437"/>
      <c r="AZ269" s="1437"/>
      <c r="BA269" s="1437"/>
      <c r="BB269" s="1437"/>
      <c r="BC269" s="1437"/>
      <c r="BD269" s="1437"/>
      <c r="BE269" s="1437"/>
      <c r="BF269" s="1437"/>
      <c r="BG269" s="1437"/>
      <c r="BH269" s="1437"/>
      <c r="BI269" s="1437"/>
      <c r="BJ269" s="1437"/>
      <c r="BK269" s="1437"/>
      <c r="BL269" s="1437"/>
      <c r="BM269" s="1437"/>
      <c r="BN269" s="1437"/>
    </row>
    <row r="270" spans="1:66" ht="56.25" customHeight="1">
      <c r="A270" s="1377"/>
      <c r="B270" s="1381"/>
      <c r="C270" s="1377"/>
      <c r="D270" s="1379"/>
      <c r="E270" s="1367"/>
      <c r="F270" s="1367"/>
      <c r="G270" s="1367"/>
      <c r="H270" s="365"/>
      <c r="I270" s="365"/>
      <c r="J270" s="1379"/>
      <c r="K270" s="666"/>
      <c r="L270" s="400" t="s">
        <v>1302</v>
      </c>
      <c r="M270" s="665" t="s">
        <v>1303</v>
      </c>
      <c r="N270" s="367"/>
      <c r="O270" s="367">
        <v>1</v>
      </c>
      <c r="P270" s="367"/>
      <c r="Q270" s="367"/>
      <c r="R270" s="1469"/>
      <c r="S270" s="1469"/>
      <c r="T270" s="1469"/>
      <c r="U270" s="1469"/>
      <c r="V270" s="1494"/>
      <c r="W270" s="374" t="s">
        <v>819</v>
      </c>
      <c r="X270" s="1486"/>
      <c r="Y270" s="1437"/>
      <c r="Z270" s="1437"/>
      <c r="AA270" s="1437"/>
      <c r="AB270" s="1437"/>
      <c r="AC270" s="1437"/>
      <c r="AD270" s="1437"/>
      <c r="AE270" s="1437"/>
      <c r="AF270" s="1437"/>
      <c r="AG270" s="1437"/>
      <c r="AH270" s="1437"/>
      <c r="AI270" s="1437"/>
      <c r="AJ270" s="1437"/>
      <c r="AK270" s="1437"/>
      <c r="AL270" s="1437"/>
      <c r="AM270" s="1437"/>
      <c r="AN270" s="1437"/>
      <c r="AO270" s="1437"/>
      <c r="AP270" s="1437"/>
      <c r="AQ270" s="1437"/>
      <c r="AR270" s="1437"/>
      <c r="AS270" s="1437"/>
      <c r="AT270" s="1437"/>
      <c r="AU270" s="1437"/>
      <c r="AV270" s="1437"/>
      <c r="AW270" s="1437"/>
      <c r="AX270" s="1437"/>
      <c r="AY270" s="1437"/>
      <c r="AZ270" s="1437"/>
      <c r="BA270" s="1437"/>
      <c r="BB270" s="1437"/>
      <c r="BC270" s="1437"/>
      <c r="BD270" s="1437"/>
      <c r="BE270" s="1437"/>
      <c r="BF270" s="1437"/>
      <c r="BG270" s="1437"/>
      <c r="BH270" s="1437"/>
      <c r="BI270" s="1437"/>
      <c r="BJ270" s="1437"/>
      <c r="BK270" s="1437"/>
      <c r="BL270" s="1437"/>
      <c r="BM270" s="1437"/>
      <c r="BN270" s="1437"/>
    </row>
    <row r="271" spans="1:66" ht="56.25" customHeight="1">
      <c r="A271" s="1377"/>
      <c r="B271" s="1381"/>
      <c r="C271" s="1377"/>
      <c r="D271" s="1379"/>
      <c r="E271" s="1367"/>
      <c r="F271" s="1367"/>
      <c r="G271" s="1367"/>
      <c r="H271" s="365"/>
      <c r="I271" s="365"/>
      <c r="J271" s="1379"/>
      <c r="K271" s="666"/>
      <c r="L271" s="400" t="s">
        <v>1304</v>
      </c>
      <c r="M271" s="665" t="s">
        <v>1305</v>
      </c>
      <c r="N271" s="367">
        <v>1</v>
      </c>
      <c r="O271" s="367">
        <v>1</v>
      </c>
      <c r="P271" s="367">
        <v>1</v>
      </c>
      <c r="Q271" s="367">
        <v>1</v>
      </c>
      <c r="R271" s="1469"/>
      <c r="S271" s="1469"/>
      <c r="T271" s="1469"/>
      <c r="U271" s="1469"/>
      <c r="V271" s="1494"/>
      <c r="W271" s="374" t="s">
        <v>854</v>
      </c>
      <c r="X271" s="1486"/>
      <c r="Y271" s="1437"/>
      <c r="Z271" s="1437"/>
      <c r="AA271" s="1437"/>
      <c r="AB271" s="1437"/>
      <c r="AC271" s="1437"/>
      <c r="AD271" s="1437"/>
      <c r="AE271" s="1437"/>
      <c r="AF271" s="1437"/>
      <c r="AG271" s="1437"/>
      <c r="AH271" s="1437"/>
      <c r="AI271" s="1437"/>
      <c r="AJ271" s="1437"/>
      <c r="AK271" s="1437"/>
      <c r="AL271" s="1437"/>
      <c r="AM271" s="1437"/>
      <c r="AN271" s="1437"/>
      <c r="AO271" s="1437"/>
      <c r="AP271" s="1437"/>
      <c r="AQ271" s="1437"/>
      <c r="AR271" s="1437"/>
      <c r="AS271" s="1437"/>
      <c r="AT271" s="1437"/>
      <c r="AU271" s="1437"/>
      <c r="AV271" s="1437"/>
      <c r="AW271" s="1437"/>
      <c r="AX271" s="1437"/>
      <c r="AY271" s="1437"/>
      <c r="AZ271" s="1437"/>
      <c r="BA271" s="1437"/>
      <c r="BB271" s="1437"/>
      <c r="BC271" s="1437"/>
      <c r="BD271" s="1437"/>
      <c r="BE271" s="1437"/>
      <c r="BF271" s="1437"/>
      <c r="BG271" s="1437"/>
      <c r="BH271" s="1437"/>
      <c r="BI271" s="1437"/>
      <c r="BJ271" s="1437"/>
      <c r="BK271" s="1437"/>
      <c r="BL271" s="1437"/>
      <c r="BM271" s="1437"/>
      <c r="BN271" s="1437"/>
    </row>
    <row r="272" spans="1:66" ht="72" customHeight="1">
      <c r="A272" s="1377"/>
      <c r="B272" s="1381"/>
      <c r="C272" s="1377"/>
      <c r="D272" s="1379"/>
      <c r="E272" s="1367"/>
      <c r="F272" s="1367"/>
      <c r="G272" s="1367"/>
      <c r="H272" s="365"/>
      <c r="I272" s="365"/>
      <c r="J272" s="1379"/>
      <c r="K272" s="666"/>
      <c r="L272" s="400" t="s">
        <v>1306</v>
      </c>
      <c r="M272" s="665" t="s">
        <v>1307</v>
      </c>
      <c r="N272" s="367">
        <v>1</v>
      </c>
      <c r="O272" s="367">
        <v>1</v>
      </c>
      <c r="P272" s="367">
        <v>1</v>
      </c>
      <c r="Q272" s="367">
        <v>1</v>
      </c>
      <c r="R272" s="1469"/>
      <c r="S272" s="1469"/>
      <c r="T272" s="1469"/>
      <c r="U272" s="1469"/>
      <c r="V272" s="1494"/>
      <c r="W272" s="374" t="s">
        <v>854</v>
      </c>
      <c r="X272" s="1486"/>
      <c r="Y272" s="1437"/>
      <c r="Z272" s="1437"/>
      <c r="AA272" s="1437"/>
      <c r="AB272" s="1437"/>
      <c r="AC272" s="1437"/>
      <c r="AD272" s="1437"/>
      <c r="AE272" s="1437"/>
      <c r="AF272" s="1437"/>
      <c r="AG272" s="1437"/>
      <c r="AH272" s="1437"/>
      <c r="AI272" s="1437"/>
      <c r="AJ272" s="1437"/>
      <c r="AK272" s="1437"/>
      <c r="AL272" s="1437"/>
      <c r="AM272" s="1437"/>
      <c r="AN272" s="1437"/>
      <c r="AO272" s="1437"/>
      <c r="AP272" s="1437"/>
      <c r="AQ272" s="1437"/>
      <c r="AR272" s="1437"/>
      <c r="AS272" s="1437"/>
      <c r="AT272" s="1437"/>
      <c r="AU272" s="1437"/>
      <c r="AV272" s="1437"/>
      <c r="AW272" s="1437"/>
      <c r="AX272" s="1437"/>
      <c r="AY272" s="1437"/>
      <c r="AZ272" s="1437"/>
      <c r="BA272" s="1437"/>
      <c r="BB272" s="1437"/>
      <c r="BC272" s="1437"/>
      <c r="BD272" s="1437"/>
      <c r="BE272" s="1437"/>
      <c r="BF272" s="1437"/>
      <c r="BG272" s="1437"/>
      <c r="BH272" s="1437"/>
      <c r="BI272" s="1437"/>
      <c r="BJ272" s="1437"/>
      <c r="BK272" s="1437"/>
      <c r="BL272" s="1437"/>
      <c r="BM272" s="1437"/>
      <c r="BN272" s="1437"/>
    </row>
    <row r="273" spans="1:66" ht="56.25" customHeight="1">
      <c r="A273" s="1377"/>
      <c r="B273" s="1381"/>
      <c r="C273" s="1377"/>
      <c r="D273" s="1379"/>
      <c r="E273" s="1367"/>
      <c r="F273" s="1367"/>
      <c r="G273" s="1367"/>
      <c r="H273" s="365"/>
      <c r="I273" s="365"/>
      <c r="J273" s="1379"/>
      <c r="K273" s="666"/>
      <c r="L273" s="400" t="s">
        <v>1308</v>
      </c>
      <c r="M273" s="665" t="s">
        <v>1309</v>
      </c>
      <c r="N273" s="367">
        <v>1</v>
      </c>
      <c r="O273" s="367">
        <v>0</v>
      </c>
      <c r="P273" s="367"/>
      <c r="Q273" s="367"/>
      <c r="R273" s="1469"/>
      <c r="S273" s="1469"/>
      <c r="T273" s="1469"/>
      <c r="U273" s="1469"/>
      <c r="V273" s="1494"/>
      <c r="W273" s="374" t="s">
        <v>647</v>
      </c>
      <c r="X273" s="1486"/>
      <c r="Y273" s="1437"/>
      <c r="Z273" s="1437"/>
      <c r="AA273" s="1437"/>
      <c r="AB273" s="1437"/>
      <c r="AC273" s="1437"/>
      <c r="AD273" s="1437"/>
      <c r="AE273" s="1437"/>
      <c r="AF273" s="1437"/>
      <c r="AG273" s="1437"/>
      <c r="AH273" s="1437"/>
      <c r="AI273" s="1437"/>
      <c r="AJ273" s="1437"/>
      <c r="AK273" s="1437"/>
      <c r="AL273" s="1437"/>
      <c r="AM273" s="1437"/>
      <c r="AN273" s="1437"/>
      <c r="AO273" s="1437"/>
      <c r="AP273" s="1437"/>
      <c r="AQ273" s="1437"/>
      <c r="AR273" s="1437"/>
      <c r="AS273" s="1437"/>
      <c r="AT273" s="1437"/>
      <c r="AU273" s="1437"/>
      <c r="AV273" s="1437"/>
      <c r="AW273" s="1437"/>
      <c r="AX273" s="1437"/>
      <c r="AY273" s="1437"/>
      <c r="AZ273" s="1437"/>
      <c r="BA273" s="1437"/>
      <c r="BB273" s="1437"/>
      <c r="BC273" s="1437"/>
      <c r="BD273" s="1437"/>
      <c r="BE273" s="1437"/>
      <c r="BF273" s="1437"/>
      <c r="BG273" s="1437"/>
      <c r="BH273" s="1437"/>
      <c r="BI273" s="1437"/>
      <c r="BJ273" s="1437"/>
      <c r="BK273" s="1437"/>
      <c r="BL273" s="1437"/>
      <c r="BM273" s="1437"/>
      <c r="BN273" s="1437"/>
    </row>
    <row r="274" spans="1:66" ht="65.25" customHeight="1">
      <c r="A274" s="1377"/>
      <c r="B274" s="1381"/>
      <c r="C274" s="1377"/>
      <c r="D274" s="1379"/>
      <c r="E274" s="1367"/>
      <c r="F274" s="1367"/>
      <c r="G274" s="1367"/>
      <c r="H274" s="365"/>
      <c r="I274" s="365"/>
      <c r="J274" s="1379"/>
      <c r="K274" s="666"/>
      <c r="L274" s="400" t="s">
        <v>1310</v>
      </c>
      <c r="M274" s="665" t="s">
        <v>1311</v>
      </c>
      <c r="N274" s="367"/>
      <c r="O274" s="367">
        <v>1</v>
      </c>
      <c r="P274" s="367">
        <v>1</v>
      </c>
      <c r="Q274" s="367">
        <v>1</v>
      </c>
      <c r="R274" s="1469"/>
      <c r="S274" s="1469"/>
      <c r="T274" s="1469"/>
      <c r="U274" s="1469"/>
      <c r="V274" s="1494"/>
      <c r="W274" s="374" t="s">
        <v>854</v>
      </c>
      <c r="X274" s="1486"/>
      <c r="Y274" s="1437"/>
      <c r="Z274" s="1437"/>
      <c r="AA274" s="1437"/>
      <c r="AB274" s="1437"/>
      <c r="AC274" s="1437"/>
      <c r="AD274" s="1437"/>
      <c r="AE274" s="1437"/>
      <c r="AF274" s="1437"/>
      <c r="AG274" s="1437"/>
      <c r="AH274" s="1437"/>
      <c r="AI274" s="1437"/>
      <c r="AJ274" s="1437"/>
      <c r="AK274" s="1437"/>
      <c r="AL274" s="1437"/>
      <c r="AM274" s="1437"/>
      <c r="AN274" s="1437"/>
      <c r="AO274" s="1437"/>
      <c r="AP274" s="1437"/>
      <c r="AQ274" s="1437"/>
      <c r="AR274" s="1437"/>
      <c r="AS274" s="1437"/>
      <c r="AT274" s="1437"/>
      <c r="AU274" s="1437"/>
      <c r="AV274" s="1437"/>
      <c r="AW274" s="1437"/>
      <c r="AX274" s="1437"/>
      <c r="AY274" s="1437"/>
      <c r="AZ274" s="1437"/>
      <c r="BA274" s="1437"/>
      <c r="BB274" s="1437"/>
      <c r="BC274" s="1437"/>
      <c r="BD274" s="1437"/>
      <c r="BE274" s="1437"/>
      <c r="BF274" s="1437"/>
      <c r="BG274" s="1437"/>
      <c r="BH274" s="1437"/>
      <c r="BI274" s="1437"/>
      <c r="BJ274" s="1437"/>
      <c r="BK274" s="1437"/>
      <c r="BL274" s="1437"/>
      <c r="BM274" s="1437"/>
      <c r="BN274" s="1437"/>
    </row>
    <row r="275" spans="1:66" ht="70.5" customHeight="1">
      <c r="A275" s="1377"/>
      <c r="B275" s="1381"/>
      <c r="C275" s="1377"/>
      <c r="D275" s="1379"/>
      <c r="E275" s="1367"/>
      <c r="F275" s="1367"/>
      <c r="G275" s="1367"/>
      <c r="H275" s="365"/>
      <c r="I275" s="365"/>
      <c r="J275" s="1379"/>
      <c r="K275" s="666"/>
      <c r="L275" s="400" t="s">
        <v>1312</v>
      </c>
      <c r="M275" s="665" t="s">
        <v>1313</v>
      </c>
      <c r="N275" s="367">
        <v>1</v>
      </c>
      <c r="O275" s="367">
        <v>1</v>
      </c>
      <c r="P275" s="367">
        <v>1</v>
      </c>
      <c r="Q275" s="367">
        <v>1</v>
      </c>
      <c r="R275" s="1469"/>
      <c r="S275" s="1469"/>
      <c r="T275" s="1469"/>
      <c r="U275" s="1469"/>
      <c r="V275" s="1494"/>
      <c r="W275" s="374" t="s">
        <v>854</v>
      </c>
      <c r="X275" s="1486"/>
      <c r="Y275" s="1437"/>
      <c r="Z275" s="1437"/>
      <c r="AA275" s="1437"/>
      <c r="AB275" s="1437"/>
      <c r="AC275" s="1437"/>
      <c r="AD275" s="1437"/>
      <c r="AE275" s="1437"/>
      <c r="AF275" s="1437"/>
      <c r="AG275" s="1437"/>
      <c r="AH275" s="1437"/>
      <c r="AI275" s="1437"/>
      <c r="AJ275" s="1437"/>
      <c r="AK275" s="1437"/>
      <c r="AL275" s="1437"/>
      <c r="AM275" s="1437"/>
      <c r="AN275" s="1437"/>
      <c r="AO275" s="1437"/>
      <c r="AP275" s="1437"/>
      <c r="AQ275" s="1437"/>
      <c r="AR275" s="1437"/>
      <c r="AS275" s="1437"/>
      <c r="AT275" s="1437"/>
      <c r="AU275" s="1437"/>
      <c r="AV275" s="1437"/>
      <c r="AW275" s="1437"/>
      <c r="AX275" s="1437"/>
      <c r="AY275" s="1437"/>
      <c r="AZ275" s="1437"/>
      <c r="BA275" s="1437"/>
      <c r="BB275" s="1437"/>
      <c r="BC275" s="1437"/>
      <c r="BD275" s="1437"/>
      <c r="BE275" s="1437"/>
      <c r="BF275" s="1437"/>
      <c r="BG275" s="1437"/>
      <c r="BH275" s="1437"/>
      <c r="BI275" s="1437"/>
      <c r="BJ275" s="1437"/>
      <c r="BK275" s="1437"/>
      <c r="BL275" s="1437"/>
      <c r="BM275" s="1437"/>
      <c r="BN275" s="1437"/>
    </row>
    <row r="276" spans="1:66" ht="66.75" customHeight="1">
      <c r="A276" s="1377"/>
      <c r="B276" s="1381"/>
      <c r="C276" s="1377"/>
      <c r="D276" s="1379"/>
      <c r="E276" s="1367"/>
      <c r="F276" s="1367"/>
      <c r="G276" s="1367"/>
      <c r="H276" s="365"/>
      <c r="I276" s="365"/>
      <c r="J276" s="1379"/>
      <c r="K276" s="666"/>
      <c r="L276" s="400" t="s">
        <v>1314</v>
      </c>
      <c r="M276" s="665" t="s">
        <v>1315</v>
      </c>
      <c r="N276" s="367"/>
      <c r="O276" s="367">
        <v>1</v>
      </c>
      <c r="P276" s="367"/>
      <c r="Q276" s="367"/>
      <c r="R276" s="1469"/>
      <c r="S276" s="1469"/>
      <c r="T276" s="1469"/>
      <c r="U276" s="1469"/>
      <c r="V276" s="1494"/>
      <c r="W276" s="374" t="s">
        <v>1275</v>
      </c>
      <c r="X276" s="1486"/>
      <c r="Y276" s="1437"/>
      <c r="Z276" s="1437"/>
      <c r="AA276" s="1437"/>
      <c r="AB276" s="1437"/>
      <c r="AC276" s="1437"/>
      <c r="AD276" s="1437"/>
      <c r="AE276" s="1437"/>
      <c r="AF276" s="1437"/>
      <c r="AG276" s="1437"/>
      <c r="AH276" s="1437"/>
      <c r="AI276" s="1437"/>
      <c r="AJ276" s="1437"/>
      <c r="AK276" s="1437"/>
      <c r="AL276" s="1437"/>
      <c r="AM276" s="1437"/>
      <c r="AN276" s="1437"/>
      <c r="AO276" s="1437"/>
      <c r="AP276" s="1437"/>
      <c r="AQ276" s="1437"/>
      <c r="AR276" s="1437"/>
      <c r="AS276" s="1437"/>
      <c r="AT276" s="1437"/>
      <c r="AU276" s="1437"/>
      <c r="AV276" s="1437"/>
      <c r="AW276" s="1437"/>
      <c r="AX276" s="1437"/>
      <c r="AY276" s="1437"/>
      <c r="AZ276" s="1437"/>
      <c r="BA276" s="1437"/>
      <c r="BB276" s="1437"/>
      <c r="BC276" s="1437"/>
      <c r="BD276" s="1437"/>
      <c r="BE276" s="1437"/>
      <c r="BF276" s="1437"/>
      <c r="BG276" s="1437"/>
      <c r="BH276" s="1437"/>
      <c r="BI276" s="1437"/>
      <c r="BJ276" s="1437"/>
      <c r="BK276" s="1437"/>
      <c r="BL276" s="1437"/>
      <c r="BM276" s="1437"/>
      <c r="BN276" s="1437"/>
    </row>
    <row r="277" spans="1:66" ht="56.25" customHeight="1">
      <c r="A277" s="1377"/>
      <c r="B277" s="1381"/>
      <c r="C277" s="1377"/>
      <c r="D277" s="1379"/>
      <c r="E277" s="1367"/>
      <c r="F277" s="1367"/>
      <c r="G277" s="1367"/>
      <c r="H277" s="365"/>
      <c r="I277" s="365"/>
      <c r="J277" s="1379"/>
      <c r="K277" s="666"/>
      <c r="L277" s="400" t="s">
        <v>1316</v>
      </c>
      <c r="M277" s="665" t="s">
        <v>1317</v>
      </c>
      <c r="N277" s="367">
        <v>1</v>
      </c>
      <c r="O277" s="367">
        <v>1</v>
      </c>
      <c r="P277" s="367">
        <v>1</v>
      </c>
      <c r="Q277" s="367">
        <v>1</v>
      </c>
      <c r="R277" s="1469"/>
      <c r="S277" s="1469"/>
      <c r="T277" s="1469"/>
      <c r="U277" s="1469"/>
      <c r="V277" s="1494"/>
      <c r="W277" s="374" t="s">
        <v>1275</v>
      </c>
      <c r="X277" s="1486"/>
      <c r="Y277" s="1437"/>
      <c r="Z277" s="1437"/>
      <c r="AA277" s="1437"/>
      <c r="AB277" s="1437"/>
      <c r="AC277" s="1437"/>
      <c r="AD277" s="1437"/>
      <c r="AE277" s="1437"/>
      <c r="AF277" s="1437"/>
      <c r="AG277" s="1437"/>
      <c r="AH277" s="1437"/>
      <c r="AI277" s="1437"/>
      <c r="AJ277" s="1437"/>
      <c r="AK277" s="1437"/>
      <c r="AL277" s="1437"/>
      <c r="AM277" s="1437"/>
      <c r="AN277" s="1437"/>
      <c r="AO277" s="1437"/>
      <c r="AP277" s="1437"/>
      <c r="AQ277" s="1437"/>
      <c r="AR277" s="1437"/>
      <c r="AS277" s="1437"/>
      <c r="AT277" s="1437"/>
      <c r="AU277" s="1437"/>
      <c r="AV277" s="1437"/>
      <c r="AW277" s="1437"/>
      <c r="AX277" s="1437"/>
      <c r="AY277" s="1437"/>
      <c r="AZ277" s="1437"/>
      <c r="BA277" s="1437"/>
      <c r="BB277" s="1437"/>
      <c r="BC277" s="1437"/>
      <c r="BD277" s="1437"/>
      <c r="BE277" s="1437"/>
      <c r="BF277" s="1437"/>
      <c r="BG277" s="1437"/>
      <c r="BH277" s="1437"/>
      <c r="BI277" s="1437"/>
      <c r="BJ277" s="1437"/>
      <c r="BK277" s="1437"/>
      <c r="BL277" s="1437"/>
      <c r="BM277" s="1437"/>
      <c r="BN277" s="1437"/>
    </row>
    <row r="278" spans="1:66" ht="56.25" customHeight="1">
      <c r="A278" s="1377"/>
      <c r="B278" s="1381"/>
      <c r="C278" s="1377"/>
      <c r="D278" s="1379"/>
      <c r="E278" s="1367"/>
      <c r="F278" s="1367"/>
      <c r="G278" s="1367"/>
      <c r="H278" s="365"/>
      <c r="I278" s="365"/>
      <c r="J278" s="1379"/>
      <c r="K278" s="666"/>
      <c r="L278" s="400" t="s">
        <v>1318</v>
      </c>
      <c r="M278" s="665" t="s">
        <v>1319</v>
      </c>
      <c r="N278" s="367"/>
      <c r="O278" s="367">
        <v>1</v>
      </c>
      <c r="P278" s="367">
        <v>1</v>
      </c>
      <c r="Q278" s="367">
        <v>1</v>
      </c>
      <c r="R278" s="1469"/>
      <c r="S278" s="1469"/>
      <c r="T278" s="1469"/>
      <c r="U278" s="1469"/>
      <c r="V278" s="1494"/>
      <c r="W278" s="392" t="s">
        <v>854</v>
      </c>
      <c r="X278" s="1486"/>
      <c r="Y278" s="1437"/>
      <c r="Z278" s="1437"/>
      <c r="AA278" s="1437"/>
      <c r="AB278" s="1437"/>
      <c r="AC278" s="1437"/>
      <c r="AD278" s="1437"/>
      <c r="AE278" s="1437"/>
      <c r="AF278" s="1437"/>
      <c r="AG278" s="1437"/>
      <c r="AH278" s="1437"/>
      <c r="AI278" s="1437"/>
      <c r="AJ278" s="1437"/>
      <c r="AK278" s="1437"/>
      <c r="AL278" s="1437"/>
      <c r="AM278" s="1437"/>
      <c r="AN278" s="1437"/>
      <c r="AO278" s="1437"/>
      <c r="AP278" s="1437"/>
      <c r="AQ278" s="1437"/>
      <c r="AR278" s="1437"/>
      <c r="AS278" s="1437"/>
      <c r="AT278" s="1437"/>
      <c r="AU278" s="1437"/>
      <c r="AV278" s="1437"/>
      <c r="AW278" s="1437"/>
      <c r="AX278" s="1437"/>
      <c r="AY278" s="1437"/>
      <c r="AZ278" s="1437"/>
      <c r="BA278" s="1437"/>
      <c r="BB278" s="1437"/>
      <c r="BC278" s="1437"/>
      <c r="BD278" s="1437"/>
      <c r="BE278" s="1437"/>
      <c r="BF278" s="1437"/>
      <c r="BG278" s="1437"/>
      <c r="BH278" s="1437"/>
      <c r="BI278" s="1437"/>
      <c r="BJ278" s="1437"/>
      <c r="BK278" s="1437"/>
      <c r="BL278" s="1437"/>
      <c r="BM278" s="1437"/>
      <c r="BN278" s="1437"/>
    </row>
    <row r="279" spans="1:66" ht="93.75" customHeight="1">
      <c r="A279" s="1377"/>
      <c r="B279" s="1381"/>
      <c r="C279" s="1377"/>
      <c r="D279" s="1379"/>
      <c r="E279" s="1367"/>
      <c r="F279" s="1367"/>
      <c r="G279" s="1367"/>
      <c r="H279" s="365"/>
      <c r="I279" s="365"/>
      <c r="J279" s="1379"/>
      <c r="K279" s="666"/>
      <c r="L279" s="403" t="s">
        <v>1320</v>
      </c>
      <c r="M279" s="665" t="s">
        <v>1321</v>
      </c>
      <c r="N279" s="367">
        <v>1</v>
      </c>
      <c r="O279" s="367">
        <v>1</v>
      </c>
      <c r="P279" s="367"/>
      <c r="Q279" s="367"/>
      <c r="R279" s="1469"/>
      <c r="S279" s="1469"/>
      <c r="T279" s="1469"/>
      <c r="U279" s="1469"/>
      <c r="V279" s="1494"/>
      <c r="W279" s="374" t="s">
        <v>1275</v>
      </c>
      <c r="X279" s="450" t="s">
        <v>1565</v>
      </c>
      <c r="Y279" s="460"/>
      <c r="Z279" s="460"/>
      <c r="AA279" s="460"/>
      <c r="AB279" s="460"/>
      <c r="AC279" s="460"/>
      <c r="AD279" s="460"/>
      <c r="AE279" s="460"/>
      <c r="AF279" s="460"/>
      <c r="AG279" s="460"/>
      <c r="AH279" s="460"/>
      <c r="AI279" s="460"/>
      <c r="AJ279" s="460">
        <v>50000000</v>
      </c>
      <c r="AK279" s="460"/>
      <c r="AL279" s="460">
        <v>50000000</v>
      </c>
      <c r="AM279" s="460"/>
      <c r="AN279" s="460"/>
      <c r="AO279" s="460"/>
      <c r="AP279" s="460"/>
      <c r="AQ279" s="460"/>
      <c r="AR279" s="460"/>
      <c r="AS279" s="460"/>
      <c r="AT279" s="460"/>
      <c r="AU279" s="460"/>
      <c r="AV279" s="460"/>
      <c r="AW279" s="460"/>
      <c r="AX279" s="460"/>
      <c r="AY279" s="460"/>
      <c r="AZ279" s="460"/>
      <c r="BA279" s="460"/>
      <c r="BB279" s="460"/>
      <c r="BC279" s="460"/>
      <c r="BD279" s="460"/>
      <c r="BE279" s="460"/>
      <c r="BF279" s="460"/>
      <c r="BG279" s="460"/>
      <c r="BH279" s="460"/>
      <c r="BI279" s="460"/>
      <c r="BJ279" s="460"/>
      <c r="BK279" s="460"/>
      <c r="BL279" s="460"/>
      <c r="BM279" s="460"/>
      <c r="BN279" s="460">
        <f>SUM(Y279:BM279)</f>
        <v>100000000</v>
      </c>
    </row>
    <row r="280" spans="1:66" ht="74.25" customHeight="1">
      <c r="A280" s="1377"/>
      <c r="B280" s="1381"/>
      <c r="C280" s="1377"/>
      <c r="D280" s="1379"/>
      <c r="E280" s="1367"/>
      <c r="F280" s="1367"/>
      <c r="G280" s="1367"/>
      <c r="H280" s="365"/>
      <c r="I280" s="365"/>
      <c r="J280" s="1379"/>
      <c r="K280" s="666"/>
      <c r="L280" s="400" t="s">
        <v>1322</v>
      </c>
      <c r="M280" s="665" t="s">
        <v>1323</v>
      </c>
      <c r="N280" s="367"/>
      <c r="O280" s="367">
        <v>1</v>
      </c>
      <c r="P280" s="367"/>
      <c r="Q280" s="367"/>
      <c r="R280" s="1469"/>
      <c r="S280" s="1469"/>
      <c r="T280" s="1469"/>
      <c r="U280" s="1469"/>
      <c r="V280" s="1494"/>
      <c r="W280" s="374" t="s">
        <v>854</v>
      </c>
      <c r="X280" s="450" t="s">
        <v>1519</v>
      </c>
      <c r="Y280" s="460"/>
      <c r="Z280" s="460"/>
      <c r="AA280" s="460"/>
      <c r="AB280" s="460"/>
      <c r="AC280" s="460"/>
      <c r="AD280" s="460"/>
      <c r="AE280" s="460"/>
      <c r="AF280" s="460"/>
      <c r="AG280" s="460"/>
      <c r="AH280" s="460"/>
      <c r="AI280" s="460"/>
      <c r="AJ280" s="460">
        <v>50000000</v>
      </c>
      <c r="AK280" s="460"/>
      <c r="AL280" s="460">
        <v>50000000</v>
      </c>
      <c r="AM280" s="460"/>
      <c r="AN280" s="460"/>
      <c r="AO280" s="460"/>
      <c r="AP280" s="460"/>
      <c r="AQ280" s="460"/>
      <c r="AR280" s="460"/>
      <c r="AS280" s="460"/>
      <c r="AT280" s="460"/>
      <c r="AU280" s="460"/>
      <c r="AV280" s="460"/>
      <c r="AW280" s="460"/>
      <c r="AX280" s="460"/>
      <c r="AY280" s="460"/>
      <c r="AZ280" s="460"/>
      <c r="BA280" s="460"/>
      <c r="BB280" s="460"/>
      <c r="BC280" s="460"/>
      <c r="BD280" s="460"/>
      <c r="BE280" s="460"/>
      <c r="BF280" s="460"/>
      <c r="BG280" s="460"/>
      <c r="BH280" s="460"/>
      <c r="BI280" s="460"/>
      <c r="BJ280" s="460"/>
      <c r="BK280" s="460"/>
      <c r="BL280" s="460"/>
      <c r="BM280" s="460"/>
      <c r="BN280" s="460">
        <f>SUM(Y280:BM280)</f>
        <v>100000000</v>
      </c>
    </row>
    <row r="281" spans="1:66" ht="74.25" customHeight="1">
      <c r="A281" s="1377"/>
      <c r="B281" s="1381"/>
      <c r="C281" s="1377"/>
      <c r="D281" s="1379"/>
      <c r="E281" s="1367"/>
      <c r="F281" s="1367"/>
      <c r="G281" s="1367"/>
      <c r="H281" s="365"/>
      <c r="I281" s="365"/>
      <c r="J281" s="1379"/>
      <c r="K281" s="666"/>
      <c r="L281" s="400"/>
      <c r="M281" s="665"/>
      <c r="N281" s="367"/>
      <c r="O281" s="367"/>
      <c r="P281" s="367"/>
      <c r="Q281" s="367"/>
      <c r="R281" s="1469"/>
      <c r="S281" s="1469"/>
      <c r="T281" s="1469"/>
      <c r="U281" s="1469"/>
      <c r="V281" s="1494"/>
      <c r="W281" s="374"/>
      <c r="X281" s="498" t="s">
        <v>1612</v>
      </c>
      <c r="Y281" s="460"/>
      <c r="Z281" s="460"/>
      <c r="AA281" s="460"/>
      <c r="AB281" s="460"/>
      <c r="AC281" s="460"/>
      <c r="AD281" s="460"/>
      <c r="AE281" s="460"/>
      <c r="AF281" s="460"/>
      <c r="AG281" s="460"/>
      <c r="AH281" s="460"/>
      <c r="AI281" s="460"/>
      <c r="AJ281" s="460"/>
      <c r="AK281" s="460"/>
      <c r="AL281" s="460"/>
      <c r="AM281" s="460">
        <v>10338171106</v>
      </c>
      <c r="AN281" s="460"/>
      <c r="AO281" s="460"/>
      <c r="AP281" s="460"/>
      <c r="AQ281" s="460"/>
      <c r="AR281" s="460"/>
      <c r="AS281" s="460"/>
      <c r="AT281" s="460"/>
      <c r="AU281" s="460"/>
      <c r="AV281" s="460"/>
      <c r="AW281" s="460"/>
      <c r="AX281" s="460"/>
      <c r="AY281" s="460"/>
      <c r="AZ281" s="460"/>
      <c r="BA281" s="460"/>
      <c r="BB281" s="460"/>
      <c r="BC281" s="460"/>
      <c r="BD281" s="460"/>
      <c r="BE281" s="460"/>
      <c r="BF281" s="460"/>
      <c r="BG281" s="460"/>
      <c r="BH281" s="460"/>
      <c r="BI281" s="460"/>
      <c r="BJ281" s="460"/>
      <c r="BK281" s="460"/>
      <c r="BL281" s="460"/>
      <c r="BM281" s="460"/>
      <c r="BN281" s="460">
        <f>SUM(Y281:BM281)</f>
        <v>10338171106</v>
      </c>
    </row>
    <row r="282" spans="1:66" ht="56.25" customHeight="1">
      <c r="A282" s="1377"/>
      <c r="B282" s="1381"/>
      <c r="C282" s="1378"/>
      <c r="D282" s="1379"/>
      <c r="E282" s="1367"/>
      <c r="F282" s="1367"/>
      <c r="G282" s="1367"/>
      <c r="H282" s="365"/>
      <c r="I282" s="365"/>
      <c r="J282" s="1379"/>
      <c r="K282" s="666"/>
      <c r="L282" s="400" t="s">
        <v>1324</v>
      </c>
      <c r="M282" s="665" t="s">
        <v>1325</v>
      </c>
      <c r="N282" s="367">
        <v>1</v>
      </c>
      <c r="O282" s="367">
        <v>1</v>
      </c>
      <c r="P282" s="367">
        <v>1</v>
      </c>
      <c r="Q282" s="367">
        <v>1</v>
      </c>
      <c r="R282" s="1469"/>
      <c r="S282" s="1469"/>
      <c r="T282" s="1469"/>
      <c r="U282" s="1469"/>
      <c r="V282" s="1494"/>
      <c r="W282" s="374" t="s">
        <v>854</v>
      </c>
      <c r="X282" s="444" t="s">
        <v>1520</v>
      </c>
      <c r="Y282" s="460"/>
      <c r="Z282" s="460"/>
      <c r="AA282" s="460"/>
      <c r="AB282" s="460"/>
      <c r="AC282" s="460"/>
      <c r="AD282" s="460"/>
      <c r="AE282" s="460"/>
      <c r="AF282" s="460"/>
      <c r="AG282" s="460"/>
      <c r="AH282" s="460"/>
      <c r="AI282" s="460"/>
      <c r="AJ282" s="460">
        <v>100000000</v>
      </c>
      <c r="AK282" s="460"/>
      <c r="AL282" s="460">
        <v>100000000</v>
      </c>
      <c r="AM282" s="460"/>
      <c r="AN282" s="460"/>
      <c r="AO282" s="460"/>
      <c r="AP282" s="460"/>
      <c r="AQ282" s="460"/>
      <c r="AR282" s="460"/>
      <c r="AS282" s="460"/>
      <c r="AT282" s="460"/>
      <c r="AU282" s="460"/>
      <c r="AV282" s="460"/>
      <c r="AW282" s="460"/>
      <c r="AX282" s="460"/>
      <c r="AY282" s="460"/>
      <c r="AZ282" s="460"/>
      <c r="BA282" s="460"/>
      <c r="BB282" s="460">
        <v>30000000</v>
      </c>
      <c r="BC282" s="460"/>
      <c r="BD282" s="460"/>
      <c r="BE282" s="460"/>
      <c r="BF282" s="460"/>
      <c r="BG282" s="460"/>
      <c r="BH282" s="460"/>
      <c r="BI282" s="460"/>
      <c r="BJ282" s="460"/>
      <c r="BK282" s="460"/>
      <c r="BL282" s="460"/>
      <c r="BM282" s="460"/>
      <c r="BN282" s="460">
        <f>SUM(Y282:BM282)</f>
        <v>230000000</v>
      </c>
    </row>
    <row r="283" spans="1:68" ht="36" customHeight="1">
      <c r="A283" s="1377"/>
      <c r="B283" s="1381"/>
      <c r="C283" s="652"/>
      <c r="D283" s="1495" t="s">
        <v>1484</v>
      </c>
      <c r="E283" s="1496"/>
      <c r="F283" s="1496"/>
      <c r="G283" s="1496"/>
      <c r="H283" s="1496"/>
      <c r="I283" s="1496"/>
      <c r="J283" s="1496"/>
      <c r="K283" s="1496"/>
      <c r="L283" s="1496"/>
      <c r="M283" s="1496"/>
      <c r="N283" s="1496"/>
      <c r="O283" s="1496"/>
      <c r="P283" s="1496"/>
      <c r="Q283" s="1496"/>
      <c r="R283" s="1496"/>
      <c r="S283" s="1496"/>
      <c r="T283" s="1496"/>
      <c r="U283" s="1496"/>
      <c r="V283" s="1496"/>
      <c r="W283" s="1496"/>
      <c r="X283" s="1497"/>
      <c r="Y283" s="462">
        <f>SUM(Y254:Y282)</f>
        <v>0</v>
      </c>
      <c r="Z283" s="462">
        <f aca="true" t="shared" si="30" ref="Z283:BM283">SUM(Z254:Z282)</f>
        <v>0</v>
      </c>
      <c r="AA283" s="462">
        <f t="shared" si="30"/>
        <v>0</v>
      </c>
      <c r="AB283" s="462">
        <f t="shared" si="30"/>
        <v>0</v>
      </c>
      <c r="AC283" s="462">
        <f t="shared" si="30"/>
        <v>0</v>
      </c>
      <c r="AD283" s="462">
        <f t="shared" si="30"/>
        <v>0</v>
      </c>
      <c r="AE283" s="462">
        <f t="shared" si="30"/>
        <v>0</v>
      </c>
      <c r="AF283" s="462">
        <f t="shared" si="30"/>
        <v>0</v>
      </c>
      <c r="AG283" s="462">
        <f t="shared" si="30"/>
        <v>0</v>
      </c>
      <c r="AH283" s="462">
        <f t="shared" si="30"/>
        <v>0</v>
      </c>
      <c r="AI283" s="462">
        <f t="shared" si="30"/>
        <v>0</v>
      </c>
      <c r="AJ283" s="462">
        <f t="shared" si="30"/>
        <v>835263741</v>
      </c>
      <c r="AK283" s="462">
        <f t="shared" si="30"/>
        <v>0</v>
      </c>
      <c r="AL283" s="462">
        <f t="shared" si="30"/>
        <v>572854781</v>
      </c>
      <c r="AM283" s="462">
        <f t="shared" si="30"/>
        <v>10338171106</v>
      </c>
      <c r="AN283" s="462">
        <f t="shared" si="30"/>
        <v>0</v>
      </c>
      <c r="AO283" s="462">
        <f t="shared" si="30"/>
        <v>0</v>
      </c>
      <c r="AP283" s="462">
        <f t="shared" si="30"/>
        <v>0</v>
      </c>
      <c r="AQ283" s="462">
        <f t="shared" si="30"/>
        <v>0</v>
      </c>
      <c r="AR283" s="462">
        <f t="shared" si="30"/>
        <v>0</v>
      </c>
      <c r="AS283" s="462">
        <f t="shared" si="30"/>
        <v>0</v>
      </c>
      <c r="AT283" s="462">
        <f t="shared" si="30"/>
        <v>0</v>
      </c>
      <c r="AU283" s="462">
        <f t="shared" si="30"/>
        <v>0</v>
      </c>
      <c r="AV283" s="462">
        <f t="shared" si="30"/>
        <v>0</v>
      </c>
      <c r="AW283" s="462">
        <f t="shared" si="30"/>
        <v>0</v>
      </c>
      <c r="AX283" s="462">
        <f t="shared" si="30"/>
        <v>0</v>
      </c>
      <c r="AY283" s="462">
        <f t="shared" si="30"/>
        <v>0</v>
      </c>
      <c r="AZ283" s="462">
        <f t="shared" si="30"/>
        <v>0</v>
      </c>
      <c r="BA283" s="462">
        <f t="shared" si="30"/>
        <v>0</v>
      </c>
      <c r="BB283" s="462">
        <f t="shared" si="30"/>
        <v>30000000</v>
      </c>
      <c r="BC283" s="462">
        <f t="shared" si="30"/>
        <v>0</v>
      </c>
      <c r="BD283" s="462">
        <f t="shared" si="30"/>
        <v>0</v>
      </c>
      <c r="BE283" s="462">
        <f t="shared" si="30"/>
        <v>0</v>
      </c>
      <c r="BF283" s="462">
        <f t="shared" si="30"/>
        <v>0</v>
      </c>
      <c r="BG283" s="462">
        <f t="shared" si="30"/>
        <v>0</v>
      </c>
      <c r="BH283" s="462">
        <f t="shared" si="30"/>
        <v>0</v>
      </c>
      <c r="BI283" s="462">
        <f t="shared" si="30"/>
        <v>0</v>
      </c>
      <c r="BJ283" s="462">
        <f t="shared" si="30"/>
        <v>0</v>
      </c>
      <c r="BK283" s="462">
        <f t="shared" si="30"/>
        <v>0</v>
      </c>
      <c r="BL283" s="462">
        <f t="shared" si="30"/>
        <v>0</v>
      </c>
      <c r="BM283" s="462">
        <f t="shared" si="30"/>
        <v>0</v>
      </c>
      <c r="BN283" s="462">
        <f>SUM(BN254:BN282)</f>
        <v>11776289628</v>
      </c>
      <c r="BP283" s="412">
        <v>572854781</v>
      </c>
    </row>
    <row r="284" spans="1:66" ht="89.25" customHeight="1">
      <c r="A284" s="1377"/>
      <c r="B284" s="1381"/>
      <c r="C284" s="1376">
        <v>3</v>
      </c>
      <c r="D284" s="1379" t="s">
        <v>1326</v>
      </c>
      <c r="E284" s="1367" t="s">
        <v>1327</v>
      </c>
      <c r="F284" s="1367" t="s">
        <v>1328</v>
      </c>
      <c r="G284" s="1367" t="s">
        <v>1329</v>
      </c>
      <c r="H284" s="365"/>
      <c r="I284" s="365"/>
      <c r="J284" s="1379"/>
      <c r="K284" s="666"/>
      <c r="L284" s="400" t="s">
        <v>1330</v>
      </c>
      <c r="M284" s="665" t="s">
        <v>1331</v>
      </c>
      <c r="N284" s="367">
        <v>1</v>
      </c>
      <c r="O284" s="367">
        <v>1</v>
      </c>
      <c r="P284" s="367">
        <v>1</v>
      </c>
      <c r="Q284" s="367">
        <v>1</v>
      </c>
      <c r="R284" s="1469">
        <v>150000</v>
      </c>
      <c r="S284" s="1469">
        <v>200000</v>
      </c>
      <c r="T284" s="1469">
        <v>300000</v>
      </c>
      <c r="U284" s="1469">
        <v>300000</v>
      </c>
      <c r="V284" s="1494">
        <v>950000</v>
      </c>
      <c r="W284" s="374" t="s">
        <v>854</v>
      </c>
      <c r="X284" s="447" t="s">
        <v>1518</v>
      </c>
      <c r="Y284" s="460"/>
      <c r="Z284" s="460"/>
      <c r="AA284" s="460"/>
      <c r="AB284" s="460"/>
      <c r="AC284" s="460"/>
      <c r="AD284" s="460"/>
      <c r="AE284" s="460"/>
      <c r="AF284" s="460"/>
      <c r="AG284" s="460"/>
      <c r="AH284" s="460"/>
      <c r="AI284" s="460"/>
      <c r="AJ284" s="460"/>
      <c r="AK284" s="460"/>
      <c r="AL284" s="460">
        <v>25000000</v>
      </c>
      <c r="AM284" s="460"/>
      <c r="AN284" s="460"/>
      <c r="AO284" s="460"/>
      <c r="AP284" s="460"/>
      <c r="AQ284" s="460"/>
      <c r="AR284" s="460"/>
      <c r="AS284" s="460"/>
      <c r="AT284" s="460"/>
      <c r="AU284" s="460"/>
      <c r="AV284" s="460"/>
      <c r="AW284" s="460"/>
      <c r="AX284" s="460"/>
      <c r="AY284" s="460"/>
      <c r="AZ284" s="460"/>
      <c r="BA284" s="460"/>
      <c r="BB284" s="460"/>
      <c r="BC284" s="460"/>
      <c r="BD284" s="460"/>
      <c r="BE284" s="460"/>
      <c r="BF284" s="460"/>
      <c r="BG284" s="460"/>
      <c r="BH284" s="460"/>
      <c r="BI284" s="460"/>
      <c r="BJ284" s="460"/>
      <c r="BK284" s="460"/>
      <c r="BL284" s="460"/>
      <c r="BM284" s="460"/>
      <c r="BN284" s="460">
        <f>SUM(Y284:BM284)</f>
        <v>25000000</v>
      </c>
    </row>
    <row r="285" spans="1:66" ht="76.5" customHeight="1">
      <c r="A285" s="1377"/>
      <c r="B285" s="1381"/>
      <c r="C285" s="1377"/>
      <c r="D285" s="1379"/>
      <c r="E285" s="1367"/>
      <c r="F285" s="1367"/>
      <c r="G285" s="1367"/>
      <c r="H285" s="365"/>
      <c r="I285" s="365"/>
      <c r="J285" s="1379"/>
      <c r="K285" s="666"/>
      <c r="L285" s="400" t="s">
        <v>1332</v>
      </c>
      <c r="M285" s="665" t="s">
        <v>1333</v>
      </c>
      <c r="N285" s="367"/>
      <c r="O285" s="367">
        <v>1</v>
      </c>
      <c r="P285" s="367"/>
      <c r="Q285" s="367"/>
      <c r="R285" s="1469"/>
      <c r="S285" s="1469"/>
      <c r="T285" s="1469"/>
      <c r="U285" s="1469"/>
      <c r="V285" s="1494"/>
      <c r="W285" s="374" t="s">
        <v>854</v>
      </c>
      <c r="X285" s="1501" t="s">
        <v>1517</v>
      </c>
      <c r="Y285" s="1498"/>
      <c r="Z285" s="1498"/>
      <c r="AA285" s="1498"/>
      <c r="AB285" s="1498"/>
      <c r="AC285" s="1498"/>
      <c r="AD285" s="1498"/>
      <c r="AE285" s="1498"/>
      <c r="AF285" s="1498"/>
      <c r="AG285" s="1498"/>
      <c r="AH285" s="1498"/>
      <c r="AI285" s="1498"/>
      <c r="AJ285" s="1498">
        <v>15000000</v>
      </c>
      <c r="AK285" s="1445"/>
      <c r="AL285" s="1498">
        <v>20000000</v>
      </c>
      <c r="AM285" s="1498"/>
      <c r="AN285" s="1498"/>
      <c r="AO285" s="1445"/>
      <c r="AP285" s="1498"/>
      <c r="AQ285" s="1498"/>
      <c r="AR285" s="1498"/>
      <c r="AS285" s="1498"/>
      <c r="AT285" s="1498"/>
      <c r="AU285" s="1498"/>
      <c r="AV285" s="1498"/>
      <c r="AW285" s="1498"/>
      <c r="AX285" s="1498"/>
      <c r="AY285" s="1498"/>
      <c r="AZ285" s="1498"/>
      <c r="BA285" s="1445"/>
      <c r="BB285" s="1498"/>
      <c r="BC285" s="1498"/>
      <c r="BD285" s="1498"/>
      <c r="BE285" s="1498"/>
      <c r="BF285" s="1498"/>
      <c r="BG285" s="1498"/>
      <c r="BH285" s="1498"/>
      <c r="BI285" s="1498"/>
      <c r="BJ285" s="1498"/>
      <c r="BK285" s="1498"/>
      <c r="BL285" s="1498"/>
      <c r="BM285" s="1498"/>
      <c r="BN285" s="1498">
        <f>SUM(Y285:BM288)</f>
        <v>35000000</v>
      </c>
    </row>
    <row r="286" spans="1:66" ht="56.25" customHeight="1">
      <c r="A286" s="1377"/>
      <c r="B286" s="1381"/>
      <c r="C286" s="1377"/>
      <c r="D286" s="1379"/>
      <c r="E286" s="1367"/>
      <c r="F286" s="1367"/>
      <c r="G286" s="1367"/>
      <c r="H286" s="365"/>
      <c r="I286" s="365"/>
      <c r="J286" s="1379"/>
      <c r="K286" s="666"/>
      <c r="L286" s="400" t="s">
        <v>1334</v>
      </c>
      <c r="M286" s="665" t="s">
        <v>1335</v>
      </c>
      <c r="N286" s="367">
        <v>1</v>
      </c>
      <c r="O286" s="367">
        <v>1</v>
      </c>
      <c r="P286" s="367">
        <v>1</v>
      </c>
      <c r="Q286" s="367">
        <v>1</v>
      </c>
      <c r="R286" s="1469"/>
      <c r="S286" s="1469"/>
      <c r="T286" s="1469"/>
      <c r="U286" s="1469"/>
      <c r="V286" s="1494"/>
      <c r="W286" s="374" t="s">
        <v>854</v>
      </c>
      <c r="X286" s="1502"/>
      <c r="Y286" s="1499"/>
      <c r="Z286" s="1499"/>
      <c r="AA286" s="1499"/>
      <c r="AB286" s="1499"/>
      <c r="AC286" s="1499"/>
      <c r="AD286" s="1499"/>
      <c r="AE286" s="1499"/>
      <c r="AF286" s="1499"/>
      <c r="AG286" s="1499"/>
      <c r="AH286" s="1499"/>
      <c r="AI286" s="1499"/>
      <c r="AJ286" s="1499"/>
      <c r="AK286" s="1446"/>
      <c r="AL286" s="1499"/>
      <c r="AM286" s="1499"/>
      <c r="AN286" s="1499"/>
      <c r="AO286" s="1446"/>
      <c r="AP286" s="1499"/>
      <c r="AQ286" s="1499"/>
      <c r="AR286" s="1499"/>
      <c r="AS286" s="1499"/>
      <c r="AT286" s="1499"/>
      <c r="AU286" s="1499"/>
      <c r="AV286" s="1499"/>
      <c r="AW286" s="1499"/>
      <c r="AX286" s="1499"/>
      <c r="AY286" s="1499"/>
      <c r="AZ286" s="1499"/>
      <c r="BA286" s="1446"/>
      <c r="BB286" s="1499"/>
      <c r="BC286" s="1499"/>
      <c r="BD286" s="1499"/>
      <c r="BE286" s="1499"/>
      <c r="BF286" s="1499"/>
      <c r="BG286" s="1499"/>
      <c r="BH286" s="1499"/>
      <c r="BI286" s="1499"/>
      <c r="BJ286" s="1499"/>
      <c r="BK286" s="1499"/>
      <c r="BL286" s="1499"/>
      <c r="BM286" s="1499"/>
      <c r="BN286" s="1499"/>
    </row>
    <row r="287" spans="1:66" ht="56.25" customHeight="1">
      <c r="A287" s="1377"/>
      <c r="B287" s="1381"/>
      <c r="C287" s="1377"/>
      <c r="D287" s="1379"/>
      <c r="E287" s="1367"/>
      <c r="F287" s="1367"/>
      <c r="G287" s="1367"/>
      <c r="H287" s="365"/>
      <c r="I287" s="365"/>
      <c r="J287" s="1379"/>
      <c r="K287" s="666"/>
      <c r="L287" s="400" t="s">
        <v>1336</v>
      </c>
      <c r="M287" s="665" t="s">
        <v>1337</v>
      </c>
      <c r="N287" s="367">
        <v>1</v>
      </c>
      <c r="O287" s="367">
        <v>1</v>
      </c>
      <c r="P287" s="367">
        <v>1</v>
      </c>
      <c r="Q287" s="367">
        <v>1</v>
      </c>
      <c r="R287" s="1469"/>
      <c r="S287" s="1469"/>
      <c r="T287" s="1469"/>
      <c r="U287" s="1469"/>
      <c r="V287" s="1494"/>
      <c r="W287" s="374"/>
      <c r="X287" s="1502"/>
      <c r="Y287" s="1499"/>
      <c r="Z287" s="1499"/>
      <c r="AA287" s="1499"/>
      <c r="AB287" s="1499"/>
      <c r="AC287" s="1499"/>
      <c r="AD287" s="1499"/>
      <c r="AE287" s="1499"/>
      <c r="AF287" s="1499"/>
      <c r="AG287" s="1499"/>
      <c r="AH287" s="1499"/>
      <c r="AI287" s="1499"/>
      <c r="AJ287" s="1499"/>
      <c r="AK287" s="1446"/>
      <c r="AL287" s="1499"/>
      <c r="AM287" s="1499"/>
      <c r="AN287" s="1499"/>
      <c r="AO287" s="1446"/>
      <c r="AP287" s="1499"/>
      <c r="AQ287" s="1499"/>
      <c r="AR287" s="1499"/>
      <c r="AS287" s="1499"/>
      <c r="AT287" s="1499"/>
      <c r="AU287" s="1499"/>
      <c r="AV287" s="1499"/>
      <c r="AW287" s="1499"/>
      <c r="AX287" s="1499"/>
      <c r="AY287" s="1499"/>
      <c r="AZ287" s="1499"/>
      <c r="BA287" s="1446"/>
      <c r="BB287" s="1499"/>
      <c r="BC287" s="1499"/>
      <c r="BD287" s="1499"/>
      <c r="BE287" s="1499"/>
      <c r="BF287" s="1499"/>
      <c r="BG287" s="1499"/>
      <c r="BH287" s="1499"/>
      <c r="BI287" s="1499"/>
      <c r="BJ287" s="1499"/>
      <c r="BK287" s="1499"/>
      <c r="BL287" s="1499"/>
      <c r="BM287" s="1499"/>
      <c r="BN287" s="1499"/>
    </row>
    <row r="288" spans="1:66" ht="56.25" customHeight="1">
      <c r="A288" s="1377"/>
      <c r="B288" s="1381"/>
      <c r="C288" s="1378"/>
      <c r="D288" s="1379"/>
      <c r="E288" s="1367"/>
      <c r="F288" s="1367"/>
      <c r="G288" s="1367"/>
      <c r="H288" s="365"/>
      <c r="I288" s="365"/>
      <c r="J288" s="1379"/>
      <c r="K288" s="666"/>
      <c r="L288" s="400" t="s">
        <v>1338</v>
      </c>
      <c r="M288" s="377" t="s">
        <v>1339</v>
      </c>
      <c r="N288" s="367"/>
      <c r="O288" s="367">
        <v>1</v>
      </c>
      <c r="P288" s="367">
        <v>1</v>
      </c>
      <c r="Q288" s="367">
        <v>1</v>
      </c>
      <c r="R288" s="1469"/>
      <c r="S288" s="1469"/>
      <c r="T288" s="1469"/>
      <c r="U288" s="1469"/>
      <c r="V288" s="1494"/>
      <c r="W288" s="374" t="s">
        <v>854</v>
      </c>
      <c r="X288" s="1503"/>
      <c r="Y288" s="1500"/>
      <c r="Z288" s="1500"/>
      <c r="AA288" s="1500"/>
      <c r="AB288" s="1500"/>
      <c r="AC288" s="1500"/>
      <c r="AD288" s="1500"/>
      <c r="AE288" s="1500"/>
      <c r="AF288" s="1500"/>
      <c r="AG288" s="1500"/>
      <c r="AH288" s="1500"/>
      <c r="AI288" s="1500"/>
      <c r="AJ288" s="1500"/>
      <c r="AK288" s="1363"/>
      <c r="AL288" s="1500"/>
      <c r="AM288" s="1500"/>
      <c r="AN288" s="1500"/>
      <c r="AO288" s="1363"/>
      <c r="AP288" s="1500"/>
      <c r="AQ288" s="1500"/>
      <c r="AR288" s="1500"/>
      <c r="AS288" s="1500"/>
      <c r="AT288" s="1500"/>
      <c r="AU288" s="1500"/>
      <c r="AV288" s="1500"/>
      <c r="AW288" s="1500"/>
      <c r="AX288" s="1500"/>
      <c r="AY288" s="1500"/>
      <c r="AZ288" s="1500"/>
      <c r="BA288" s="1363"/>
      <c r="BB288" s="1500"/>
      <c r="BC288" s="1500"/>
      <c r="BD288" s="1500"/>
      <c r="BE288" s="1500"/>
      <c r="BF288" s="1500"/>
      <c r="BG288" s="1500"/>
      <c r="BH288" s="1500"/>
      <c r="BI288" s="1500"/>
      <c r="BJ288" s="1500"/>
      <c r="BK288" s="1500"/>
      <c r="BL288" s="1500"/>
      <c r="BM288" s="1500"/>
      <c r="BN288" s="1500"/>
    </row>
    <row r="289" spans="1:68" ht="36.75" customHeight="1">
      <c r="A289" s="1377"/>
      <c r="B289" s="1381"/>
      <c r="C289" s="652"/>
      <c r="D289" s="1495" t="s">
        <v>1485</v>
      </c>
      <c r="E289" s="1496"/>
      <c r="F289" s="1496"/>
      <c r="G289" s="1496"/>
      <c r="H289" s="1496"/>
      <c r="I289" s="1496"/>
      <c r="J289" s="1496"/>
      <c r="K289" s="1496"/>
      <c r="L289" s="1496"/>
      <c r="M289" s="1496"/>
      <c r="N289" s="1496"/>
      <c r="O289" s="1496"/>
      <c r="P289" s="1496"/>
      <c r="Q289" s="1496"/>
      <c r="R289" s="1496"/>
      <c r="S289" s="1496"/>
      <c r="T289" s="1496"/>
      <c r="U289" s="1496"/>
      <c r="V289" s="1496"/>
      <c r="W289" s="1496"/>
      <c r="X289" s="1497"/>
      <c r="Y289" s="462">
        <f>SUM(Y284:Y288)</f>
        <v>0</v>
      </c>
      <c r="Z289" s="462">
        <f aca="true" t="shared" si="31" ref="Z289:BN289">SUM(Z284:Z288)</f>
        <v>0</v>
      </c>
      <c r="AA289" s="462">
        <f t="shared" si="31"/>
        <v>0</v>
      </c>
      <c r="AB289" s="462">
        <f t="shared" si="31"/>
        <v>0</v>
      </c>
      <c r="AC289" s="462">
        <f t="shared" si="31"/>
        <v>0</v>
      </c>
      <c r="AD289" s="462">
        <f t="shared" si="31"/>
        <v>0</v>
      </c>
      <c r="AE289" s="462">
        <f t="shared" si="31"/>
        <v>0</v>
      </c>
      <c r="AF289" s="462">
        <f t="shared" si="31"/>
        <v>0</v>
      </c>
      <c r="AG289" s="462">
        <f t="shared" si="31"/>
        <v>0</v>
      </c>
      <c r="AH289" s="462">
        <f t="shared" si="31"/>
        <v>0</v>
      </c>
      <c r="AI289" s="462">
        <f t="shared" si="31"/>
        <v>0</v>
      </c>
      <c r="AJ289" s="462">
        <f t="shared" si="31"/>
        <v>15000000</v>
      </c>
      <c r="AK289" s="462">
        <f t="shared" si="31"/>
        <v>0</v>
      </c>
      <c r="AL289" s="462">
        <f t="shared" si="31"/>
        <v>45000000</v>
      </c>
      <c r="AM289" s="462">
        <f t="shared" si="31"/>
        <v>0</v>
      </c>
      <c r="AN289" s="462">
        <f t="shared" si="31"/>
        <v>0</v>
      </c>
      <c r="AO289" s="462">
        <f t="shared" si="31"/>
        <v>0</v>
      </c>
      <c r="AP289" s="462">
        <f t="shared" si="31"/>
        <v>0</v>
      </c>
      <c r="AQ289" s="462">
        <f t="shared" si="31"/>
        <v>0</v>
      </c>
      <c r="AR289" s="462">
        <f t="shared" si="31"/>
        <v>0</v>
      </c>
      <c r="AS289" s="462">
        <f t="shared" si="31"/>
        <v>0</v>
      </c>
      <c r="AT289" s="462">
        <f t="shared" si="31"/>
        <v>0</v>
      </c>
      <c r="AU289" s="462">
        <f t="shared" si="31"/>
        <v>0</v>
      </c>
      <c r="AV289" s="462">
        <f t="shared" si="31"/>
        <v>0</v>
      </c>
      <c r="AW289" s="462">
        <f t="shared" si="31"/>
        <v>0</v>
      </c>
      <c r="AX289" s="462">
        <f t="shared" si="31"/>
        <v>0</v>
      </c>
      <c r="AY289" s="462">
        <f t="shared" si="31"/>
        <v>0</v>
      </c>
      <c r="AZ289" s="462">
        <f t="shared" si="31"/>
        <v>0</v>
      </c>
      <c r="BA289" s="462">
        <f t="shared" si="31"/>
        <v>0</v>
      </c>
      <c r="BB289" s="462">
        <f t="shared" si="31"/>
        <v>0</v>
      </c>
      <c r="BC289" s="462">
        <f t="shared" si="31"/>
        <v>0</v>
      </c>
      <c r="BD289" s="462">
        <f t="shared" si="31"/>
        <v>0</v>
      </c>
      <c r="BE289" s="462">
        <f t="shared" si="31"/>
        <v>0</v>
      </c>
      <c r="BF289" s="462">
        <f t="shared" si="31"/>
        <v>0</v>
      </c>
      <c r="BG289" s="462">
        <f t="shared" si="31"/>
        <v>0</v>
      </c>
      <c r="BH289" s="462">
        <f t="shared" si="31"/>
        <v>0</v>
      </c>
      <c r="BI289" s="462">
        <f t="shared" si="31"/>
        <v>0</v>
      </c>
      <c r="BJ289" s="462">
        <f t="shared" si="31"/>
        <v>0</v>
      </c>
      <c r="BK289" s="462">
        <f t="shared" si="31"/>
        <v>0</v>
      </c>
      <c r="BL289" s="462">
        <f t="shared" si="31"/>
        <v>0</v>
      </c>
      <c r="BM289" s="462">
        <f t="shared" si="31"/>
        <v>0</v>
      </c>
      <c r="BN289" s="462">
        <f t="shared" si="31"/>
        <v>60000000</v>
      </c>
      <c r="BP289" s="412">
        <v>45000000</v>
      </c>
    </row>
    <row r="290" spans="1:66" ht="73.5" customHeight="1">
      <c r="A290" s="1377"/>
      <c r="B290" s="1381"/>
      <c r="C290" s="1376">
        <v>3</v>
      </c>
      <c r="D290" s="1379" t="s">
        <v>1340</v>
      </c>
      <c r="E290" s="1379" t="s">
        <v>1341</v>
      </c>
      <c r="F290" s="1379" t="s">
        <v>1342</v>
      </c>
      <c r="G290" s="1379" t="s">
        <v>1343</v>
      </c>
      <c r="H290" s="365"/>
      <c r="I290" s="365"/>
      <c r="J290" s="1379"/>
      <c r="K290" s="666"/>
      <c r="L290" s="400" t="s">
        <v>1344</v>
      </c>
      <c r="M290" s="665" t="s">
        <v>1345</v>
      </c>
      <c r="N290" s="367">
        <v>2</v>
      </c>
      <c r="O290" s="367">
        <v>2</v>
      </c>
      <c r="P290" s="367">
        <v>2</v>
      </c>
      <c r="Q290" s="367">
        <v>2</v>
      </c>
      <c r="R290" s="1469">
        <v>250000</v>
      </c>
      <c r="S290" s="1469">
        <v>250000</v>
      </c>
      <c r="T290" s="1469">
        <v>300000</v>
      </c>
      <c r="U290" s="1469">
        <v>194343</v>
      </c>
      <c r="V290" s="1494">
        <v>994343</v>
      </c>
      <c r="W290" s="393" t="s">
        <v>854</v>
      </c>
      <c r="X290" s="1449" t="s">
        <v>1567</v>
      </c>
      <c r="Y290" s="1436"/>
      <c r="Z290" s="1436"/>
      <c r="AA290" s="1436"/>
      <c r="AB290" s="1436"/>
      <c r="AC290" s="1436"/>
      <c r="AD290" s="1436"/>
      <c r="AE290" s="1436"/>
      <c r="AF290" s="1436"/>
      <c r="AG290" s="1436"/>
      <c r="AH290" s="1436"/>
      <c r="AI290" s="1436"/>
      <c r="AJ290" s="1436">
        <v>30000000</v>
      </c>
      <c r="AK290" s="1436"/>
      <c r="AL290" s="1436">
        <v>30000000</v>
      </c>
      <c r="AM290" s="1436"/>
      <c r="AN290" s="1436"/>
      <c r="AO290" s="1436"/>
      <c r="AP290" s="1436"/>
      <c r="AQ290" s="1436"/>
      <c r="AR290" s="1436"/>
      <c r="AS290" s="1436"/>
      <c r="AT290" s="1436"/>
      <c r="AU290" s="1436"/>
      <c r="AV290" s="1436"/>
      <c r="AW290" s="1436"/>
      <c r="AX290" s="1436"/>
      <c r="AY290" s="1436"/>
      <c r="AZ290" s="1436"/>
      <c r="BA290" s="1436"/>
      <c r="BB290" s="1436"/>
      <c r="BC290" s="1436"/>
      <c r="BD290" s="1436"/>
      <c r="BE290" s="1436"/>
      <c r="BF290" s="1436"/>
      <c r="BG290" s="1436"/>
      <c r="BH290" s="1436"/>
      <c r="BI290" s="1436"/>
      <c r="BJ290" s="1436"/>
      <c r="BK290" s="1436"/>
      <c r="BL290" s="1436"/>
      <c r="BM290" s="1436"/>
      <c r="BN290" s="1436">
        <f>SUM(Y290:BM293)</f>
        <v>60000000</v>
      </c>
    </row>
    <row r="291" spans="1:66" ht="93" customHeight="1">
      <c r="A291" s="1377"/>
      <c r="B291" s="1381"/>
      <c r="C291" s="1377"/>
      <c r="D291" s="1379"/>
      <c r="E291" s="1379"/>
      <c r="F291" s="1379"/>
      <c r="G291" s="1379"/>
      <c r="H291" s="365"/>
      <c r="I291" s="365"/>
      <c r="J291" s="1379"/>
      <c r="K291" s="666"/>
      <c r="L291" s="400" t="s">
        <v>1346</v>
      </c>
      <c r="M291" s="665" t="s">
        <v>1347</v>
      </c>
      <c r="N291" s="367">
        <v>2</v>
      </c>
      <c r="O291" s="367">
        <v>2</v>
      </c>
      <c r="P291" s="367">
        <v>2</v>
      </c>
      <c r="Q291" s="367">
        <v>2</v>
      </c>
      <c r="R291" s="1469"/>
      <c r="S291" s="1469"/>
      <c r="T291" s="1469"/>
      <c r="U291" s="1469"/>
      <c r="V291" s="1494"/>
      <c r="W291" s="393" t="s">
        <v>854</v>
      </c>
      <c r="X291" s="1450"/>
      <c r="Y291" s="1437"/>
      <c r="Z291" s="1437"/>
      <c r="AA291" s="1437"/>
      <c r="AB291" s="1437"/>
      <c r="AC291" s="1437"/>
      <c r="AD291" s="1437"/>
      <c r="AE291" s="1437"/>
      <c r="AF291" s="1437"/>
      <c r="AG291" s="1437"/>
      <c r="AH291" s="1437"/>
      <c r="AI291" s="1437"/>
      <c r="AJ291" s="1437"/>
      <c r="AK291" s="1437"/>
      <c r="AL291" s="1437"/>
      <c r="AM291" s="1437"/>
      <c r="AN291" s="1437"/>
      <c r="AO291" s="1437"/>
      <c r="AP291" s="1437"/>
      <c r="AQ291" s="1437"/>
      <c r="AR291" s="1437"/>
      <c r="AS291" s="1437"/>
      <c r="AT291" s="1437"/>
      <c r="AU291" s="1437"/>
      <c r="AV291" s="1437"/>
      <c r="AW291" s="1437"/>
      <c r="AX291" s="1437"/>
      <c r="AY291" s="1437"/>
      <c r="AZ291" s="1437"/>
      <c r="BA291" s="1437"/>
      <c r="BB291" s="1437"/>
      <c r="BC291" s="1437"/>
      <c r="BD291" s="1437"/>
      <c r="BE291" s="1437"/>
      <c r="BF291" s="1437"/>
      <c r="BG291" s="1437"/>
      <c r="BH291" s="1437"/>
      <c r="BI291" s="1437"/>
      <c r="BJ291" s="1437"/>
      <c r="BK291" s="1437"/>
      <c r="BL291" s="1437"/>
      <c r="BM291" s="1437"/>
      <c r="BN291" s="1437"/>
    </row>
    <row r="292" spans="1:66" ht="56.25" customHeight="1">
      <c r="A292" s="1377"/>
      <c r="B292" s="1381"/>
      <c r="C292" s="1377"/>
      <c r="D292" s="1379"/>
      <c r="E292" s="1379"/>
      <c r="F292" s="1379"/>
      <c r="G292" s="1379"/>
      <c r="H292" s="365"/>
      <c r="I292" s="365"/>
      <c r="J292" s="1379"/>
      <c r="K292" s="666"/>
      <c r="L292" s="400" t="s">
        <v>1348</v>
      </c>
      <c r="M292" s="665" t="s">
        <v>1349</v>
      </c>
      <c r="N292" s="367"/>
      <c r="O292" s="367">
        <v>1</v>
      </c>
      <c r="P292" s="367"/>
      <c r="Q292" s="367"/>
      <c r="R292" s="1469"/>
      <c r="S292" s="1469"/>
      <c r="T292" s="1469"/>
      <c r="U292" s="1469"/>
      <c r="V292" s="1494"/>
      <c r="W292" s="393" t="s">
        <v>854</v>
      </c>
      <c r="X292" s="1450"/>
      <c r="Y292" s="1437"/>
      <c r="Z292" s="1437"/>
      <c r="AA292" s="1437"/>
      <c r="AB292" s="1437"/>
      <c r="AC292" s="1437"/>
      <c r="AD292" s="1437"/>
      <c r="AE292" s="1437"/>
      <c r="AF292" s="1437"/>
      <c r="AG292" s="1437"/>
      <c r="AH292" s="1437"/>
      <c r="AI292" s="1437"/>
      <c r="AJ292" s="1437"/>
      <c r="AK292" s="1437"/>
      <c r="AL292" s="1437"/>
      <c r="AM292" s="1437"/>
      <c r="AN292" s="1437"/>
      <c r="AO292" s="1437"/>
      <c r="AP292" s="1437"/>
      <c r="AQ292" s="1437"/>
      <c r="AR292" s="1437"/>
      <c r="AS292" s="1437"/>
      <c r="AT292" s="1437"/>
      <c r="AU292" s="1437"/>
      <c r="AV292" s="1437"/>
      <c r="AW292" s="1437"/>
      <c r="AX292" s="1437"/>
      <c r="AY292" s="1437"/>
      <c r="AZ292" s="1437"/>
      <c r="BA292" s="1437"/>
      <c r="BB292" s="1437"/>
      <c r="BC292" s="1437"/>
      <c r="BD292" s="1437"/>
      <c r="BE292" s="1437"/>
      <c r="BF292" s="1437"/>
      <c r="BG292" s="1437"/>
      <c r="BH292" s="1437"/>
      <c r="BI292" s="1437"/>
      <c r="BJ292" s="1437"/>
      <c r="BK292" s="1437"/>
      <c r="BL292" s="1437"/>
      <c r="BM292" s="1437"/>
      <c r="BN292" s="1437"/>
    </row>
    <row r="293" spans="1:66" ht="90.75" customHeight="1">
      <c r="A293" s="1378"/>
      <c r="B293" s="1382"/>
      <c r="C293" s="1378"/>
      <c r="D293" s="1379"/>
      <c r="E293" s="1379"/>
      <c r="F293" s="1379"/>
      <c r="G293" s="1379"/>
      <c r="H293" s="365"/>
      <c r="I293" s="365"/>
      <c r="J293" s="1379"/>
      <c r="K293" s="666"/>
      <c r="L293" s="496" t="s">
        <v>1350</v>
      </c>
      <c r="M293" s="665" t="s">
        <v>1351</v>
      </c>
      <c r="N293" s="367">
        <v>1</v>
      </c>
      <c r="O293" s="367">
        <v>1</v>
      </c>
      <c r="P293" s="367">
        <v>1</v>
      </c>
      <c r="Q293" s="367">
        <v>1</v>
      </c>
      <c r="R293" s="1469"/>
      <c r="S293" s="1469"/>
      <c r="T293" s="1469"/>
      <c r="U293" s="1469"/>
      <c r="V293" s="1494"/>
      <c r="W293" s="393" t="s">
        <v>854</v>
      </c>
      <c r="X293" s="1461"/>
      <c r="Y293" s="1454"/>
      <c r="Z293" s="1454"/>
      <c r="AA293" s="1454"/>
      <c r="AB293" s="1454"/>
      <c r="AC293" s="1454"/>
      <c r="AD293" s="1454"/>
      <c r="AE293" s="1454"/>
      <c r="AF293" s="1454"/>
      <c r="AG293" s="1454"/>
      <c r="AH293" s="1454"/>
      <c r="AI293" s="1454"/>
      <c r="AJ293" s="1454"/>
      <c r="AK293" s="1454"/>
      <c r="AL293" s="1454"/>
      <c r="AM293" s="1454"/>
      <c r="AN293" s="1454"/>
      <c r="AO293" s="1454"/>
      <c r="AP293" s="1454"/>
      <c r="AQ293" s="1454"/>
      <c r="AR293" s="1454"/>
      <c r="AS293" s="1454"/>
      <c r="AT293" s="1454"/>
      <c r="AU293" s="1454"/>
      <c r="AV293" s="1454"/>
      <c r="AW293" s="1454"/>
      <c r="AX293" s="1454"/>
      <c r="AY293" s="1454"/>
      <c r="AZ293" s="1454"/>
      <c r="BA293" s="1454"/>
      <c r="BB293" s="1454"/>
      <c r="BC293" s="1454"/>
      <c r="BD293" s="1454"/>
      <c r="BE293" s="1454"/>
      <c r="BF293" s="1454"/>
      <c r="BG293" s="1454"/>
      <c r="BH293" s="1454"/>
      <c r="BI293" s="1454"/>
      <c r="BJ293" s="1454"/>
      <c r="BK293" s="1454"/>
      <c r="BL293" s="1454"/>
      <c r="BM293" s="1454"/>
      <c r="BN293" s="1454"/>
    </row>
    <row r="294" spans="1:68" ht="29.25" customHeight="1">
      <c r="A294" s="652"/>
      <c r="B294" s="430"/>
      <c r="C294" s="424"/>
      <c r="D294" s="1488" t="s">
        <v>1486</v>
      </c>
      <c r="E294" s="1489"/>
      <c r="F294" s="1489"/>
      <c r="G294" s="1489"/>
      <c r="H294" s="1489"/>
      <c r="I294" s="1489"/>
      <c r="J294" s="1489"/>
      <c r="K294" s="1489"/>
      <c r="L294" s="1489"/>
      <c r="M294" s="1489"/>
      <c r="N294" s="1489"/>
      <c r="O294" s="1489"/>
      <c r="P294" s="1489"/>
      <c r="Q294" s="1489"/>
      <c r="R294" s="1489"/>
      <c r="S294" s="1489"/>
      <c r="T294" s="1489"/>
      <c r="U294" s="1489"/>
      <c r="V294" s="1489"/>
      <c r="W294" s="1489"/>
      <c r="X294" s="1490"/>
      <c r="Y294" s="462">
        <f>SUM(Y290:Y293)</f>
        <v>0</v>
      </c>
      <c r="Z294" s="462">
        <f aca="true" t="shared" si="32" ref="Z294:BN294">SUM(Z290:Z293)</f>
        <v>0</v>
      </c>
      <c r="AA294" s="462">
        <f t="shared" si="32"/>
        <v>0</v>
      </c>
      <c r="AB294" s="462">
        <f t="shared" si="32"/>
        <v>0</v>
      </c>
      <c r="AC294" s="462">
        <f t="shared" si="32"/>
        <v>0</v>
      </c>
      <c r="AD294" s="462">
        <f t="shared" si="32"/>
        <v>0</v>
      </c>
      <c r="AE294" s="462">
        <f t="shared" si="32"/>
        <v>0</v>
      </c>
      <c r="AF294" s="462">
        <f t="shared" si="32"/>
        <v>0</v>
      </c>
      <c r="AG294" s="462">
        <f t="shared" si="32"/>
        <v>0</v>
      </c>
      <c r="AH294" s="462">
        <f t="shared" si="32"/>
        <v>0</v>
      </c>
      <c r="AI294" s="462">
        <f t="shared" si="32"/>
        <v>0</v>
      </c>
      <c r="AJ294" s="462">
        <f t="shared" si="32"/>
        <v>30000000</v>
      </c>
      <c r="AK294" s="462">
        <f t="shared" si="32"/>
        <v>0</v>
      </c>
      <c r="AL294" s="462">
        <f t="shared" si="32"/>
        <v>30000000</v>
      </c>
      <c r="AM294" s="462">
        <f t="shared" si="32"/>
        <v>0</v>
      </c>
      <c r="AN294" s="462">
        <f t="shared" si="32"/>
        <v>0</v>
      </c>
      <c r="AO294" s="462">
        <f t="shared" si="32"/>
        <v>0</v>
      </c>
      <c r="AP294" s="462">
        <f t="shared" si="32"/>
        <v>0</v>
      </c>
      <c r="AQ294" s="462">
        <f t="shared" si="32"/>
        <v>0</v>
      </c>
      <c r="AR294" s="462">
        <f t="shared" si="32"/>
        <v>0</v>
      </c>
      <c r="AS294" s="462">
        <f t="shared" si="32"/>
        <v>0</v>
      </c>
      <c r="AT294" s="462">
        <f t="shared" si="32"/>
        <v>0</v>
      </c>
      <c r="AU294" s="462">
        <f t="shared" si="32"/>
        <v>0</v>
      </c>
      <c r="AV294" s="462">
        <f t="shared" si="32"/>
        <v>0</v>
      </c>
      <c r="AW294" s="462">
        <f t="shared" si="32"/>
        <v>0</v>
      </c>
      <c r="AX294" s="462">
        <f t="shared" si="32"/>
        <v>0</v>
      </c>
      <c r="AY294" s="462">
        <f t="shared" si="32"/>
        <v>0</v>
      </c>
      <c r="AZ294" s="462">
        <f t="shared" si="32"/>
        <v>0</v>
      </c>
      <c r="BA294" s="462">
        <f t="shared" si="32"/>
        <v>0</v>
      </c>
      <c r="BB294" s="462">
        <f t="shared" si="32"/>
        <v>0</v>
      </c>
      <c r="BC294" s="462">
        <f t="shared" si="32"/>
        <v>0</v>
      </c>
      <c r="BD294" s="462">
        <f t="shared" si="32"/>
        <v>0</v>
      </c>
      <c r="BE294" s="462">
        <f t="shared" si="32"/>
        <v>0</v>
      </c>
      <c r="BF294" s="462">
        <f t="shared" si="32"/>
        <v>0</v>
      </c>
      <c r="BG294" s="462">
        <f t="shared" si="32"/>
        <v>0</v>
      </c>
      <c r="BH294" s="462">
        <f t="shared" si="32"/>
        <v>0</v>
      </c>
      <c r="BI294" s="462">
        <f t="shared" si="32"/>
        <v>0</v>
      </c>
      <c r="BJ294" s="462">
        <f t="shared" si="32"/>
        <v>0</v>
      </c>
      <c r="BK294" s="462">
        <f t="shared" si="32"/>
        <v>0</v>
      </c>
      <c r="BL294" s="462">
        <f t="shared" si="32"/>
        <v>0</v>
      </c>
      <c r="BM294" s="462">
        <f t="shared" si="32"/>
        <v>0</v>
      </c>
      <c r="BN294" s="462">
        <f t="shared" si="32"/>
        <v>60000000</v>
      </c>
      <c r="BP294" s="412">
        <v>30000000</v>
      </c>
    </row>
    <row r="295" spans="1:66" ht="45.75" customHeight="1">
      <c r="A295" s="652"/>
      <c r="B295" s="1491" t="s">
        <v>1487</v>
      </c>
      <c r="C295" s="1492"/>
      <c r="D295" s="1492"/>
      <c r="E295" s="1492"/>
      <c r="F295" s="1492"/>
      <c r="G295" s="1492"/>
      <c r="H295" s="1492"/>
      <c r="I295" s="1492"/>
      <c r="J295" s="1492"/>
      <c r="K295" s="1492"/>
      <c r="L295" s="1492"/>
      <c r="M295" s="1492"/>
      <c r="N295" s="1492"/>
      <c r="O295" s="1492"/>
      <c r="P295" s="1492"/>
      <c r="Q295" s="1492"/>
      <c r="R295" s="1492"/>
      <c r="S295" s="1492"/>
      <c r="T295" s="1492"/>
      <c r="U295" s="1492"/>
      <c r="V295" s="1492"/>
      <c r="W295" s="1492"/>
      <c r="X295" s="1493"/>
      <c r="Y295" s="469">
        <f>+Y253+Y283+Y289+Y294</f>
        <v>0</v>
      </c>
      <c r="Z295" s="469">
        <f aca="true" t="shared" si="33" ref="Z295:BN295">+Z253+Z283+Z289+Z294</f>
        <v>0</v>
      </c>
      <c r="AA295" s="469">
        <f t="shared" si="33"/>
        <v>0</v>
      </c>
      <c r="AB295" s="469">
        <f t="shared" si="33"/>
        <v>0</v>
      </c>
      <c r="AC295" s="469">
        <f t="shared" si="33"/>
        <v>0</v>
      </c>
      <c r="AD295" s="469">
        <f t="shared" si="33"/>
        <v>0</v>
      </c>
      <c r="AE295" s="469">
        <f t="shared" si="33"/>
        <v>0</v>
      </c>
      <c r="AF295" s="469">
        <f t="shared" si="33"/>
        <v>0</v>
      </c>
      <c r="AG295" s="469">
        <f t="shared" si="33"/>
        <v>0</v>
      </c>
      <c r="AH295" s="469">
        <f t="shared" si="33"/>
        <v>0</v>
      </c>
      <c r="AI295" s="469">
        <f t="shared" si="33"/>
        <v>0</v>
      </c>
      <c r="AJ295" s="469">
        <f t="shared" si="33"/>
        <v>1010263741</v>
      </c>
      <c r="AK295" s="469">
        <f t="shared" si="33"/>
        <v>0</v>
      </c>
      <c r="AL295" s="469">
        <f t="shared" si="33"/>
        <v>679854781</v>
      </c>
      <c r="AM295" s="469">
        <f t="shared" si="33"/>
        <v>10338171106</v>
      </c>
      <c r="AN295" s="469">
        <f t="shared" si="33"/>
        <v>0</v>
      </c>
      <c r="AO295" s="469">
        <f t="shared" si="33"/>
        <v>0</v>
      </c>
      <c r="AP295" s="469">
        <f t="shared" si="33"/>
        <v>0</v>
      </c>
      <c r="AQ295" s="469">
        <f t="shared" si="33"/>
        <v>0</v>
      </c>
      <c r="AR295" s="469">
        <f t="shared" si="33"/>
        <v>0</v>
      </c>
      <c r="AS295" s="469">
        <f t="shared" si="33"/>
        <v>0</v>
      </c>
      <c r="AT295" s="469">
        <f t="shared" si="33"/>
        <v>0</v>
      </c>
      <c r="AU295" s="469">
        <f t="shared" si="33"/>
        <v>0</v>
      </c>
      <c r="AV295" s="469">
        <f t="shared" si="33"/>
        <v>0</v>
      </c>
      <c r="AW295" s="469">
        <f t="shared" si="33"/>
        <v>0</v>
      </c>
      <c r="AX295" s="469">
        <f t="shared" si="33"/>
        <v>0</v>
      </c>
      <c r="AY295" s="469">
        <f t="shared" si="33"/>
        <v>30000000</v>
      </c>
      <c r="AZ295" s="469">
        <f t="shared" si="33"/>
        <v>0</v>
      </c>
      <c r="BA295" s="469">
        <f t="shared" si="33"/>
        <v>0</v>
      </c>
      <c r="BB295" s="469">
        <f t="shared" si="33"/>
        <v>30000000</v>
      </c>
      <c r="BC295" s="469">
        <f t="shared" si="33"/>
        <v>0</v>
      </c>
      <c r="BD295" s="469">
        <f t="shared" si="33"/>
        <v>0</v>
      </c>
      <c r="BE295" s="469">
        <f t="shared" si="33"/>
        <v>0</v>
      </c>
      <c r="BF295" s="469">
        <f t="shared" si="33"/>
        <v>0</v>
      </c>
      <c r="BG295" s="469">
        <f t="shared" si="33"/>
        <v>3046738223</v>
      </c>
      <c r="BH295" s="469">
        <f t="shared" si="33"/>
        <v>0</v>
      </c>
      <c r="BI295" s="469">
        <f t="shared" si="33"/>
        <v>0</v>
      </c>
      <c r="BJ295" s="469">
        <f t="shared" si="33"/>
        <v>0</v>
      </c>
      <c r="BK295" s="469">
        <f t="shared" si="33"/>
        <v>0</v>
      </c>
      <c r="BL295" s="469">
        <f t="shared" si="33"/>
        <v>0</v>
      </c>
      <c r="BM295" s="469">
        <f t="shared" si="33"/>
        <v>0</v>
      </c>
      <c r="BN295" s="469">
        <f t="shared" si="33"/>
        <v>15135027851</v>
      </c>
    </row>
    <row r="296" spans="1:66" ht="89.25" customHeight="1">
      <c r="A296" s="1376">
        <v>20</v>
      </c>
      <c r="B296" s="1374" t="s">
        <v>1352</v>
      </c>
      <c r="C296" s="1400">
        <v>4</v>
      </c>
      <c r="D296" s="1374" t="s">
        <v>1353</v>
      </c>
      <c r="E296" s="1374" t="s">
        <v>1354</v>
      </c>
      <c r="F296" s="1374" t="s">
        <v>1355</v>
      </c>
      <c r="G296" s="1374" t="s">
        <v>888</v>
      </c>
      <c r="H296" s="1487">
        <v>0.3</v>
      </c>
      <c r="I296" s="1374"/>
      <c r="J296" s="1374" t="s">
        <v>1114</v>
      </c>
      <c r="K296" s="657"/>
      <c r="L296" s="658" t="s">
        <v>1356</v>
      </c>
      <c r="M296" s="657" t="s">
        <v>1357</v>
      </c>
      <c r="N296" s="657"/>
      <c r="O296" s="657">
        <v>1</v>
      </c>
      <c r="P296" s="657"/>
      <c r="Q296" s="657"/>
      <c r="R296" s="1485">
        <v>1100000</v>
      </c>
      <c r="S296" s="1485">
        <v>500000</v>
      </c>
      <c r="T296" s="1485">
        <v>800000</v>
      </c>
      <c r="U296" s="1485">
        <v>233151</v>
      </c>
      <c r="V296" s="1485">
        <v>2633151</v>
      </c>
      <c r="W296" s="374" t="s">
        <v>819</v>
      </c>
      <c r="X296" s="450" t="s">
        <v>1596</v>
      </c>
      <c r="Y296" s="460"/>
      <c r="Z296" s="460"/>
      <c r="AA296" s="460"/>
      <c r="AB296" s="460"/>
      <c r="AC296" s="460"/>
      <c r="AD296" s="460"/>
      <c r="AE296" s="460"/>
      <c r="AF296" s="460"/>
      <c r="AG296" s="460"/>
      <c r="AH296" s="460"/>
      <c r="AI296" s="460"/>
      <c r="AJ296" s="460">
        <v>30000000</v>
      </c>
      <c r="AK296" s="460"/>
      <c r="AL296" s="460">
        <f>200000000-60000000+200000000</f>
        <v>340000000</v>
      </c>
      <c r="AM296" s="460"/>
      <c r="AN296" s="460"/>
      <c r="AO296" s="460"/>
      <c r="AP296" s="460"/>
      <c r="AQ296" s="460"/>
      <c r="AR296" s="460"/>
      <c r="AS296" s="460"/>
      <c r="AT296" s="460"/>
      <c r="AU296" s="460"/>
      <c r="AV296" s="460"/>
      <c r="AW296" s="460"/>
      <c r="AX296" s="460"/>
      <c r="AY296" s="460"/>
      <c r="AZ296" s="460"/>
      <c r="BA296" s="460"/>
      <c r="BB296" s="460"/>
      <c r="BC296" s="460"/>
      <c r="BD296" s="460"/>
      <c r="BE296" s="460"/>
      <c r="BF296" s="460"/>
      <c r="BG296" s="460"/>
      <c r="BH296" s="460"/>
      <c r="BI296" s="460"/>
      <c r="BJ296" s="460"/>
      <c r="BK296" s="460"/>
      <c r="BL296" s="460"/>
      <c r="BM296" s="460"/>
      <c r="BN296" s="460">
        <f>SUM(Y296:BM296)</f>
        <v>370000000</v>
      </c>
    </row>
    <row r="297" spans="1:66" ht="70.5" customHeight="1">
      <c r="A297" s="1377"/>
      <c r="B297" s="1374"/>
      <c r="C297" s="1400"/>
      <c r="D297" s="1374"/>
      <c r="E297" s="1374"/>
      <c r="F297" s="1374"/>
      <c r="G297" s="1374"/>
      <c r="H297" s="1374"/>
      <c r="I297" s="1374"/>
      <c r="J297" s="1374"/>
      <c r="K297" s="657"/>
      <c r="L297" s="658" t="s">
        <v>1358</v>
      </c>
      <c r="M297" s="657" t="s">
        <v>1359</v>
      </c>
      <c r="N297" s="657">
        <v>1</v>
      </c>
      <c r="O297" s="657">
        <v>1</v>
      </c>
      <c r="P297" s="657">
        <v>1</v>
      </c>
      <c r="Q297" s="657">
        <v>1</v>
      </c>
      <c r="R297" s="1485"/>
      <c r="S297" s="1485"/>
      <c r="T297" s="1485"/>
      <c r="U297" s="1485"/>
      <c r="V297" s="1485"/>
      <c r="W297" s="374" t="s">
        <v>819</v>
      </c>
      <c r="X297" s="1486" t="s">
        <v>1512</v>
      </c>
      <c r="Y297" s="1484"/>
      <c r="Z297" s="1484"/>
      <c r="AA297" s="1484"/>
      <c r="AB297" s="1484"/>
      <c r="AC297" s="1484"/>
      <c r="AD297" s="1484"/>
      <c r="AE297" s="1484"/>
      <c r="AF297" s="1484"/>
      <c r="AG297" s="1484"/>
      <c r="AH297" s="1484"/>
      <c r="AI297" s="1484"/>
      <c r="AJ297" s="1484">
        <v>50000000</v>
      </c>
      <c r="AK297" s="1484"/>
      <c r="AL297" s="1484">
        <v>120000000</v>
      </c>
      <c r="AM297" s="1484"/>
      <c r="AN297" s="1484"/>
      <c r="AO297" s="1484"/>
      <c r="AP297" s="1484"/>
      <c r="AQ297" s="1484"/>
      <c r="AR297" s="1484"/>
      <c r="AS297" s="1484"/>
      <c r="AT297" s="1484"/>
      <c r="AU297" s="1484"/>
      <c r="AV297" s="1484"/>
      <c r="AW297" s="1484"/>
      <c r="AX297" s="1484"/>
      <c r="AY297" s="1484"/>
      <c r="AZ297" s="1484"/>
      <c r="BA297" s="1484"/>
      <c r="BB297" s="1484"/>
      <c r="BC297" s="1484"/>
      <c r="BD297" s="1484"/>
      <c r="BE297" s="1484"/>
      <c r="BF297" s="1484"/>
      <c r="BG297" s="1484"/>
      <c r="BH297" s="1484"/>
      <c r="BI297" s="1484"/>
      <c r="BJ297" s="1484"/>
      <c r="BK297" s="1484"/>
      <c r="BL297" s="1484"/>
      <c r="BM297" s="1484"/>
      <c r="BN297" s="1484">
        <f>SUM(Y297:BM298)</f>
        <v>170000000</v>
      </c>
    </row>
    <row r="298" spans="1:66" ht="56.25" customHeight="1">
      <c r="A298" s="1377"/>
      <c r="B298" s="1374"/>
      <c r="C298" s="1400"/>
      <c r="D298" s="1374"/>
      <c r="E298" s="1374"/>
      <c r="F298" s="1374"/>
      <c r="G298" s="1374"/>
      <c r="H298" s="1374"/>
      <c r="I298" s="1374"/>
      <c r="J298" s="1374"/>
      <c r="K298" s="657"/>
      <c r="L298" s="658" t="s">
        <v>1360</v>
      </c>
      <c r="M298" s="657" t="s">
        <v>1361</v>
      </c>
      <c r="N298" s="657">
        <v>1</v>
      </c>
      <c r="O298" s="657">
        <v>1</v>
      </c>
      <c r="P298" s="657"/>
      <c r="Q298" s="657"/>
      <c r="R298" s="1485"/>
      <c r="S298" s="1485"/>
      <c r="T298" s="1485"/>
      <c r="U298" s="1485"/>
      <c r="V298" s="1485"/>
      <c r="W298" s="374" t="s">
        <v>1275</v>
      </c>
      <c r="X298" s="1486"/>
      <c r="Y298" s="1484"/>
      <c r="Z298" s="1484"/>
      <c r="AA298" s="1484"/>
      <c r="AB298" s="1484"/>
      <c r="AC298" s="1484"/>
      <c r="AD298" s="1484"/>
      <c r="AE298" s="1484"/>
      <c r="AF298" s="1484"/>
      <c r="AG298" s="1484"/>
      <c r="AH298" s="1484"/>
      <c r="AI298" s="1484"/>
      <c r="AJ298" s="1484"/>
      <c r="AK298" s="1484"/>
      <c r="AL298" s="1484"/>
      <c r="AM298" s="1484"/>
      <c r="AN298" s="1484"/>
      <c r="AO298" s="1484"/>
      <c r="AP298" s="1484"/>
      <c r="AQ298" s="1484"/>
      <c r="AR298" s="1484"/>
      <c r="AS298" s="1484"/>
      <c r="AT298" s="1484"/>
      <c r="AU298" s="1484"/>
      <c r="AV298" s="1484"/>
      <c r="AW298" s="1484"/>
      <c r="AX298" s="1484"/>
      <c r="AY298" s="1484"/>
      <c r="AZ298" s="1484"/>
      <c r="BA298" s="1484"/>
      <c r="BB298" s="1484"/>
      <c r="BC298" s="1484"/>
      <c r="BD298" s="1484"/>
      <c r="BE298" s="1484"/>
      <c r="BF298" s="1484"/>
      <c r="BG298" s="1484"/>
      <c r="BH298" s="1484"/>
      <c r="BI298" s="1484"/>
      <c r="BJ298" s="1484"/>
      <c r="BK298" s="1484"/>
      <c r="BL298" s="1484"/>
      <c r="BM298" s="1484"/>
      <c r="BN298" s="1484"/>
    </row>
    <row r="299" spans="1:66" ht="78.75" customHeight="1">
      <c r="A299" s="1377"/>
      <c r="B299" s="1374"/>
      <c r="C299" s="1400"/>
      <c r="D299" s="1374"/>
      <c r="E299" s="1374"/>
      <c r="F299" s="1374"/>
      <c r="G299" s="1374"/>
      <c r="H299" s="1374"/>
      <c r="I299" s="1374"/>
      <c r="J299" s="1374"/>
      <c r="K299" s="657"/>
      <c r="L299" s="658" t="s">
        <v>1362</v>
      </c>
      <c r="M299" s="657" t="s">
        <v>1363</v>
      </c>
      <c r="N299" s="657"/>
      <c r="O299" s="657">
        <v>1</v>
      </c>
      <c r="P299" s="657"/>
      <c r="Q299" s="657"/>
      <c r="R299" s="1485"/>
      <c r="S299" s="1485"/>
      <c r="T299" s="1485"/>
      <c r="U299" s="1485"/>
      <c r="V299" s="1485"/>
      <c r="W299" s="374" t="s">
        <v>1275</v>
      </c>
      <c r="X299" s="1450" t="s">
        <v>1568</v>
      </c>
      <c r="Y299" s="1437"/>
      <c r="Z299" s="1437"/>
      <c r="AA299" s="1437"/>
      <c r="AB299" s="1437"/>
      <c r="AC299" s="1437"/>
      <c r="AD299" s="1437"/>
      <c r="AE299" s="1437"/>
      <c r="AF299" s="1437"/>
      <c r="AG299" s="1437"/>
      <c r="AH299" s="1437"/>
      <c r="AI299" s="1437"/>
      <c r="AJ299" s="1437">
        <v>150000000</v>
      </c>
      <c r="AK299" s="1437"/>
      <c r="AL299" s="1437">
        <f>150000000+100000000</f>
        <v>250000000</v>
      </c>
      <c r="AM299" s="1437">
        <v>7000000000</v>
      </c>
      <c r="AN299" s="1437"/>
      <c r="AO299" s="1437"/>
      <c r="AP299" s="1437"/>
      <c r="AQ299" s="1437"/>
      <c r="AR299" s="1437"/>
      <c r="AS299" s="1437"/>
      <c r="AT299" s="1437"/>
      <c r="AU299" s="1437"/>
      <c r="AV299" s="1437"/>
      <c r="AW299" s="1437"/>
      <c r="AX299" s="1437"/>
      <c r="AY299" s="1437"/>
      <c r="AZ299" s="1437"/>
      <c r="BA299" s="1437"/>
      <c r="BB299" s="1437"/>
      <c r="BC299" s="1437"/>
      <c r="BD299" s="1437"/>
      <c r="BE299" s="1437"/>
      <c r="BF299" s="1437"/>
      <c r="BG299" s="1437"/>
      <c r="BH299" s="1437"/>
      <c r="BI299" s="1437"/>
      <c r="BJ299" s="1437"/>
      <c r="BK299" s="1437"/>
      <c r="BL299" s="1437"/>
      <c r="BM299" s="1437"/>
      <c r="BN299" s="1437">
        <f>SUM(Y299:BM301)</f>
        <v>7400000000</v>
      </c>
    </row>
    <row r="300" spans="1:66" ht="81.75" customHeight="1">
      <c r="A300" s="1377"/>
      <c r="B300" s="1374"/>
      <c r="C300" s="1400"/>
      <c r="D300" s="1374"/>
      <c r="E300" s="1374"/>
      <c r="F300" s="1374"/>
      <c r="G300" s="1374"/>
      <c r="H300" s="1374"/>
      <c r="I300" s="1374"/>
      <c r="J300" s="1374"/>
      <c r="K300" s="657"/>
      <c r="L300" s="658" t="s">
        <v>1364</v>
      </c>
      <c r="M300" s="657" t="s">
        <v>1365</v>
      </c>
      <c r="N300" s="657">
        <v>1</v>
      </c>
      <c r="O300" s="657">
        <v>1</v>
      </c>
      <c r="P300" s="657">
        <v>1</v>
      </c>
      <c r="Q300" s="657">
        <v>1</v>
      </c>
      <c r="R300" s="1485"/>
      <c r="S300" s="1485"/>
      <c r="T300" s="1485"/>
      <c r="U300" s="1485"/>
      <c r="V300" s="1485"/>
      <c r="W300" s="374" t="s">
        <v>819</v>
      </c>
      <c r="X300" s="1450"/>
      <c r="Y300" s="1437"/>
      <c r="Z300" s="1437"/>
      <c r="AA300" s="1437"/>
      <c r="AB300" s="1437"/>
      <c r="AC300" s="1437"/>
      <c r="AD300" s="1437"/>
      <c r="AE300" s="1437"/>
      <c r="AF300" s="1437"/>
      <c r="AG300" s="1437"/>
      <c r="AH300" s="1437"/>
      <c r="AI300" s="1437"/>
      <c r="AJ300" s="1437"/>
      <c r="AK300" s="1437"/>
      <c r="AL300" s="1437"/>
      <c r="AM300" s="1437"/>
      <c r="AN300" s="1437"/>
      <c r="AO300" s="1437"/>
      <c r="AP300" s="1437"/>
      <c r="AQ300" s="1437"/>
      <c r="AR300" s="1437"/>
      <c r="AS300" s="1437"/>
      <c r="AT300" s="1437"/>
      <c r="AU300" s="1437"/>
      <c r="AV300" s="1437"/>
      <c r="AW300" s="1437"/>
      <c r="AX300" s="1437"/>
      <c r="AY300" s="1437"/>
      <c r="AZ300" s="1437"/>
      <c r="BA300" s="1437"/>
      <c r="BB300" s="1437"/>
      <c r="BC300" s="1437"/>
      <c r="BD300" s="1437"/>
      <c r="BE300" s="1437"/>
      <c r="BF300" s="1437"/>
      <c r="BG300" s="1437"/>
      <c r="BH300" s="1437"/>
      <c r="BI300" s="1437"/>
      <c r="BJ300" s="1437"/>
      <c r="BK300" s="1437"/>
      <c r="BL300" s="1437"/>
      <c r="BM300" s="1437"/>
      <c r="BN300" s="1437"/>
    </row>
    <row r="301" spans="1:66" ht="56.25" customHeight="1">
      <c r="A301" s="1377"/>
      <c r="B301" s="1374"/>
      <c r="C301" s="1400"/>
      <c r="D301" s="1374"/>
      <c r="E301" s="1374"/>
      <c r="F301" s="1374"/>
      <c r="G301" s="1374"/>
      <c r="H301" s="1374"/>
      <c r="I301" s="1374"/>
      <c r="J301" s="1374"/>
      <c r="K301" s="657"/>
      <c r="L301" s="658" t="s">
        <v>1366</v>
      </c>
      <c r="M301" s="657" t="s">
        <v>1367</v>
      </c>
      <c r="N301" s="657"/>
      <c r="O301" s="657">
        <v>1</v>
      </c>
      <c r="P301" s="657">
        <v>1</v>
      </c>
      <c r="Q301" s="657"/>
      <c r="R301" s="1485"/>
      <c r="S301" s="1485"/>
      <c r="T301" s="1485"/>
      <c r="U301" s="1485"/>
      <c r="V301" s="1485"/>
      <c r="W301" s="374" t="s">
        <v>819</v>
      </c>
      <c r="X301" s="1461"/>
      <c r="Y301" s="1454"/>
      <c r="Z301" s="1454"/>
      <c r="AA301" s="1454"/>
      <c r="AB301" s="1454"/>
      <c r="AC301" s="1454"/>
      <c r="AD301" s="1454"/>
      <c r="AE301" s="1454"/>
      <c r="AF301" s="1454"/>
      <c r="AG301" s="1454"/>
      <c r="AH301" s="1454"/>
      <c r="AI301" s="1454"/>
      <c r="AJ301" s="1454"/>
      <c r="AK301" s="1454"/>
      <c r="AL301" s="1454"/>
      <c r="AM301" s="1454"/>
      <c r="AN301" s="1454"/>
      <c r="AO301" s="1454"/>
      <c r="AP301" s="1454"/>
      <c r="AQ301" s="1454"/>
      <c r="AR301" s="1454"/>
      <c r="AS301" s="1454"/>
      <c r="AT301" s="1454"/>
      <c r="AU301" s="1454"/>
      <c r="AV301" s="1454"/>
      <c r="AW301" s="1454"/>
      <c r="AX301" s="1454"/>
      <c r="AY301" s="1454"/>
      <c r="AZ301" s="1454"/>
      <c r="BA301" s="1454"/>
      <c r="BB301" s="1454"/>
      <c r="BC301" s="1454"/>
      <c r="BD301" s="1454"/>
      <c r="BE301" s="1454"/>
      <c r="BF301" s="1454"/>
      <c r="BG301" s="1454"/>
      <c r="BH301" s="1454"/>
      <c r="BI301" s="1454"/>
      <c r="BJ301" s="1454"/>
      <c r="BK301" s="1454"/>
      <c r="BL301" s="1454"/>
      <c r="BM301" s="1454"/>
      <c r="BN301" s="1454"/>
    </row>
    <row r="302" spans="1:68" ht="27.75" customHeight="1">
      <c r="A302" s="1377"/>
      <c r="B302" s="1374"/>
      <c r="C302" s="407"/>
      <c r="D302" s="1462" t="s">
        <v>1488</v>
      </c>
      <c r="E302" s="1463"/>
      <c r="F302" s="1463"/>
      <c r="G302" s="1463"/>
      <c r="H302" s="1463"/>
      <c r="I302" s="1463"/>
      <c r="J302" s="1463"/>
      <c r="K302" s="1463"/>
      <c r="L302" s="1463"/>
      <c r="M302" s="1463"/>
      <c r="N302" s="1463"/>
      <c r="O302" s="1463"/>
      <c r="P302" s="1463"/>
      <c r="Q302" s="1463"/>
      <c r="R302" s="1463"/>
      <c r="S302" s="1463"/>
      <c r="T302" s="1463"/>
      <c r="U302" s="1463"/>
      <c r="V302" s="1463"/>
      <c r="W302" s="1463"/>
      <c r="X302" s="1464"/>
      <c r="Y302" s="462">
        <f>SUM(Y296:Y301)</f>
        <v>0</v>
      </c>
      <c r="Z302" s="462">
        <f aca="true" t="shared" si="34" ref="Z302:BN302">SUM(Z296:Z301)</f>
        <v>0</v>
      </c>
      <c r="AA302" s="462">
        <f t="shared" si="34"/>
        <v>0</v>
      </c>
      <c r="AB302" s="462">
        <f t="shared" si="34"/>
        <v>0</v>
      </c>
      <c r="AC302" s="462">
        <f t="shared" si="34"/>
        <v>0</v>
      </c>
      <c r="AD302" s="462">
        <f t="shared" si="34"/>
        <v>0</v>
      </c>
      <c r="AE302" s="462">
        <f t="shared" si="34"/>
        <v>0</v>
      </c>
      <c r="AF302" s="462">
        <f t="shared" si="34"/>
        <v>0</v>
      </c>
      <c r="AG302" s="462">
        <f t="shared" si="34"/>
        <v>0</v>
      </c>
      <c r="AH302" s="462">
        <f t="shared" si="34"/>
        <v>0</v>
      </c>
      <c r="AI302" s="462">
        <f t="shared" si="34"/>
        <v>0</v>
      </c>
      <c r="AJ302" s="462">
        <f t="shared" si="34"/>
        <v>230000000</v>
      </c>
      <c r="AK302" s="462">
        <f t="shared" si="34"/>
        <v>0</v>
      </c>
      <c r="AL302" s="462">
        <f t="shared" si="34"/>
        <v>710000000</v>
      </c>
      <c r="AM302" s="462">
        <f t="shared" si="34"/>
        <v>7000000000</v>
      </c>
      <c r="AN302" s="462">
        <f t="shared" si="34"/>
        <v>0</v>
      </c>
      <c r="AO302" s="462">
        <f t="shared" si="34"/>
        <v>0</v>
      </c>
      <c r="AP302" s="462">
        <f t="shared" si="34"/>
        <v>0</v>
      </c>
      <c r="AQ302" s="462">
        <f t="shared" si="34"/>
        <v>0</v>
      </c>
      <c r="AR302" s="462">
        <f t="shared" si="34"/>
        <v>0</v>
      </c>
      <c r="AS302" s="462">
        <f t="shared" si="34"/>
        <v>0</v>
      </c>
      <c r="AT302" s="462">
        <f t="shared" si="34"/>
        <v>0</v>
      </c>
      <c r="AU302" s="462">
        <f t="shared" si="34"/>
        <v>0</v>
      </c>
      <c r="AV302" s="462">
        <f t="shared" si="34"/>
        <v>0</v>
      </c>
      <c r="AW302" s="462">
        <f t="shared" si="34"/>
        <v>0</v>
      </c>
      <c r="AX302" s="462">
        <f t="shared" si="34"/>
        <v>0</v>
      </c>
      <c r="AY302" s="462">
        <f t="shared" si="34"/>
        <v>0</v>
      </c>
      <c r="AZ302" s="462">
        <f t="shared" si="34"/>
        <v>0</v>
      </c>
      <c r="BA302" s="462">
        <f t="shared" si="34"/>
        <v>0</v>
      </c>
      <c r="BB302" s="462">
        <f t="shared" si="34"/>
        <v>0</v>
      </c>
      <c r="BC302" s="462">
        <f t="shared" si="34"/>
        <v>0</v>
      </c>
      <c r="BD302" s="462">
        <f t="shared" si="34"/>
        <v>0</v>
      </c>
      <c r="BE302" s="462">
        <f t="shared" si="34"/>
        <v>0</v>
      </c>
      <c r="BF302" s="462">
        <f t="shared" si="34"/>
        <v>0</v>
      </c>
      <c r="BG302" s="462">
        <f t="shared" si="34"/>
        <v>0</v>
      </c>
      <c r="BH302" s="462">
        <f t="shared" si="34"/>
        <v>0</v>
      </c>
      <c r="BI302" s="462">
        <f t="shared" si="34"/>
        <v>0</v>
      </c>
      <c r="BJ302" s="462">
        <f t="shared" si="34"/>
        <v>0</v>
      </c>
      <c r="BK302" s="462">
        <f t="shared" si="34"/>
        <v>0</v>
      </c>
      <c r="BL302" s="462">
        <f t="shared" si="34"/>
        <v>0</v>
      </c>
      <c r="BM302" s="462">
        <f t="shared" si="34"/>
        <v>0</v>
      </c>
      <c r="BN302" s="462">
        <f t="shared" si="34"/>
        <v>7940000000</v>
      </c>
      <c r="BP302" s="412">
        <v>710000000</v>
      </c>
    </row>
    <row r="303" spans="1:66" ht="42.75" customHeight="1" hidden="1">
      <c r="A303" s="1377"/>
      <c r="B303" s="1374"/>
      <c r="C303" s="1483">
        <v>4</v>
      </c>
      <c r="D303" s="1373" t="s">
        <v>1368</v>
      </c>
      <c r="E303" s="1367" t="s">
        <v>1369</v>
      </c>
      <c r="F303" s="1367" t="s">
        <v>1370</v>
      </c>
      <c r="G303" s="1367" t="s">
        <v>888</v>
      </c>
      <c r="H303" s="1452">
        <v>0.6</v>
      </c>
      <c r="I303" s="1373"/>
      <c r="J303" s="1373" t="s">
        <v>1114</v>
      </c>
      <c r="K303" s="657"/>
      <c r="L303" s="1476" t="s">
        <v>1371</v>
      </c>
      <c r="M303" s="657"/>
      <c r="N303" s="657"/>
      <c r="O303" s="657"/>
      <c r="P303" s="657"/>
      <c r="Q303" s="657"/>
      <c r="R303" s="1447">
        <v>3150000</v>
      </c>
      <c r="S303" s="1447">
        <v>2000000</v>
      </c>
      <c r="T303" s="1447">
        <v>3800000</v>
      </c>
      <c r="U303" s="1447">
        <v>1200000</v>
      </c>
      <c r="V303" s="1447">
        <v>10150000</v>
      </c>
      <c r="W303" s="374" t="s">
        <v>819</v>
      </c>
      <c r="X303" s="1480" t="s">
        <v>1569</v>
      </c>
      <c r="Y303" s="1436"/>
      <c r="Z303" s="1436"/>
      <c r="AA303" s="1436"/>
      <c r="AB303" s="1436"/>
      <c r="AC303" s="1436"/>
      <c r="AD303" s="1436"/>
      <c r="AE303" s="1436"/>
      <c r="AF303" s="1436"/>
      <c r="AG303" s="1436"/>
      <c r="AH303" s="1436"/>
      <c r="AI303" s="1436"/>
      <c r="AJ303" s="1436">
        <f>15000000+50000000</f>
        <v>65000000</v>
      </c>
      <c r="AK303" s="460"/>
      <c r="AL303" s="1436">
        <f>20000000+300000000</f>
        <v>320000000</v>
      </c>
      <c r="AM303" s="1436"/>
      <c r="AN303" s="1436"/>
      <c r="AO303" s="460"/>
      <c r="AP303" s="1436"/>
      <c r="AQ303" s="1436"/>
      <c r="AR303" s="1436"/>
      <c r="AS303" s="1436"/>
      <c r="AT303" s="1436"/>
      <c r="AU303" s="1436"/>
      <c r="AV303" s="1436"/>
      <c r="AW303" s="1436"/>
      <c r="AX303" s="1436"/>
      <c r="AY303" s="1436"/>
      <c r="AZ303" s="1436"/>
      <c r="BA303" s="460"/>
      <c r="BB303" s="1436"/>
      <c r="BC303" s="1436"/>
      <c r="BD303" s="1436"/>
      <c r="BE303" s="1436"/>
      <c r="BF303" s="1436"/>
      <c r="BG303" s="1436"/>
      <c r="BH303" s="1436"/>
      <c r="BI303" s="1436"/>
      <c r="BJ303" s="1436"/>
      <c r="BK303" s="1436"/>
      <c r="BL303" s="1436"/>
      <c r="BM303" s="1436"/>
      <c r="BN303" s="464"/>
    </row>
    <row r="304" spans="1:66" ht="37.5" customHeight="1">
      <c r="A304" s="1377"/>
      <c r="B304" s="1374"/>
      <c r="C304" s="1483"/>
      <c r="D304" s="1373"/>
      <c r="E304" s="1367"/>
      <c r="F304" s="1367"/>
      <c r="G304" s="1367"/>
      <c r="H304" s="1452"/>
      <c r="I304" s="1373"/>
      <c r="J304" s="1373"/>
      <c r="K304" s="657"/>
      <c r="L304" s="1476"/>
      <c r="M304" s="657" t="s">
        <v>1372</v>
      </c>
      <c r="N304" s="657"/>
      <c r="O304" s="657">
        <v>1</v>
      </c>
      <c r="P304" s="657">
        <v>1</v>
      </c>
      <c r="Q304" s="657">
        <v>1</v>
      </c>
      <c r="R304" s="1447"/>
      <c r="S304" s="1447"/>
      <c r="T304" s="1447"/>
      <c r="U304" s="1447"/>
      <c r="V304" s="1447"/>
      <c r="W304" s="374" t="s">
        <v>819</v>
      </c>
      <c r="X304" s="1481"/>
      <c r="Y304" s="1437"/>
      <c r="Z304" s="1437"/>
      <c r="AA304" s="1437"/>
      <c r="AB304" s="1437"/>
      <c r="AC304" s="1437"/>
      <c r="AD304" s="1437"/>
      <c r="AE304" s="1437"/>
      <c r="AF304" s="1437"/>
      <c r="AG304" s="1437"/>
      <c r="AH304" s="1437"/>
      <c r="AI304" s="1437"/>
      <c r="AJ304" s="1437"/>
      <c r="AK304" s="1445"/>
      <c r="AL304" s="1437"/>
      <c r="AM304" s="1437"/>
      <c r="AN304" s="1437"/>
      <c r="AO304" s="1445"/>
      <c r="AP304" s="1437"/>
      <c r="AQ304" s="1437"/>
      <c r="AR304" s="1437"/>
      <c r="AS304" s="1437"/>
      <c r="AT304" s="1437"/>
      <c r="AU304" s="1437"/>
      <c r="AV304" s="1437"/>
      <c r="AW304" s="1437"/>
      <c r="AX304" s="1437"/>
      <c r="AY304" s="1437"/>
      <c r="AZ304" s="1437"/>
      <c r="BA304" s="1478"/>
      <c r="BB304" s="1437"/>
      <c r="BC304" s="1437"/>
      <c r="BD304" s="1437"/>
      <c r="BE304" s="1437"/>
      <c r="BF304" s="1437"/>
      <c r="BG304" s="1437"/>
      <c r="BH304" s="1437"/>
      <c r="BI304" s="1437"/>
      <c r="BJ304" s="1437"/>
      <c r="BK304" s="1437"/>
      <c r="BL304" s="1437"/>
      <c r="BM304" s="1437"/>
      <c r="BN304" s="1440">
        <f>SUM(Y303:BM305)</f>
        <v>385000000</v>
      </c>
    </row>
    <row r="305" spans="1:66" ht="85.5" customHeight="1">
      <c r="A305" s="1377"/>
      <c r="B305" s="1374"/>
      <c r="C305" s="1483"/>
      <c r="D305" s="1373"/>
      <c r="E305" s="1367"/>
      <c r="F305" s="1367"/>
      <c r="G305" s="1367"/>
      <c r="H305" s="1367"/>
      <c r="I305" s="1373"/>
      <c r="J305" s="1373"/>
      <c r="K305" s="657"/>
      <c r="L305" s="658" t="s">
        <v>1373</v>
      </c>
      <c r="M305" s="657" t="s">
        <v>1374</v>
      </c>
      <c r="N305" s="657">
        <v>200</v>
      </c>
      <c r="O305" s="657">
        <v>200</v>
      </c>
      <c r="P305" s="657">
        <v>200</v>
      </c>
      <c r="Q305" s="657"/>
      <c r="R305" s="1447"/>
      <c r="S305" s="1447"/>
      <c r="T305" s="1447"/>
      <c r="U305" s="1447"/>
      <c r="V305" s="1447"/>
      <c r="W305" s="374" t="s">
        <v>819</v>
      </c>
      <c r="X305" s="1482"/>
      <c r="Y305" s="1454"/>
      <c r="Z305" s="1454"/>
      <c r="AA305" s="1454"/>
      <c r="AB305" s="1454"/>
      <c r="AC305" s="1454"/>
      <c r="AD305" s="1454"/>
      <c r="AE305" s="1454"/>
      <c r="AF305" s="1454"/>
      <c r="AG305" s="1454"/>
      <c r="AH305" s="1454"/>
      <c r="AI305" s="1454"/>
      <c r="AJ305" s="1454"/>
      <c r="AK305" s="1363"/>
      <c r="AL305" s="1454"/>
      <c r="AM305" s="1454"/>
      <c r="AN305" s="1454"/>
      <c r="AO305" s="1363"/>
      <c r="AP305" s="1454"/>
      <c r="AQ305" s="1454"/>
      <c r="AR305" s="1454"/>
      <c r="AS305" s="1454"/>
      <c r="AT305" s="1454"/>
      <c r="AU305" s="1454"/>
      <c r="AV305" s="1454"/>
      <c r="AW305" s="1454"/>
      <c r="AX305" s="1454"/>
      <c r="AY305" s="1454"/>
      <c r="AZ305" s="1454"/>
      <c r="BA305" s="1479"/>
      <c r="BB305" s="1454"/>
      <c r="BC305" s="1454"/>
      <c r="BD305" s="1454"/>
      <c r="BE305" s="1454"/>
      <c r="BF305" s="1454"/>
      <c r="BG305" s="1454"/>
      <c r="BH305" s="1454"/>
      <c r="BI305" s="1454"/>
      <c r="BJ305" s="1454"/>
      <c r="BK305" s="1454"/>
      <c r="BL305" s="1454"/>
      <c r="BM305" s="1454"/>
      <c r="BN305" s="1455"/>
    </row>
    <row r="306" spans="1:66" ht="93.75" customHeight="1">
      <c r="A306" s="1377"/>
      <c r="B306" s="1374"/>
      <c r="C306" s="1483"/>
      <c r="D306" s="1373"/>
      <c r="E306" s="1367"/>
      <c r="F306" s="1367"/>
      <c r="G306" s="1367"/>
      <c r="H306" s="1367"/>
      <c r="I306" s="1373"/>
      <c r="J306" s="1373"/>
      <c r="K306" s="657"/>
      <c r="L306" s="658" t="s">
        <v>1375</v>
      </c>
      <c r="M306" s="657" t="s">
        <v>1376</v>
      </c>
      <c r="N306" s="657"/>
      <c r="O306" s="657">
        <v>1</v>
      </c>
      <c r="P306" s="657">
        <v>1</v>
      </c>
      <c r="Q306" s="657"/>
      <c r="R306" s="1447"/>
      <c r="S306" s="1447"/>
      <c r="T306" s="1447"/>
      <c r="U306" s="1447"/>
      <c r="V306" s="1447"/>
      <c r="W306" s="374" t="s">
        <v>819</v>
      </c>
      <c r="X306" s="1477" t="s">
        <v>1570</v>
      </c>
      <c r="Y306" s="1436"/>
      <c r="Z306" s="1436"/>
      <c r="AA306" s="1436"/>
      <c r="AB306" s="1436"/>
      <c r="AC306" s="1436"/>
      <c r="AD306" s="1436"/>
      <c r="AE306" s="1436"/>
      <c r="AF306" s="1436"/>
      <c r="AG306" s="1436"/>
      <c r="AH306" s="1436"/>
      <c r="AI306" s="1436"/>
      <c r="AJ306" s="1436">
        <v>50000000</v>
      </c>
      <c r="AK306" s="1445"/>
      <c r="AL306" s="1436">
        <v>50000000</v>
      </c>
      <c r="AM306" s="1436"/>
      <c r="AN306" s="1436"/>
      <c r="AO306" s="1445"/>
      <c r="AP306" s="1436"/>
      <c r="AQ306" s="1436"/>
      <c r="AR306" s="1436"/>
      <c r="AS306" s="1436"/>
      <c r="AT306" s="1436"/>
      <c r="AU306" s="1436"/>
      <c r="AV306" s="1436"/>
      <c r="AW306" s="1436"/>
      <c r="AX306" s="1436"/>
      <c r="AY306" s="1436"/>
      <c r="AZ306" s="1436"/>
      <c r="BA306" s="1445"/>
      <c r="BB306" s="1436"/>
      <c r="BC306" s="1436"/>
      <c r="BD306" s="1436"/>
      <c r="BE306" s="1436"/>
      <c r="BF306" s="1436"/>
      <c r="BG306" s="1436"/>
      <c r="BH306" s="1436"/>
      <c r="BI306" s="1436"/>
      <c r="BJ306" s="1436"/>
      <c r="BK306" s="1436"/>
      <c r="BL306" s="1436"/>
      <c r="BM306" s="1439"/>
      <c r="BN306" s="1439">
        <f>SUM(Y306:BM310)</f>
        <v>100000000</v>
      </c>
    </row>
    <row r="307" spans="1:66" ht="82.5" customHeight="1">
      <c r="A307" s="1377"/>
      <c r="B307" s="1374"/>
      <c r="C307" s="1483"/>
      <c r="D307" s="1373"/>
      <c r="E307" s="1367"/>
      <c r="F307" s="1367"/>
      <c r="G307" s="1367"/>
      <c r="H307" s="1367"/>
      <c r="I307" s="1373"/>
      <c r="J307" s="1373"/>
      <c r="K307" s="657"/>
      <c r="L307" s="658" t="s">
        <v>1377</v>
      </c>
      <c r="M307" s="657" t="s">
        <v>1378</v>
      </c>
      <c r="N307" s="657"/>
      <c r="O307" s="657">
        <v>25</v>
      </c>
      <c r="P307" s="657">
        <v>25</v>
      </c>
      <c r="Q307" s="657"/>
      <c r="R307" s="1447"/>
      <c r="S307" s="1447"/>
      <c r="T307" s="1447"/>
      <c r="U307" s="1447"/>
      <c r="V307" s="1447"/>
      <c r="W307" s="374" t="s">
        <v>819</v>
      </c>
      <c r="X307" s="1477"/>
      <c r="Y307" s="1437"/>
      <c r="Z307" s="1437"/>
      <c r="AA307" s="1437"/>
      <c r="AB307" s="1437"/>
      <c r="AC307" s="1437"/>
      <c r="AD307" s="1437"/>
      <c r="AE307" s="1437"/>
      <c r="AF307" s="1437"/>
      <c r="AG307" s="1437"/>
      <c r="AH307" s="1437"/>
      <c r="AI307" s="1437"/>
      <c r="AJ307" s="1437"/>
      <c r="AK307" s="1446"/>
      <c r="AL307" s="1437"/>
      <c r="AM307" s="1437"/>
      <c r="AN307" s="1437"/>
      <c r="AO307" s="1446"/>
      <c r="AP307" s="1437"/>
      <c r="AQ307" s="1437"/>
      <c r="AR307" s="1437"/>
      <c r="AS307" s="1437"/>
      <c r="AT307" s="1437"/>
      <c r="AU307" s="1437"/>
      <c r="AV307" s="1437"/>
      <c r="AW307" s="1437"/>
      <c r="AX307" s="1437"/>
      <c r="AY307" s="1437"/>
      <c r="AZ307" s="1437"/>
      <c r="BA307" s="1446"/>
      <c r="BB307" s="1437"/>
      <c r="BC307" s="1437"/>
      <c r="BD307" s="1437"/>
      <c r="BE307" s="1437"/>
      <c r="BF307" s="1437"/>
      <c r="BG307" s="1437"/>
      <c r="BH307" s="1437"/>
      <c r="BI307" s="1437"/>
      <c r="BJ307" s="1437"/>
      <c r="BK307" s="1437"/>
      <c r="BL307" s="1437"/>
      <c r="BM307" s="1440"/>
      <c r="BN307" s="1440"/>
    </row>
    <row r="308" spans="1:66" ht="81.75" customHeight="1">
      <c r="A308" s="1377"/>
      <c r="B308" s="1374"/>
      <c r="C308" s="1483"/>
      <c r="D308" s="1373"/>
      <c r="E308" s="1367"/>
      <c r="F308" s="1367"/>
      <c r="G308" s="1367"/>
      <c r="H308" s="1367"/>
      <c r="I308" s="1373"/>
      <c r="J308" s="1373"/>
      <c r="K308" s="657"/>
      <c r="L308" s="658" t="s">
        <v>1379</v>
      </c>
      <c r="M308" s="657" t="s">
        <v>1380</v>
      </c>
      <c r="N308" s="657">
        <v>1</v>
      </c>
      <c r="O308" s="657">
        <v>1</v>
      </c>
      <c r="P308" s="657">
        <v>1</v>
      </c>
      <c r="Q308" s="657">
        <v>1</v>
      </c>
      <c r="R308" s="1447"/>
      <c r="S308" s="1447"/>
      <c r="T308" s="1447"/>
      <c r="U308" s="1447"/>
      <c r="V308" s="1447"/>
      <c r="W308" s="374" t="s">
        <v>819</v>
      </c>
      <c r="X308" s="1477"/>
      <c r="Y308" s="1437"/>
      <c r="Z308" s="1437"/>
      <c r="AA308" s="1437"/>
      <c r="AB308" s="1437"/>
      <c r="AC308" s="1437"/>
      <c r="AD308" s="1437"/>
      <c r="AE308" s="1437"/>
      <c r="AF308" s="1437"/>
      <c r="AG308" s="1437"/>
      <c r="AH308" s="1437"/>
      <c r="AI308" s="1437"/>
      <c r="AJ308" s="1437"/>
      <c r="AK308" s="1446"/>
      <c r="AL308" s="1437"/>
      <c r="AM308" s="1437"/>
      <c r="AN308" s="1437"/>
      <c r="AO308" s="1446"/>
      <c r="AP308" s="1437"/>
      <c r="AQ308" s="1437"/>
      <c r="AR308" s="1437"/>
      <c r="AS308" s="1437"/>
      <c r="AT308" s="1437"/>
      <c r="AU308" s="1437"/>
      <c r="AV308" s="1437"/>
      <c r="AW308" s="1437"/>
      <c r="AX308" s="1437"/>
      <c r="AY308" s="1437"/>
      <c r="AZ308" s="1437"/>
      <c r="BA308" s="1446"/>
      <c r="BB308" s="1437"/>
      <c r="BC308" s="1437"/>
      <c r="BD308" s="1437"/>
      <c r="BE308" s="1437"/>
      <c r="BF308" s="1437"/>
      <c r="BG308" s="1437"/>
      <c r="BH308" s="1437"/>
      <c r="BI308" s="1437"/>
      <c r="BJ308" s="1437"/>
      <c r="BK308" s="1437"/>
      <c r="BL308" s="1437"/>
      <c r="BM308" s="1440"/>
      <c r="BN308" s="1440"/>
    </row>
    <row r="309" spans="1:66" ht="56.25" customHeight="1">
      <c r="A309" s="1377"/>
      <c r="B309" s="1374"/>
      <c r="C309" s="1483"/>
      <c r="D309" s="1373"/>
      <c r="E309" s="1367"/>
      <c r="F309" s="1367"/>
      <c r="G309" s="1367"/>
      <c r="H309" s="1367"/>
      <c r="I309" s="1373"/>
      <c r="J309" s="1373"/>
      <c r="K309" s="657"/>
      <c r="L309" s="658" t="s">
        <v>1381</v>
      </c>
      <c r="M309" s="657" t="s">
        <v>1382</v>
      </c>
      <c r="N309" s="657">
        <v>1</v>
      </c>
      <c r="O309" s="657">
        <v>2</v>
      </c>
      <c r="P309" s="657">
        <v>2</v>
      </c>
      <c r="Q309" s="657"/>
      <c r="R309" s="1447"/>
      <c r="S309" s="1447"/>
      <c r="T309" s="1447"/>
      <c r="U309" s="1447"/>
      <c r="V309" s="1447"/>
      <c r="W309" s="374" t="s">
        <v>819</v>
      </c>
      <c r="X309" s="1477"/>
      <c r="Y309" s="1437"/>
      <c r="Z309" s="1437"/>
      <c r="AA309" s="1437"/>
      <c r="AB309" s="1437"/>
      <c r="AC309" s="1437"/>
      <c r="AD309" s="1437"/>
      <c r="AE309" s="1437"/>
      <c r="AF309" s="1437"/>
      <c r="AG309" s="1437"/>
      <c r="AH309" s="1437"/>
      <c r="AI309" s="1437"/>
      <c r="AJ309" s="1437"/>
      <c r="AK309" s="1363"/>
      <c r="AL309" s="1437"/>
      <c r="AM309" s="1437"/>
      <c r="AN309" s="1437"/>
      <c r="AO309" s="1363"/>
      <c r="AP309" s="1437"/>
      <c r="AQ309" s="1437"/>
      <c r="AR309" s="1437"/>
      <c r="AS309" s="1437"/>
      <c r="AT309" s="1437"/>
      <c r="AU309" s="1437"/>
      <c r="AV309" s="1437"/>
      <c r="AW309" s="1437"/>
      <c r="AX309" s="1437"/>
      <c r="AY309" s="1437"/>
      <c r="AZ309" s="1437"/>
      <c r="BA309" s="1363"/>
      <c r="BB309" s="1437"/>
      <c r="BC309" s="1437"/>
      <c r="BD309" s="1437"/>
      <c r="BE309" s="1437"/>
      <c r="BF309" s="1437"/>
      <c r="BG309" s="1437"/>
      <c r="BH309" s="1437"/>
      <c r="BI309" s="1437"/>
      <c r="BJ309" s="1437"/>
      <c r="BK309" s="1437"/>
      <c r="BL309" s="1437"/>
      <c r="BM309" s="1440"/>
      <c r="BN309" s="1440"/>
    </row>
    <row r="310" spans="1:66" ht="56.25" customHeight="1" hidden="1">
      <c r="A310" s="1377"/>
      <c r="B310" s="1374"/>
      <c r="C310" s="1483"/>
      <c r="D310" s="1373"/>
      <c r="E310" s="1367"/>
      <c r="F310" s="1367"/>
      <c r="G310" s="1367"/>
      <c r="H310" s="1367"/>
      <c r="I310" s="1373"/>
      <c r="J310" s="1373"/>
      <c r="K310" s="657"/>
      <c r="L310" s="658" t="s">
        <v>1383</v>
      </c>
      <c r="M310" s="657" t="s">
        <v>1384</v>
      </c>
      <c r="N310" s="657"/>
      <c r="O310" s="657"/>
      <c r="P310" s="657">
        <v>50</v>
      </c>
      <c r="Q310" s="657"/>
      <c r="R310" s="1447"/>
      <c r="S310" s="1447"/>
      <c r="T310" s="1447"/>
      <c r="U310" s="1447"/>
      <c r="V310" s="1447"/>
      <c r="W310" s="374" t="s">
        <v>819</v>
      </c>
      <c r="X310" s="1477"/>
      <c r="Y310" s="1437"/>
      <c r="Z310" s="1437"/>
      <c r="AA310" s="1437"/>
      <c r="AB310" s="1437"/>
      <c r="AC310" s="1437"/>
      <c r="AD310" s="1437"/>
      <c r="AE310" s="1437"/>
      <c r="AF310" s="1437"/>
      <c r="AG310" s="1437"/>
      <c r="AH310" s="1437"/>
      <c r="AI310" s="1437"/>
      <c r="AJ310" s="1437"/>
      <c r="AK310" s="460"/>
      <c r="AL310" s="1437"/>
      <c r="AM310" s="1437"/>
      <c r="AN310" s="1437"/>
      <c r="AO310" s="460"/>
      <c r="AP310" s="1437"/>
      <c r="AQ310" s="1437"/>
      <c r="AR310" s="1437"/>
      <c r="AS310" s="1437"/>
      <c r="AT310" s="1437"/>
      <c r="AU310" s="1437"/>
      <c r="AV310" s="1437"/>
      <c r="AW310" s="1437"/>
      <c r="AX310" s="1437"/>
      <c r="AY310" s="1437"/>
      <c r="AZ310" s="1437"/>
      <c r="BA310" s="460"/>
      <c r="BB310" s="1437"/>
      <c r="BC310" s="1437"/>
      <c r="BD310" s="1437"/>
      <c r="BE310" s="1437"/>
      <c r="BF310" s="1437"/>
      <c r="BG310" s="1437"/>
      <c r="BH310" s="1437"/>
      <c r="BI310" s="1437"/>
      <c r="BJ310" s="1437"/>
      <c r="BK310" s="1437"/>
      <c r="BL310" s="1437"/>
      <c r="BM310" s="465"/>
      <c r="BN310" s="465"/>
    </row>
    <row r="311" spans="1:66" ht="74.25" customHeight="1" hidden="1">
      <c r="A311" s="1377"/>
      <c r="B311" s="1374"/>
      <c r="C311" s="1483"/>
      <c r="D311" s="1373"/>
      <c r="E311" s="1367"/>
      <c r="F311" s="1367"/>
      <c r="G311" s="1367"/>
      <c r="H311" s="1367"/>
      <c r="I311" s="1373"/>
      <c r="J311" s="1373"/>
      <c r="K311" s="666"/>
      <c r="L311" s="658" t="s">
        <v>1385</v>
      </c>
      <c r="M311" s="657" t="s">
        <v>1386</v>
      </c>
      <c r="N311" s="657"/>
      <c r="O311" s="657"/>
      <c r="P311" s="657">
        <v>1</v>
      </c>
      <c r="Q311" s="657"/>
      <c r="R311" s="1447"/>
      <c r="S311" s="1447"/>
      <c r="T311" s="1447"/>
      <c r="U311" s="1447"/>
      <c r="V311" s="1447"/>
      <c r="W311" s="374" t="s">
        <v>819</v>
      </c>
      <c r="X311" s="443"/>
      <c r="Y311" s="460"/>
      <c r="Z311" s="460"/>
      <c r="AA311" s="460"/>
      <c r="AB311" s="460"/>
      <c r="AC311" s="460"/>
      <c r="AD311" s="460"/>
      <c r="AE311" s="460"/>
      <c r="AF311" s="460"/>
      <c r="AG311" s="460"/>
      <c r="AH311" s="460"/>
      <c r="AI311" s="460"/>
      <c r="AJ311" s="460"/>
      <c r="AK311" s="460"/>
      <c r="AL311" s="460"/>
      <c r="AM311" s="460"/>
      <c r="AN311" s="460"/>
      <c r="AO311" s="460"/>
      <c r="AP311" s="460"/>
      <c r="AQ311" s="460"/>
      <c r="AR311" s="460"/>
      <c r="AS311" s="460"/>
      <c r="AT311" s="460"/>
      <c r="AU311" s="460"/>
      <c r="AV311" s="460"/>
      <c r="AW311" s="460"/>
      <c r="AX311" s="460"/>
      <c r="AY311" s="460"/>
      <c r="AZ311" s="460"/>
      <c r="BA311" s="460"/>
      <c r="BB311" s="460"/>
      <c r="BC311" s="460"/>
      <c r="BD311" s="460"/>
      <c r="BE311" s="460"/>
      <c r="BF311" s="460"/>
      <c r="BG311" s="460"/>
      <c r="BH311" s="460"/>
      <c r="BI311" s="460"/>
      <c r="BJ311" s="460"/>
      <c r="BK311" s="460"/>
      <c r="BL311" s="460"/>
      <c r="BM311" s="460"/>
      <c r="BN311" s="460"/>
    </row>
    <row r="312" spans="1:66" ht="56.25" customHeight="1">
      <c r="A312" s="1377"/>
      <c r="B312" s="1374"/>
      <c r="C312" s="1483"/>
      <c r="D312" s="1373"/>
      <c r="E312" s="1367"/>
      <c r="F312" s="1367"/>
      <c r="G312" s="1367"/>
      <c r="H312" s="1367"/>
      <c r="I312" s="1373"/>
      <c r="J312" s="1373"/>
      <c r="K312" s="666"/>
      <c r="L312" s="658" t="s">
        <v>1387</v>
      </c>
      <c r="M312" s="657" t="s">
        <v>1388</v>
      </c>
      <c r="N312" s="657"/>
      <c r="O312" s="657">
        <v>1</v>
      </c>
      <c r="P312" s="657">
        <v>1</v>
      </c>
      <c r="Q312" s="657"/>
      <c r="R312" s="1447"/>
      <c r="S312" s="1447"/>
      <c r="T312" s="1447"/>
      <c r="U312" s="1447"/>
      <c r="V312" s="1447"/>
      <c r="W312" s="374" t="s">
        <v>819</v>
      </c>
      <c r="X312" s="448" t="s">
        <v>1571</v>
      </c>
      <c r="Y312" s="460"/>
      <c r="Z312" s="460"/>
      <c r="AA312" s="460"/>
      <c r="AB312" s="460"/>
      <c r="AC312" s="460"/>
      <c r="AD312" s="460"/>
      <c r="AE312" s="460"/>
      <c r="AF312" s="460"/>
      <c r="AG312" s="460"/>
      <c r="AH312" s="460"/>
      <c r="AI312" s="460"/>
      <c r="AJ312" s="460">
        <v>30000000</v>
      </c>
      <c r="AK312" s="460"/>
      <c r="AL312" s="460">
        <v>30000000</v>
      </c>
      <c r="AM312" s="460"/>
      <c r="AN312" s="460"/>
      <c r="AO312" s="460"/>
      <c r="AP312" s="460"/>
      <c r="AQ312" s="460"/>
      <c r="AR312" s="460"/>
      <c r="AS312" s="460"/>
      <c r="AT312" s="460"/>
      <c r="AU312" s="460"/>
      <c r="AV312" s="460"/>
      <c r="AW312" s="460"/>
      <c r="AX312" s="460"/>
      <c r="AY312" s="460"/>
      <c r="AZ312" s="460"/>
      <c r="BA312" s="460"/>
      <c r="BB312" s="460"/>
      <c r="BC312" s="460"/>
      <c r="BD312" s="460"/>
      <c r="BE312" s="460"/>
      <c r="BF312" s="460"/>
      <c r="BG312" s="460"/>
      <c r="BH312" s="460"/>
      <c r="BI312" s="460"/>
      <c r="BJ312" s="460"/>
      <c r="BK312" s="460"/>
      <c r="BL312" s="460"/>
      <c r="BM312" s="460"/>
      <c r="BN312" s="460">
        <f>SUM(Y312:BM312)</f>
        <v>60000000</v>
      </c>
    </row>
    <row r="313" spans="1:66" ht="56.25" customHeight="1" hidden="1">
      <c r="A313" s="1377"/>
      <c r="B313" s="1374"/>
      <c r="C313" s="1483"/>
      <c r="D313" s="1373"/>
      <c r="E313" s="1367"/>
      <c r="F313" s="1367"/>
      <c r="G313" s="1367"/>
      <c r="H313" s="1367"/>
      <c r="I313" s="1373"/>
      <c r="J313" s="1373"/>
      <c r="K313" s="666"/>
      <c r="L313" s="1476" t="s">
        <v>1389</v>
      </c>
      <c r="M313" s="657"/>
      <c r="N313" s="657"/>
      <c r="O313" s="657"/>
      <c r="P313" s="657"/>
      <c r="Q313" s="657"/>
      <c r="R313" s="1447"/>
      <c r="S313" s="1447"/>
      <c r="T313" s="1447"/>
      <c r="U313" s="1447"/>
      <c r="V313" s="1447"/>
      <c r="W313" s="374" t="s">
        <v>819</v>
      </c>
      <c r="X313" s="459"/>
      <c r="Y313" s="1475"/>
      <c r="Z313" s="1475"/>
      <c r="AA313" s="1475"/>
      <c r="AB313" s="1475"/>
      <c r="AC313" s="1475"/>
      <c r="AD313" s="1475"/>
      <c r="AE313" s="1475"/>
      <c r="AF313" s="1475"/>
      <c r="AG313" s="1475"/>
      <c r="AH313" s="1475"/>
      <c r="AI313" s="1475"/>
      <c r="AJ313" s="1475"/>
      <c r="AK313" s="460"/>
      <c r="AL313" s="1475">
        <v>40000000</v>
      </c>
      <c r="AM313" s="1475"/>
      <c r="AN313" s="1475"/>
      <c r="AO313" s="460"/>
      <c r="AP313" s="1475"/>
      <c r="AQ313" s="1475"/>
      <c r="AR313" s="1475"/>
      <c r="AS313" s="1475"/>
      <c r="AT313" s="1475"/>
      <c r="AU313" s="1475"/>
      <c r="AV313" s="1475"/>
      <c r="AW313" s="1475"/>
      <c r="AX313" s="1475"/>
      <c r="AY313" s="1475"/>
      <c r="AZ313" s="1475"/>
      <c r="BA313" s="460"/>
      <c r="BB313" s="1475"/>
      <c r="BC313" s="1475"/>
      <c r="BD313" s="1475"/>
      <c r="BE313" s="1475"/>
      <c r="BF313" s="1475"/>
      <c r="BG313" s="1475"/>
      <c r="BH313" s="1475"/>
      <c r="BI313" s="1475"/>
      <c r="BJ313" s="1475"/>
      <c r="BK313" s="1475"/>
      <c r="BL313" s="1475"/>
      <c r="BM313" s="1475"/>
      <c r="BN313" s="466"/>
    </row>
    <row r="314" spans="1:66" ht="56.25" customHeight="1">
      <c r="A314" s="1377"/>
      <c r="B314" s="1374"/>
      <c r="C314" s="1483"/>
      <c r="D314" s="1373"/>
      <c r="E314" s="1367"/>
      <c r="F314" s="1367"/>
      <c r="G314" s="1367"/>
      <c r="H314" s="1367"/>
      <c r="I314" s="1373"/>
      <c r="J314" s="1373"/>
      <c r="K314" s="666"/>
      <c r="L314" s="1476"/>
      <c r="M314" s="657" t="s">
        <v>1390</v>
      </c>
      <c r="N314" s="657"/>
      <c r="O314" s="657">
        <v>1</v>
      </c>
      <c r="P314" s="657">
        <v>1</v>
      </c>
      <c r="Q314" s="657"/>
      <c r="R314" s="1447"/>
      <c r="S314" s="1447"/>
      <c r="T314" s="1447"/>
      <c r="U314" s="1447"/>
      <c r="V314" s="1447"/>
      <c r="W314" s="374" t="s">
        <v>819</v>
      </c>
      <c r="X314" s="459" t="s">
        <v>1572</v>
      </c>
      <c r="Y314" s="1475"/>
      <c r="Z314" s="1475"/>
      <c r="AA314" s="1475"/>
      <c r="AB314" s="1475"/>
      <c r="AC314" s="1475"/>
      <c r="AD314" s="1475"/>
      <c r="AE314" s="1475"/>
      <c r="AF314" s="1475"/>
      <c r="AG314" s="1475"/>
      <c r="AH314" s="1475"/>
      <c r="AI314" s="1475"/>
      <c r="AJ314" s="1475"/>
      <c r="AK314" s="1445"/>
      <c r="AL314" s="1475"/>
      <c r="AM314" s="1475"/>
      <c r="AN314" s="1475"/>
      <c r="AO314" s="1445"/>
      <c r="AP314" s="1475"/>
      <c r="AQ314" s="1475"/>
      <c r="AR314" s="1475"/>
      <c r="AS314" s="1475"/>
      <c r="AT314" s="1475"/>
      <c r="AU314" s="1475"/>
      <c r="AV314" s="1475"/>
      <c r="AW314" s="1475"/>
      <c r="AX314" s="1475"/>
      <c r="AY314" s="1475"/>
      <c r="AZ314" s="1475"/>
      <c r="BA314" s="1445"/>
      <c r="BB314" s="1475"/>
      <c r="BC314" s="1475"/>
      <c r="BD314" s="1475"/>
      <c r="BE314" s="1475"/>
      <c r="BF314" s="1475"/>
      <c r="BG314" s="1475"/>
      <c r="BH314" s="1475"/>
      <c r="BI314" s="1475"/>
      <c r="BJ314" s="1475"/>
      <c r="BK314" s="1475"/>
      <c r="BL314" s="1475"/>
      <c r="BM314" s="1475"/>
      <c r="BN314" s="1473">
        <f>SUM(Y313:BM315)</f>
        <v>40000000</v>
      </c>
    </row>
    <row r="315" spans="1:66" ht="93" customHeight="1">
      <c r="A315" s="1377"/>
      <c r="B315" s="1374"/>
      <c r="C315" s="1483"/>
      <c r="D315" s="1373"/>
      <c r="E315" s="1367"/>
      <c r="F315" s="1367"/>
      <c r="G315" s="1367"/>
      <c r="H315" s="1367"/>
      <c r="I315" s="1373"/>
      <c r="J315" s="1373"/>
      <c r="K315" s="666"/>
      <c r="L315" s="658" t="s">
        <v>1391</v>
      </c>
      <c r="M315" s="657" t="s">
        <v>1392</v>
      </c>
      <c r="N315" s="657"/>
      <c r="O315" s="657">
        <v>1</v>
      </c>
      <c r="P315" s="657">
        <v>1</v>
      </c>
      <c r="Q315" s="657"/>
      <c r="R315" s="1447"/>
      <c r="S315" s="1447"/>
      <c r="T315" s="1447"/>
      <c r="U315" s="1447"/>
      <c r="V315" s="1447"/>
      <c r="W315" s="374" t="s">
        <v>819</v>
      </c>
      <c r="X315" s="443" t="s">
        <v>1573</v>
      </c>
      <c r="Y315" s="1475"/>
      <c r="Z315" s="1475"/>
      <c r="AA315" s="1475"/>
      <c r="AB315" s="1475"/>
      <c r="AC315" s="1475"/>
      <c r="AD315" s="1475"/>
      <c r="AE315" s="1475"/>
      <c r="AF315" s="1475"/>
      <c r="AG315" s="1475"/>
      <c r="AH315" s="1475"/>
      <c r="AI315" s="1475"/>
      <c r="AJ315" s="1475"/>
      <c r="AK315" s="1363"/>
      <c r="AL315" s="1475"/>
      <c r="AM315" s="1475"/>
      <c r="AN315" s="1475"/>
      <c r="AO315" s="1363"/>
      <c r="AP315" s="1475"/>
      <c r="AQ315" s="1475"/>
      <c r="AR315" s="1475"/>
      <c r="AS315" s="1475"/>
      <c r="AT315" s="1475"/>
      <c r="AU315" s="1475"/>
      <c r="AV315" s="1475"/>
      <c r="AW315" s="1475"/>
      <c r="AX315" s="1475"/>
      <c r="AY315" s="1475"/>
      <c r="AZ315" s="1475"/>
      <c r="BA315" s="1363"/>
      <c r="BB315" s="1475"/>
      <c r="BC315" s="1475"/>
      <c r="BD315" s="1475"/>
      <c r="BE315" s="1475"/>
      <c r="BF315" s="1475"/>
      <c r="BG315" s="1475"/>
      <c r="BH315" s="1475"/>
      <c r="BI315" s="1475"/>
      <c r="BJ315" s="1475"/>
      <c r="BK315" s="1475"/>
      <c r="BL315" s="1475"/>
      <c r="BM315" s="1475"/>
      <c r="BN315" s="1474"/>
    </row>
    <row r="316" spans="1:68" ht="34.5" customHeight="1">
      <c r="A316" s="1377"/>
      <c r="B316" s="1374"/>
      <c r="C316" s="408"/>
      <c r="D316" s="1462" t="s">
        <v>1489</v>
      </c>
      <c r="E316" s="1463"/>
      <c r="F316" s="1463"/>
      <c r="G316" s="1463"/>
      <c r="H316" s="1463"/>
      <c r="I316" s="1463"/>
      <c r="J316" s="1463"/>
      <c r="K316" s="1463"/>
      <c r="L316" s="1463"/>
      <c r="M316" s="1463"/>
      <c r="N316" s="1463"/>
      <c r="O316" s="1463"/>
      <c r="P316" s="1463"/>
      <c r="Q316" s="1463"/>
      <c r="R316" s="1463"/>
      <c r="S316" s="1463"/>
      <c r="T316" s="1463"/>
      <c r="U316" s="1463"/>
      <c r="V316" s="1463"/>
      <c r="W316" s="1463"/>
      <c r="X316" s="1464"/>
      <c r="Y316" s="462">
        <f>SUM(Y303:Y315)</f>
        <v>0</v>
      </c>
      <c r="Z316" s="462">
        <f aca="true" t="shared" si="35" ref="Z316:BN316">SUM(Z303:Z315)</f>
        <v>0</v>
      </c>
      <c r="AA316" s="462">
        <f t="shared" si="35"/>
        <v>0</v>
      </c>
      <c r="AB316" s="462">
        <f t="shared" si="35"/>
        <v>0</v>
      </c>
      <c r="AC316" s="462">
        <f t="shared" si="35"/>
        <v>0</v>
      </c>
      <c r="AD316" s="462">
        <f t="shared" si="35"/>
        <v>0</v>
      </c>
      <c r="AE316" s="462">
        <f t="shared" si="35"/>
        <v>0</v>
      </c>
      <c r="AF316" s="462">
        <f t="shared" si="35"/>
        <v>0</v>
      </c>
      <c r="AG316" s="462">
        <f t="shared" si="35"/>
        <v>0</v>
      </c>
      <c r="AH316" s="462">
        <f t="shared" si="35"/>
        <v>0</v>
      </c>
      <c r="AI316" s="462">
        <f t="shared" si="35"/>
        <v>0</v>
      </c>
      <c r="AJ316" s="462">
        <f t="shared" si="35"/>
        <v>145000000</v>
      </c>
      <c r="AK316" s="462">
        <f t="shared" si="35"/>
        <v>0</v>
      </c>
      <c r="AL316" s="462">
        <f t="shared" si="35"/>
        <v>440000000</v>
      </c>
      <c r="AM316" s="462">
        <f t="shared" si="35"/>
        <v>0</v>
      </c>
      <c r="AN316" s="462">
        <f t="shared" si="35"/>
        <v>0</v>
      </c>
      <c r="AO316" s="462">
        <f t="shared" si="35"/>
        <v>0</v>
      </c>
      <c r="AP316" s="462">
        <f t="shared" si="35"/>
        <v>0</v>
      </c>
      <c r="AQ316" s="462">
        <f t="shared" si="35"/>
        <v>0</v>
      </c>
      <c r="AR316" s="462">
        <f t="shared" si="35"/>
        <v>0</v>
      </c>
      <c r="AS316" s="462">
        <f t="shared" si="35"/>
        <v>0</v>
      </c>
      <c r="AT316" s="462">
        <f t="shared" si="35"/>
        <v>0</v>
      </c>
      <c r="AU316" s="462">
        <f t="shared" si="35"/>
        <v>0</v>
      </c>
      <c r="AV316" s="462">
        <f t="shared" si="35"/>
        <v>0</v>
      </c>
      <c r="AW316" s="462">
        <f t="shared" si="35"/>
        <v>0</v>
      </c>
      <c r="AX316" s="462">
        <f t="shared" si="35"/>
        <v>0</v>
      </c>
      <c r="AY316" s="462">
        <f t="shared" si="35"/>
        <v>0</v>
      </c>
      <c r="AZ316" s="462">
        <f t="shared" si="35"/>
        <v>0</v>
      </c>
      <c r="BA316" s="462">
        <f t="shared" si="35"/>
        <v>0</v>
      </c>
      <c r="BB316" s="462">
        <f t="shared" si="35"/>
        <v>0</v>
      </c>
      <c r="BC316" s="462">
        <f t="shared" si="35"/>
        <v>0</v>
      </c>
      <c r="BD316" s="462">
        <f t="shared" si="35"/>
        <v>0</v>
      </c>
      <c r="BE316" s="462">
        <f t="shared" si="35"/>
        <v>0</v>
      </c>
      <c r="BF316" s="462">
        <f t="shared" si="35"/>
        <v>0</v>
      </c>
      <c r="BG316" s="462">
        <f t="shared" si="35"/>
        <v>0</v>
      </c>
      <c r="BH316" s="462">
        <f t="shared" si="35"/>
        <v>0</v>
      </c>
      <c r="BI316" s="462">
        <f t="shared" si="35"/>
        <v>0</v>
      </c>
      <c r="BJ316" s="462">
        <f t="shared" si="35"/>
        <v>0</v>
      </c>
      <c r="BK316" s="462">
        <f t="shared" si="35"/>
        <v>0</v>
      </c>
      <c r="BL316" s="462">
        <f t="shared" si="35"/>
        <v>0</v>
      </c>
      <c r="BM316" s="462">
        <f t="shared" si="35"/>
        <v>0</v>
      </c>
      <c r="BN316" s="462">
        <f t="shared" si="35"/>
        <v>585000000</v>
      </c>
      <c r="BP316" s="412">
        <v>440000000</v>
      </c>
    </row>
    <row r="317" spans="1:66" ht="56.25" customHeight="1">
      <c r="A317" s="1377"/>
      <c r="B317" s="1374"/>
      <c r="C317" s="1400">
        <v>4</v>
      </c>
      <c r="D317" s="1374" t="s">
        <v>1393</v>
      </c>
      <c r="E317" s="1367" t="s">
        <v>1394</v>
      </c>
      <c r="F317" s="1367" t="s">
        <v>1395</v>
      </c>
      <c r="G317" s="1367" t="s">
        <v>888</v>
      </c>
      <c r="H317" s="1367" t="s">
        <v>1396</v>
      </c>
      <c r="I317" s="1367"/>
      <c r="J317" s="1374" t="s">
        <v>1114</v>
      </c>
      <c r="K317" s="657"/>
      <c r="L317" s="658" t="s">
        <v>1397</v>
      </c>
      <c r="M317" s="657" t="s">
        <v>1398</v>
      </c>
      <c r="N317" s="657"/>
      <c r="O317" s="657">
        <v>1</v>
      </c>
      <c r="P317" s="657">
        <v>1</v>
      </c>
      <c r="Q317" s="657"/>
      <c r="R317" s="1447">
        <v>500000</v>
      </c>
      <c r="S317" s="1447">
        <v>200000</v>
      </c>
      <c r="T317" s="1447">
        <v>200000</v>
      </c>
      <c r="U317" s="1447">
        <v>200000</v>
      </c>
      <c r="V317" s="1447">
        <v>1100000</v>
      </c>
      <c r="W317" s="374" t="s">
        <v>819</v>
      </c>
      <c r="X317" s="1470" t="s">
        <v>1574</v>
      </c>
      <c r="Y317" s="1439"/>
      <c r="Z317" s="1439"/>
      <c r="AA317" s="1439"/>
      <c r="AB317" s="1439"/>
      <c r="AC317" s="1439"/>
      <c r="AD317" s="1439"/>
      <c r="AE317" s="1439"/>
      <c r="AF317" s="1439"/>
      <c r="AG317" s="1439"/>
      <c r="AH317" s="1439"/>
      <c r="AI317" s="1439"/>
      <c r="AJ317" s="1439">
        <v>20000000</v>
      </c>
      <c r="AK317" s="1445"/>
      <c r="AL317" s="1439">
        <v>20000000</v>
      </c>
      <c r="AM317" s="1439"/>
      <c r="AN317" s="1439"/>
      <c r="AO317" s="1445"/>
      <c r="AP317" s="1439"/>
      <c r="AQ317" s="1439"/>
      <c r="AR317" s="1439"/>
      <c r="AS317" s="1439"/>
      <c r="AT317" s="1439"/>
      <c r="AU317" s="1439"/>
      <c r="AV317" s="1439"/>
      <c r="AW317" s="1439"/>
      <c r="AX317" s="1439"/>
      <c r="AY317" s="1439"/>
      <c r="AZ317" s="1439"/>
      <c r="BA317" s="1445"/>
      <c r="BB317" s="1439"/>
      <c r="BC317" s="1439"/>
      <c r="BD317" s="1439"/>
      <c r="BE317" s="1439"/>
      <c r="BF317" s="1439"/>
      <c r="BG317" s="1439"/>
      <c r="BH317" s="1439"/>
      <c r="BI317" s="1439"/>
      <c r="BJ317" s="1439"/>
      <c r="BK317" s="1439"/>
      <c r="BL317" s="1439"/>
      <c r="BM317" s="1439"/>
      <c r="BN317" s="1439">
        <f>SUM(Y317:BM319)</f>
        <v>40000000</v>
      </c>
    </row>
    <row r="318" spans="1:66" ht="69.75" customHeight="1">
      <c r="A318" s="1377"/>
      <c r="B318" s="1374"/>
      <c r="C318" s="1400"/>
      <c r="D318" s="1374"/>
      <c r="E318" s="1367"/>
      <c r="F318" s="1367"/>
      <c r="G318" s="1367"/>
      <c r="H318" s="1367"/>
      <c r="I318" s="1367"/>
      <c r="J318" s="1374"/>
      <c r="K318" s="657"/>
      <c r="L318" s="658" t="s">
        <v>1399</v>
      </c>
      <c r="M318" s="657" t="s">
        <v>1400</v>
      </c>
      <c r="N318" s="657"/>
      <c r="O318" s="657">
        <v>1</v>
      </c>
      <c r="P318" s="657">
        <v>1</v>
      </c>
      <c r="Q318" s="657"/>
      <c r="R318" s="1447"/>
      <c r="S318" s="1447"/>
      <c r="T318" s="1447"/>
      <c r="U318" s="1447"/>
      <c r="V318" s="1447"/>
      <c r="W318" s="374" t="s">
        <v>819</v>
      </c>
      <c r="X318" s="1471"/>
      <c r="Y318" s="1440"/>
      <c r="Z318" s="1440"/>
      <c r="AA318" s="1440"/>
      <c r="AB318" s="1440"/>
      <c r="AC318" s="1440"/>
      <c r="AD318" s="1440"/>
      <c r="AE318" s="1440"/>
      <c r="AF318" s="1440"/>
      <c r="AG318" s="1440"/>
      <c r="AH318" s="1440"/>
      <c r="AI318" s="1440"/>
      <c r="AJ318" s="1440"/>
      <c r="AK318" s="1446"/>
      <c r="AL318" s="1440"/>
      <c r="AM318" s="1440"/>
      <c r="AN318" s="1440"/>
      <c r="AO318" s="1446"/>
      <c r="AP318" s="1440"/>
      <c r="AQ318" s="1440"/>
      <c r="AR318" s="1440"/>
      <c r="AS318" s="1440"/>
      <c r="AT318" s="1440"/>
      <c r="AU318" s="1440"/>
      <c r="AV318" s="1440"/>
      <c r="AW318" s="1440"/>
      <c r="AX318" s="1440"/>
      <c r="AY318" s="1440"/>
      <c r="AZ318" s="1440"/>
      <c r="BA318" s="1446"/>
      <c r="BB318" s="1440"/>
      <c r="BC318" s="1440"/>
      <c r="BD318" s="1440"/>
      <c r="BE318" s="1440"/>
      <c r="BF318" s="1440"/>
      <c r="BG318" s="1440"/>
      <c r="BH318" s="1440"/>
      <c r="BI318" s="1440"/>
      <c r="BJ318" s="1440"/>
      <c r="BK318" s="1440"/>
      <c r="BL318" s="1440"/>
      <c r="BM318" s="1440"/>
      <c r="BN318" s="1440"/>
    </row>
    <row r="319" spans="1:66" ht="87.75" customHeight="1">
      <c r="A319" s="1377"/>
      <c r="B319" s="1374"/>
      <c r="C319" s="1400"/>
      <c r="D319" s="1374"/>
      <c r="E319" s="1367"/>
      <c r="F319" s="1367"/>
      <c r="G319" s="1367"/>
      <c r="H319" s="1367"/>
      <c r="I319" s="1367"/>
      <c r="J319" s="1374"/>
      <c r="K319" s="657"/>
      <c r="L319" s="658" t="s">
        <v>1401</v>
      </c>
      <c r="M319" s="657" t="s">
        <v>1402</v>
      </c>
      <c r="N319" s="657"/>
      <c r="O319" s="657">
        <v>2</v>
      </c>
      <c r="P319" s="657">
        <v>2</v>
      </c>
      <c r="Q319" s="657">
        <v>3</v>
      </c>
      <c r="R319" s="1447"/>
      <c r="S319" s="1447"/>
      <c r="T319" s="1447"/>
      <c r="U319" s="1447"/>
      <c r="V319" s="1447"/>
      <c r="W319" s="374" t="s">
        <v>819</v>
      </c>
      <c r="X319" s="1472"/>
      <c r="Y319" s="1455"/>
      <c r="Z319" s="1455"/>
      <c r="AA319" s="1455"/>
      <c r="AB319" s="1455"/>
      <c r="AC319" s="1455"/>
      <c r="AD319" s="1455"/>
      <c r="AE319" s="1455"/>
      <c r="AF319" s="1455"/>
      <c r="AG319" s="1455"/>
      <c r="AH319" s="1455"/>
      <c r="AI319" s="1455"/>
      <c r="AJ319" s="1455"/>
      <c r="AK319" s="1363"/>
      <c r="AL319" s="1455"/>
      <c r="AM319" s="1455"/>
      <c r="AN319" s="1455"/>
      <c r="AO319" s="1363"/>
      <c r="AP319" s="1455"/>
      <c r="AQ319" s="1455"/>
      <c r="AR319" s="1455"/>
      <c r="AS319" s="1455"/>
      <c r="AT319" s="1455"/>
      <c r="AU319" s="1455"/>
      <c r="AV319" s="1455"/>
      <c r="AW319" s="1455"/>
      <c r="AX319" s="1455"/>
      <c r="AY319" s="1455"/>
      <c r="AZ319" s="1455"/>
      <c r="BA319" s="1363"/>
      <c r="BB319" s="1455"/>
      <c r="BC319" s="1455"/>
      <c r="BD319" s="1455"/>
      <c r="BE319" s="1455"/>
      <c r="BF319" s="1455"/>
      <c r="BG319" s="1455"/>
      <c r="BH319" s="1455"/>
      <c r="BI319" s="1455"/>
      <c r="BJ319" s="1455"/>
      <c r="BK319" s="1455"/>
      <c r="BL319" s="1455"/>
      <c r="BM319" s="1455"/>
      <c r="BN319" s="1455"/>
    </row>
    <row r="320" spans="1:68" ht="41.25" customHeight="1">
      <c r="A320" s="1377"/>
      <c r="B320" s="1374"/>
      <c r="C320" s="421"/>
      <c r="D320" s="1462" t="s">
        <v>1490</v>
      </c>
      <c r="E320" s="1463"/>
      <c r="F320" s="1463"/>
      <c r="G320" s="1463"/>
      <c r="H320" s="1463"/>
      <c r="I320" s="1463"/>
      <c r="J320" s="1463"/>
      <c r="K320" s="1463"/>
      <c r="L320" s="1463"/>
      <c r="M320" s="1463"/>
      <c r="N320" s="1463"/>
      <c r="O320" s="1463"/>
      <c r="P320" s="1463"/>
      <c r="Q320" s="1463"/>
      <c r="R320" s="1463"/>
      <c r="S320" s="1463"/>
      <c r="T320" s="1463"/>
      <c r="U320" s="1463"/>
      <c r="V320" s="1463"/>
      <c r="W320" s="1463"/>
      <c r="X320" s="1464"/>
      <c r="Y320" s="462">
        <f>SUM(Y317:Y319)</f>
        <v>0</v>
      </c>
      <c r="Z320" s="462">
        <f aca="true" t="shared" si="36" ref="Z320:BN320">SUM(Z317:Z319)</f>
        <v>0</v>
      </c>
      <c r="AA320" s="462">
        <f t="shared" si="36"/>
        <v>0</v>
      </c>
      <c r="AB320" s="462">
        <f t="shared" si="36"/>
        <v>0</v>
      </c>
      <c r="AC320" s="462">
        <f t="shared" si="36"/>
        <v>0</v>
      </c>
      <c r="AD320" s="462">
        <f t="shared" si="36"/>
        <v>0</v>
      </c>
      <c r="AE320" s="462">
        <f t="shared" si="36"/>
        <v>0</v>
      </c>
      <c r="AF320" s="462">
        <f t="shared" si="36"/>
        <v>0</v>
      </c>
      <c r="AG320" s="462">
        <f t="shared" si="36"/>
        <v>0</v>
      </c>
      <c r="AH320" s="462">
        <f t="shared" si="36"/>
        <v>0</v>
      </c>
      <c r="AI320" s="462">
        <f t="shared" si="36"/>
        <v>0</v>
      </c>
      <c r="AJ320" s="462">
        <f t="shared" si="36"/>
        <v>20000000</v>
      </c>
      <c r="AK320" s="462">
        <f t="shared" si="36"/>
        <v>0</v>
      </c>
      <c r="AL320" s="462">
        <f t="shared" si="36"/>
        <v>20000000</v>
      </c>
      <c r="AM320" s="462">
        <f t="shared" si="36"/>
        <v>0</v>
      </c>
      <c r="AN320" s="462">
        <f t="shared" si="36"/>
        <v>0</v>
      </c>
      <c r="AO320" s="462">
        <f t="shared" si="36"/>
        <v>0</v>
      </c>
      <c r="AP320" s="462">
        <f t="shared" si="36"/>
        <v>0</v>
      </c>
      <c r="AQ320" s="462">
        <f t="shared" si="36"/>
        <v>0</v>
      </c>
      <c r="AR320" s="462">
        <f t="shared" si="36"/>
        <v>0</v>
      </c>
      <c r="AS320" s="462">
        <f t="shared" si="36"/>
        <v>0</v>
      </c>
      <c r="AT320" s="462">
        <f t="shared" si="36"/>
        <v>0</v>
      </c>
      <c r="AU320" s="462">
        <f t="shared" si="36"/>
        <v>0</v>
      </c>
      <c r="AV320" s="462">
        <f t="shared" si="36"/>
        <v>0</v>
      </c>
      <c r="AW320" s="462">
        <f t="shared" si="36"/>
        <v>0</v>
      </c>
      <c r="AX320" s="462">
        <f t="shared" si="36"/>
        <v>0</v>
      </c>
      <c r="AY320" s="462">
        <f t="shared" si="36"/>
        <v>0</v>
      </c>
      <c r="AZ320" s="462">
        <f t="shared" si="36"/>
        <v>0</v>
      </c>
      <c r="BA320" s="462">
        <f t="shared" si="36"/>
        <v>0</v>
      </c>
      <c r="BB320" s="462">
        <f t="shared" si="36"/>
        <v>0</v>
      </c>
      <c r="BC320" s="462">
        <f t="shared" si="36"/>
        <v>0</v>
      </c>
      <c r="BD320" s="462">
        <f t="shared" si="36"/>
        <v>0</v>
      </c>
      <c r="BE320" s="462">
        <f t="shared" si="36"/>
        <v>0</v>
      </c>
      <c r="BF320" s="462">
        <f t="shared" si="36"/>
        <v>0</v>
      </c>
      <c r="BG320" s="462">
        <f t="shared" si="36"/>
        <v>0</v>
      </c>
      <c r="BH320" s="462">
        <f t="shared" si="36"/>
        <v>0</v>
      </c>
      <c r="BI320" s="462">
        <f t="shared" si="36"/>
        <v>0</v>
      </c>
      <c r="BJ320" s="462">
        <f t="shared" si="36"/>
        <v>0</v>
      </c>
      <c r="BK320" s="462">
        <f t="shared" si="36"/>
        <v>0</v>
      </c>
      <c r="BL320" s="462">
        <f t="shared" si="36"/>
        <v>0</v>
      </c>
      <c r="BM320" s="462">
        <f t="shared" si="36"/>
        <v>0</v>
      </c>
      <c r="BN320" s="462">
        <f t="shared" si="36"/>
        <v>40000000</v>
      </c>
      <c r="BP320" s="412">
        <v>20000000</v>
      </c>
    </row>
    <row r="321" spans="1:66" ht="72" customHeight="1">
      <c r="A321" s="1377"/>
      <c r="B321" s="1374"/>
      <c r="C321" s="1376">
        <v>4</v>
      </c>
      <c r="D321" s="1375" t="s">
        <v>1403</v>
      </c>
      <c r="E321" s="1367" t="s">
        <v>1404</v>
      </c>
      <c r="F321" s="1367" t="s">
        <v>1405</v>
      </c>
      <c r="G321" s="1367" t="s">
        <v>654</v>
      </c>
      <c r="H321" s="1465">
        <v>0.5</v>
      </c>
      <c r="I321" s="365"/>
      <c r="J321" s="1466"/>
      <c r="K321" s="666"/>
      <c r="L321" s="439" t="s">
        <v>1406</v>
      </c>
      <c r="M321" s="657" t="s">
        <v>1407</v>
      </c>
      <c r="N321" s="367"/>
      <c r="O321" s="657">
        <v>1</v>
      </c>
      <c r="P321" s="657">
        <v>2</v>
      </c>
      <c r="Q321" s="657">
        <v>2</v>
      </c>
      <c r="R321" s="1469">
        <v>600000</v>
      </c>
      <c r="S321" s="1460">
        <v>500000</v>
      </c>
      <c r="T321" s="1460">
        <v>687000</v>
      </c>
      <c r="U321" s="1460">
        <v>600000</v>
      </c>
      <c r="V321" s="1460">
        <v>2387000</v>
      </c>
      <c r="W321" s="374" t="s">
        <v>819</v>
      </c>
      <c r="X321" s="1449" t="s">
        <v>1575</v>
      </c>
      <c r="Y321" s="1436"/>
      <c r="Z321" s="1436"/>
      <c r="AA321" s="1436"/>
      <c r="AB321" s="1436"/>
      <c r="AC321" s="1436"/>
      <c r="AD321" s="1436"/>
      <c r="AE321" s="1436"/>
      <c r="AF321" s="1436"/>
      <c r="AG321" s="1436"/>
      <c r="AH321" s="1436"/>
      <c r="AI321" s="1436"/>
      <c r="AJ321" s="1436">
        <v>20000000</v>
      </c>
      <c r="AK321" s="1445"/>
      <c r="AL321" s="1436">
        <v>20000000</v>
      </c>
      <c r="AM321" s="1436"/>
      <c r="AN321" s="1436"/>
      <c r="AO321" s="1445"/>
      <c r="AP321" s="1436"/>
      <c r="AQ321" s="1436"/>
      <c r="AR321" s="1436"/>
      <c r="AS321" s="1436"/>
      <c r="AT321" s="1436"/>
      <c r="AU321" s="1436"/>
      <c r="AV321" s="1436"/>
      <c r="AW321" s="1436"/>
      <c r="AX321" s="1436"/>
      <c r="AY321" s="1436"/>
      <c r="AZ321" s="1436"/>
      <c r="BA321" s="1445"/>
      <c r="BB321" s="1436"/>
      <c r="BC321" s="1436"/>
      <c r="BD321" s="1436"/>
      <c r="BE321" s="1436"/>
      <c r="BF321" s="1436"/>
      <c r="BG321" s="1436"/>
      <c r="BH321" s="1436"/>
      <c r="BI321" s="1436"/>
      <c r="BJ321" s="1436"/>
      <c r="BK321" s="1436"/>
      <c r="BL321" s="1436"/>
      <c r="BM321" s="1436"/>
      <c r="BN321" s="1439">
        <f>SUM(Y321:BM325)</f>
        <v>40000000</v>
      </c>
    </row>
    <row r="322" spans="1:66" ht="90.75" customHeight="1" hidden="1">
      <c r="A322" s="1377"/>
      <c r="B322" s="1374"/>
      <c r="C322" s="1377"/>
      <c r="D322" s="1375"/>
      <c r="E322" s="1367"/>
      <c r="F322" s="1367"/>
      <c r="G322" s="1367"/>
      <c r="H322" s="1379"/>
      <c r="I322" s="365"/>
      <c r="J322" s="1467"/>
      <c r="K322" s="666"/>
      <c r="L322" s="439" t="s">
        <v>1408</v>
      </c>
      <c r="M322" s="657" t="s">
        <v>1409</v>
      </c>
      <c r="N322" s="367"/>
      <c r="O322" s="367"/>
      <c r="P322" s="657">
        <v>1</v>
      </c>
      <c r="Q322" s="367"/>
      <c r="R322" s="1469"/>
      <c r="S322" s="1460"/>
      <c r="T322" s="1460"/>
      <c r="U322" s="1460"/>
      <c r="V322" s="1460"/>
      <c r="W322" s="374" t="s">
        <v>819</v>
      </c>
      <c r="X322" s="1450"/>
      <c r="Y322" s="1437"/>
      <c r="Z322" s="1437"/>
      <c r="AA322" s="1437"/>
      <c r="AB322" s="1437"/>
      <c r="AC322" s="1437"/>
      <c r="AD322" s="1437"/>
      <c r="AE322" s="1437"/>
      <c r="AF322" s="1437"/>
      <c r="AG322" s="1437"/>
      <c r="AH322" s="1437"/>
      <c r="AI322" s="1437"/>
      <c r="AJ322" s="1437"/>
      <c r="AK322" s="1446"/>
      <c r="AL322" s="1437"/>
      <c r="AM322" s="1437"/>
      <c r="AN322" s="1437"/>
      <c r="AO322" s="1446"/>
      <c r="AP322" s="1437"/>
      <c r="AQ322" s="1437"/>
      <c r="AR322" s="1437"/>
      <c r="AS322" s="1437"/>
      <c r="AT322" s="1437"/>
      <c r="AU322" s="1437"/>
      <c r="AV322" s="1437"/>
      <c r="AW322" s="1437"/>
      <c r="AX322" s="1437"/>
      <c r="AY322" s="1437"/>
      <c r="AZ322" s="1437"/>
      <c r="BA322" s="1446"/>
      <c r="BB322" s="1437"/>
      <c r="BC322" s="1437"/>
      <c r="BD322" s="1437"/>
      <c r="BE322" s="1437"/>
      <c r="BF322" s="1437"/>
      <c r="BG322" s="1437"/>
      <c r="BH322" s="1437"/>
      <c r="BI322" s="1437"/>
      <c r="BJ322" s="1437"/>
      <c r="BK322" s="1437"/>
      <c r="BL322" s="1437"/>
      <c r="BM322" s="1437"/>
      <c r="BN322" s="1440"/>
    </row>
    <row r="323" spans="1:66" ht="75" customHeight="1" hidden="1">
      <c r="A323" s="1377"/>
      <c r="B323" s="1374"/>
      <c r="C323" s="1377"/>
      <c r="D323" s="1375"/>
      <c r="E323" s="1367"/>
      <c r="F323" s="1367"/>
      <c r="G323" s="1367"/>
      <c r="H323" s="1379"/>
      <c r="I323" s="365"/>
      <c r="J323" s="1467"/>
      <c r="K323" s="666"/>
      <c r="L323" s="658" t="s">
        <v>1410</v>
      </c>
      <c r="M323" s="657" t="s">
        <v>1411</v>
      </c>
      <c r="N323" s="367"/>
      <c r="O323" s="657"/>
      <c r="P323" s="657">
        <v>1</v>
      </c>
      <c r="Q323" s="657">
        <v>1</v>
      </c>
      <c r="R323" s="1469"/>
      <c r="S323" s="1460"/>
      <c r="T323" s="1460"/>
      <c r="U323" s="1460"/>
      <c r="V323" s="1460"/>
      <c r="W323" s="395" t="s">
        <v>647</v>
      </c>
      <c r="X323" s="1450"/>
      <c r="Y323" s="1437"/>
      <c r="Z323" s="1437"/>
      <c r="AA323" s="1437"/>
      <c r="AB323" s="1437"/>
      <c r="AC323" s="1437"/>
      <c r="AD323" s="1437"/>
      <c r="AE323" s="1437"/>
      <c r="AF323" s="1437"/>
      <c r="AG323" s="1437"/>
      <c r="AH323" s="1437"/>
      <c r="AI323" s="1437"/>
      <c r="AJ323" s="1437"/>
      <c r="AK323" s="1446"/>
      <c r="AL323" s="1437"/>
      <c r="AM323" s="1437"/>
      <c r="AN323" s="1437"/>
      <c r="AO323" s="1446"/>
      <c r="AP323" s="1437"/>
      <c r="AQ323" s="1437"/>
      <c r="AR323" s="1437"/>
      <c r="AS323" s="1437"/>
      <c r="AT323" s="1437"/>
      <c r="AU323" s="1437"/>
      <c r="AV323" s="1437"/>
      <c r="AW323" s="1437"/>
      <c r="AX323" s="1437"/>
      <c r="AY323" s="1437"/>
      <c r="AZ323" s="1437"/>
      <c r="BA323" s="1446"/>
      <c r="BB323" s="1437"/>
      <c r="BC323" s="1437"/>
      <c r="BD323" s="1437"/>
      <c r="BE323" s="1437"/>
      <c r="BF323" s="1437"/>
      <c r="BG323" s="1437"/>
      <c r="BH323" s="1437"/>
      <c r="BI323" s="1437"/>
      <c r="BJ323" s="1437"/>
      <c r="BK323" s="1437"/>
      <c r="BL323" s="1437"/>
      <c r="BM323" s="1437"/>
      <c r="BN323" s="1440"/>
    </row>
    <row r="324" spans="1:66" ht="79.5" customHeight="1">
      <c r="A324" s="1377"/>
      <c r="B324" s="1374"/>
      <c r="C324" s="1377"/>
      <c r="D324" s="1375"/>
      <c r="E324" s="1367"/>
      <c r="F324" s="1367"/>
      <c r="G324" s="1367"/>
      <c r="H324" s="1379"/>
      <c r="I324" s="365"/>
      <c r="J324" s="1467"/>
      <c r="K324" s="666"/>
      <c r="L324" s="658" t="s">
        <v>1412</v>
      </c>
      <c r="M324" s="657" t="s">
        <v>1413</v>
      </c>
      <c r="N324" s="367"/>
      <c r="O324" s="657">
        <v>1</v>
      </c>
      <c r="P324" s="657">
        <v>1</v>
      </c>
      <c r="Q324" s="657">
        <v>1</v>
      </c>
      <c r="R324" s="1469"/>
      <c r="S324" s="1460"/>
      <c r="T324" s="1460"/>
      <c r="U324" s="1460"/>
      <c r="V324" s="1460"/>
      <c r="W324" s="374" t="s">
        <v>819</v>
      </c>
      <c r="X324" s="1450"/>
      <c r="Y324" s="1437"/>
      <c r="Z324" s="1437"/>
      <c r="AA324" s="1437"/>
      <c r="AB324" s="1437"/>
      <c r="AC324" s="1437"/>
      <c r="AD324" s="1437"/>
      <c r="AE324" s="1437"/>
      <c r="AF324" s="1437"/>
      <c r="AG324" s="1437"/>
      <c r="AH324" s="1437"/>
      <c r="AI324" s="1437"/>
      <c r="AJ324" s="1437"/>
      <c r="AK324" s="1446"/>
      <c r="AL324" s="1437"/>
      <c r="AM324" s="1437"/>
      <c r="AN324" s="1437"/>
      <c r="AO324" s="1446"/>
      <c r="AP324" s="1437"/>
      <c r="AQ324" s="1437"/>
      <c r="AR324" s="1437"/>
      <c r="AS324" s="1437"/>
      <c r="AT324" s="1437"/>
      <c r="AU324" s="1437"/>
      <c r="AV324" s="1437"/>
      <c r="AW324" s="1437"/>
      <c r="AX324" s="1437"/>
      <c r="AY324" s="1437"/>
      <c r="AZ324" s="1437"/>
      <c r="BA324" s="1446"/>
      <c r="BB324" s="1437"/>
      <c r="BC324" s="1437"/>
      <c r="BD324" s="1437"/>
      <c r="BE324" s="1437"/>
      <c r="BF324" s="1437"/>
      <c r="BG324" s="1437"/>
      <c r="BH324" s="1437"/>
      <c r="BI324" s="1437"/>
      <c r="BJ324" s="1437"/>
      <c r="BK324" s="1437"/>
      <c r="BL324" s="1437"/>
      <c r="BM324" s="1437"/>
      <c r="BN324" s="1440"/>
    </row>
    <row r="325" spans="1:66" ht="114.75" customHeight="1">
      <c r="A325" s="1377"/>
      <c r="B325" s="1374"/>
      <c r="C325" s="1378"/>
      <c r="D325" s="1375"/>
      <c r="E325" s="1367"/>
      <c r="F325" s="1367"/>
      <c r="G325" s="1367"/>
      <c r="H325" s="1379"/>
      <c r="I325" s="365"/>
      <c r="J325" s="1468"/>
      <c r="K325" s="666"/>
      <c r="L325" s="658" t="s">
        <v>1414</v>
      </c>
      <c r="M325" s="657" t="s">
        <v>1415</v>
      </c>
      <c r="N325" s="657"/>
      <c r="O325" s="657">
        <v>1</v>
      </c>
      <c r="P325" s="657">
        <v>2</v>
      </c>
      <c r="Q325" s="657">
        <v>1</v>
      </c>
      <c r="R325" s="1469"/>
      <c r="S325" s="1460"/>
      <c r="T325" s="1460"/>
      <c r="U325" s="1460"/>
      <c r="V325" s="1460"/>
      <c r="W325" s="374" t="s">
        <v>819</v>
      </c>
      <c r="X325" s="1461"/>
      <c r="Y325" s="1454"/>
      <c r="Z325" s="1454"/>
      <c r="AA325" s="1454"/>
      <c r="AB325" s="1454"/>
      <c r="AC325" s="1454"/>
      <c r="AD325" s="1454"/>
      <c r="AE325" s="1454"/>
      <c r="AF325" s="1454"/>
      <c r="AG325" s="1454"/>
      <c r="AH325" s="1454"/>
      <c r="AI325" s="1454"/>
      <c r="AJ325" s="1454"/>
      <c r="AK325" s="1363"/>
      <c r="AL325" s="1454"/>
      <c r="AM325" s="1454"/>
      <c r="AN325" s="1454"/>
      <c r="AO325" s="1363"/>
      <c r="AP325" s="1454"/>
      <c r="AQ325" s="1454"/>
      <c r="AR325" s="1454"/>
      <c r="AS325" s="1454"/>
      <c r="AT325" s="1454"/>
      <c r="AU325" s="1454"/>
      <c r="AV325" s="1454"/>
      <c r="AW325" s="1454"/>
      <c r="AX325" s="1454"/>
      <c r="AY325" s="1454"/>
      <c r="AZ325" s="1454"/>
      <c r="BA325" s="1363"/>
      <c r="BB325" s="1454"/>
      <c r="BC325" s="1454"/>
      <c r="BD325" s="1454"/>
      <c r="BE325" s="1454"/>
      <c r="BF325" s="1454"/>
      <c r="BG325" s="1454"/>
      <c r="BH325" s="1454"/>
      <c r="BI325" s="1454"/>
      <c r="BJ325" s="1454"/>
      <c r="BK325" s="1454"/>
      <c r="BL325" s="1454"/>
      <c r="BM325" s="1454"/>
      <c r="BN325" s="1455"/>
    </row>
    <row r="326" spans="1:68" ht="38.25" customHeight="1">
      <c r="A326" s="1377"/>
      <c r="B326" s="1374"/>
      <c r="C326" s="653"/>
      <c r="D326" s="1456" t="s">
        <v>1491</v>
      </c>
      <c r="E326" s="1457"/>
      <c r="F326" s="1457"/>
      <c r="G326" s="1457"/>
      <c r="H326" s="1457"/>
      <c r="I326" s="1457"/>
      <c r="J326" s="1457"/>
      <c r="K326" s="1457"/>
      <c r="L326" s="1457"/>
      <c r="M326" s="1457"/>
      <c r="N326" s="1457"/>
      <c r="O326" s="1457"/>
      <c r="P326" s="1457"/>
      <c r="Q326" s="1457"/>
      <c r="R326" s="1457"/>
      <c r="S326" s="1457"/>
      <c r="T326" s="1457"/>
      <c r="U326" s="1457"/>
      <c r="V326" s="1457"/>
      <c r="W326" s="1457"/>
      <c r="X326" s="1458"/>
      <c r="Y326" s="462">
        <f>SUM(Y321:Y325)</f>
        <v>0</v>
      </c>
      <c r="Z326" s="462">
        <f aca="true" t="shared" si="37" ref="Z326:BN326">SUM(Z321:Z325)</f>
        <v>0</v>
      </c>
      <c r="AA326" s="462">
        <f t="shared" si="37"/>
        <v>0</v>
      </c>
      <c r="AB326" s="462">
        <f t="shared" si="37"/>
        <v>0</v>
      </c>
      <c r="AC326" s="462">
        <f t="shared" si="37"/>
        <v>0</v>
      </c>
      <c r="AD326" s="462">
        <f t="shared" si="37"/>
        <v>0</v>
      </c>
      <c r="AE326" s="462">
        <f t="shared" si="37"/>
        <v>0</v>
      </c>
      <c r="AF326" s="462">
        <f t="shared" si="37"/>
        <v>0</v>
      </c>
      <c r="AG326" s="462">
        <f t="shared" si="37"/>
        <v>0</v>
      </c>
      <c r="AH326" s="462">
        <f t="shared" si="37"/>
        <v>0</v>
      </c>
      <c r="AI326" s="462">
        <f t="shared" si="37"/>
        <v>0</v>
      </c>
      <c r="AJ326" s="462">
        <f t="shared" si="37"/>
        <v>20000000</v>
      </c>
      <c r="AK326" s="462">
        <f t="shared" si="37"/>
        <v>0</v>
      </c>
      <c r="AL326" s="462">
        <f t="shared" si="37"/>
        <v>20000000</v>
      </c>
      <c r="AM326" s="462">
        <f t="shared" si="37"/>
        <v>0</v>
      </c>
      <c r="AN326" s="462">
        <f t="shared" si="37"/>
        <v>0</v>
      </c>
      <c r="AO326" s="462">
        <f t="shared" si="37"/>
        <v>0</v>
      </c>
      <c r="AP326" s="462">
        <f t="shared" si="37"/>
        <v>0</v>
      </c>
      <c r="AQ326" s="462">
        <f t="shared" si="37"/>
        <v>0</v>
      </c>
      <c r="AR326" s="462">
        <f t="shared" si="37"/>
        <v>0</v>
      </c>
      <c r="AS326" s="462">
        <f t="shared" si="37"/>
        <v>0</v>
      </c>
      <c r="AT326" s="462">
        <f t="shared" si="37"/>
        <v>0</v>
      </c>
      <c r="AU326" s="462">
        <f t="shared" si="37"/>
        <v>0</v>
      </c>
      <c r="AV326" s="462">
        <f t="shared" si="37"/>
        <v>0</v>
      </c>
      <c r="AW326" s="462">
        <f t="shared" si="37"/>
        <v>0</v>
      </c>
      <c r="AX326" s="462">
        <f t="shared" si="37"/>
        <v>0</v>
      </c>
      <c r="AY326" s="462">
        <f t="shared" si="37"/>
        <v>0</v>
      </c>
      <c r="AZ326" s="462">
        <f t="shared" si="37"/>
        <v>0</v>
      </c>
      <c r="BA326" s="462">
        <f t="shared" si="37"/>
        <v>0</v>
      </c>
      <c r="BB326" s="462">
        <f t="shared" si="37"/>
        <v>0</v>
      </c>
      <c r="BC326" s="462">
        <f t="shared" si="37"/>
        <v>0</v>
      </c>
      <c r="BD326" s="462">
        <f t="shared" si="37"/>
        <v>0</v>
      </c>
      <c r="BE326" s="462">
        <f t="shared" si="37"/>
        <v>0</v>
      </c>
      <c r="BF326" s="462">
        <f t="shared" si="37"/>
        <v>0</v>
      </c>
      <c r="BG326" s="462">
        <f t="shared" si="37"/>
        <v>0</v>
      </c>
      <c r="BH326" s="462">
        <f t="shared" si="37"/>
        <v>0</v>
      </c>
      <c r="BI326" s="462">
        <f t="shared" si="37"/>
        <v>0</v>
      </c>
      <c r="BJ326" s="462">
        <f t="shared" si="37"/>
        <v>0</v>
      </c>
      <c r="BK326" s="462">
        <f t="shared" si="37"/>
        <v>0</v>
      </c>
      <c r="BL326" s="462">
        <f t="shared" si="37"/>
        <v>0</v>
      </c>
      <c r="BM326" s="462">
        <f t="shared" si="37"/>
        <v>0</v>
      </c>
      <c r="BN326" s="462">
        <f t="shared" si="37"/>
        <v>40000000</v>
      </c>
      <c r="BP326" s="412">
        <v>20000000</v>
      </c>
    </row>
    <row r="327" spans="1:66" ht="56.25" customHeight="1">
      <c r="A327" s="1377"/>
      <c r="B327" s="1374"/>
      <c r="C327" s="1400">
        <v>4</v>
      </c>
      <c r="D327" s="1374" t="s">
        <v>1416</v>
      </c>
      <c r="E327" s="1367" t="s">
        <v>1417</v>
      </c>
      <c r="F327" s="1367" t="s">
        <v>1418</v>
      </c>
      <c r="G327" s="1367" t="s">
        <v>888</v>
      </c>
      <c r="H327" s="1452">
        <v>0.1</v>
      </c>
      <c r="I327" s="1374"/>
      <c r="J327" s="1374" t="s">
        <v>1114</v>
      </c>
      <c r="K327" s="657"/>
      <c r="L327" s="658" t="s">
        <v>1419</v>
      </c>
      <c r="M327" s="657" t="s">
        <v>1420</v>
      </c>
      <c r="N327" s="657"/>
      <c r="O327" s="657">
        <v>1</v>
      </c>
      <c r="P327" s="657">
        <v>1</v>
      </c>
      <c r="Q327" s="657">
        <v>1</v>
      </c>
      <c r="R327" s="1447">
        <v>150000</v>
      </c>
      <c r="S327" s="1447">
        <v>150000</v>
      </c>
      <c r="T327" s="1447">
        <v>150000</v>
      </c>
      <c r="U327" s="1447">
        <v>100000</v>
      </c>
      <c r="V327" s="1447">
        <v>550000</v>
      </c>
      <c r="W327" s="374" t="s">
        <v>819</v>
      </c>
      <c r="X327" s="1449" t="s">
        <v>1576</v>
      </c>
      <c r="Y327" s="1436"/>
      <c r="Z327" s="1436"/>
      <c r="AA327" s="1436"/>
      <c r="AB327" s="1436"/>
      <c r="AC327" s="1436"/>
      <c r="AD327" s="1436"/>
      <c r="AE327" s="1436"/>
      <c r="AF327" s="1436"/>
      <c r="AG327" s="1436"/>
      <c r="AH327" s="1436"/>
      <c r="AI327" s="1436"/>
      <c r="AJ327" s="1436">
        <f>50000000-50000000</f>
        <v>0</v>
      </c>
      <c r="AK327" s="1445"/>
      <c r="AL327" s="1436">
        <v>30000000</v>
      </c>
      <c r="AM327" s="1436"/>
      <c r="AN327" s="1436"/>
      <c r="AO327" s="1445"/>
      <c r="AP327" s="1436"/>
      <c r="AQ327" s="1436"/>
      <c r="AR327" s="1436"/>
      <c r="AS327" s="1436"/>
      <c r="AT327" s="1436"/>
      <c r="AU327" s="1436"/>
      <c r="AV327" s="1436"/>
      <c r="AW327" s="1436"/>
      <c r="AX327" s="1436"/>
      <c r="AY327" s="1436"/>
      <c r="AZ327" s="1436"/>
      <c r="BA327" s="1445"/>
      <c r="BB327" s="1436"/>
      <c r="BC327" s="1436"/>
      <c r="BD327" s="1436"/>
      <c r="BE327" s="1436"/>
      <c r="BF327" s="1436"/>
      <c r="BG327" s="1436"/>
      <c r="BH327" s="1436"/>
      <c r="BI327" s="1436"/>
      <c r="BJ327" s="1436"/>
      <c r="BK327" s="1436"/>
      <c r="BL327" s="1436"/>
      <c r="BM327" s="1436"/>
      <c r="BN327" s="1439">
        <f>SUM(Y327:BM331)</f>
        <v>30000000</v>
      </c>
    </row>
    <row r="328" spans="1:66" ht="75" customHeight="1">
      <c r="A328" s="1377"/>
      <c r="B328" s="1374"/>
      <c r="C328" s="1400"/>
      <c r="D328" s="1374"/>
      <c r="E328" s="1367"/>
      <c r="F328" s="1367"/>
      <c r="G328" s="1367"/>
      <c r="H328" s="1367"/>
      <c r="I328" s="1374"/>
      <c r="J328" s="1374"/>
      <c r="K328" s="657"/>
      <c r="L328" s="658" t="s">
        <v>1421</v>
      </c>
      <c r="M328" s="657" t="s">
        <v>1422</v>
      </c>
      <c r="N328" s="657"/>
      <c r="O328" s="657">
        <v>1</v>
      </c>
      <c r="P328" s="657">
        <v>1</v>
      </c>
      <c r="Q328" s="657"/>
      <c r="R328" s="1447"/>
      <c r="S328" s="1447"/>
      <c r="T328" s="1447"/>
      <c r="U328" s="1447"/>
      <c r="V328" s="1447"/>
      <c r="W328" s="374" t="s">
        <v>819</v>
      </c>
      <c r="X328" s="1450"/>
      <c r="Y328" s="1437"/>
      <c r="Z328" s="1437"/>
      <c r="AA328" s="1437"/>
      <c r="AB328" s="1437"/>
      <c r="AC328" s="1437"/>
      <c r="AD328" s="1437"/>
      <c r="AE328" s="1437"/>
      <c r="AF328" s="1437"/>
      <c r="AG328" s="1437"/>
      <c r="AH328" s="1437"/>
      <c r="AI328" s="1437"/>
      <c r="AJ328" s="1437"/>
      <c r="AK328" s="1446"/>
      <c r="AL328" s="1437"/>
      <c r="AM328" s="1437"/>
      <c r="AN328" s="1437"/>
      <c r="AO328" s="1446"/>
      <c r="AP328" s="1437"/>
      <c r="AQ328" s="1437"/>
      <c r="AR328" s="1437"/>
      <c r="AS328" s="1437"/>
      <c r="AT328" s="1437"/>
      <c r="AU328" s="1437"/>
      <c r="AV328" s="1437"/>
      <c r="AW328" s="1437"/>
      <c r="AX328" s="1437"/>
      <c r="AY328" s="1437"/>
      <c r="AZ328" s="1437"/>
      <c r="BA328" s="1446"/>
      <c r="BB328" s="1437"/>
      <c r="BC328" s="1437"/>
      <c r="BD328" s="1437"/>
      <c r="BE328" s="1437"/>
      <c r="BF328" s="1437"/>
      <c r="BG328" s="1437"/>
      <c r="BH328" s="1437"/>
      <c r="BI328" s="1437"/>
      <c r="BJ328" s="1437"/>
      <c r="BK328" s="1437"/>
      <c r="BL328" s="1437"/>
      <c r="BM328" s="1437"/>
      <c r="BN328" s="1440"/>
    </row>
    <row r="329" spans="1:66" ht="74.25" customHeight="1">
      <c r="A329" s="1377"/>
      <c r="B329" s="1374"/>
      <c r="C329" s="1400"/>
      <c r="D329" s="1374"/>
      <c r="E329" s="1367"/>
      <c r="F329" s="1367"/>
      <c r="G329" s="1367"/>
      <c r="H329" s="1367"/>
      <c r="I329" s="1374"/>
      <c r="J329" s="1374"/>
      <c r="K329" s="657"/>
      <c r="L329" s="658" t="s">
        <v>1423</v>
      </c>
      <c r="M329" s="657" t="s">
        <v>1424</v>
      </c>
      <c r="N329" s="657">
        <v>1</v>
      </c>
      <c r="O329" s="657">
        <v>1</v>
      </c>
      <c r="P329" s="657">
        <v>1</v>
      </c>
      <c r="Q329" s="657">
        <v>1</v>
      </c>
      <c r="R329" s="1447"/>
      <c r="S329" s="1447"/>
      <c r="T329" s="1447"/>
      <c r="U329" s="1447"/>
      <c r="V329" s="1447"/>
      <c r="W329" s="374" t="s">
        <v>819</v>
      </c>
      <c r="X329" s="1450"/>
      <c r="Y329" s="1437"/>
      <c r="Z329" s="1437"/>
      <c r="AA329" s="1437"/>
      <c r="AB329" s="1437"/>
      <c r="AC329" s="1437"/>
      <c r="AD329" s="1437"/>
      <c r="AE329" s="1437"/>
      <c r="AF329" s="1437"/>
      <c r="AG329" s="1437"/>
      <c r="AH329" s="1437"/>
      <c r="AI329" s="1437"/>
      <c r="AJ329" s="1437"/>
      <c r="AK329" s="1446"/>
      <c r="AL329" s="1437"/>
      <c r="AM329" s="1437"/>
      <c r="AN329" s="1437"/>
      <c r="AO329" s="1446"/>
      <c r="AP329" s="1437"/>
      <c r="AQ329" s="1437"/>
      <c r="AR329" s="1437"/>
      <c r="AS329" s="1437"/>
      <c r="AT329" s="1437"/>
      <c r="AU329" s="1437"/>
      <c r="AV329" s="1437"/>
      <c r="AW329" s="1437"/>
      <c r="AX329" s="1437"/>
      <c r="AY329" s="1437"/>
      <c r="AZ329" s="1437"/>
      <c r="BA329" s="1446"/>
      <c r="BB329" s="1437"/>
      <c r="BC329" s="1437"/>
      <c r="BD329" s="1437"/>
      <c r="BE329" s="1437"/>
      <c r="BF329" s="1437"/>
      <c r="BG329" s="1437"/>
      <c r="BH329" s="1437"/>
      <c r="BI329" s="1437"/>
      <c r="BJ329" s="1437"/>
      <c r="BK329" s="1437"/>
      <c r="BL329" s="1437"/>
      <c r="BM329" s="1437"/>
      <c r="BN329" s="1440"/>
    </row>
    <row r="330" spans="1:66" ht="87" customHeight="1" thickBot="1">
      <c r="A330" s="1377"/>
      <c r="B330" s="1374"/>
      <c r="C330" s="1400"/>
      <c r="D330" s="1374"/>
      <c r="E330" s="1367"/>
      <c r="F330" s="1367"/>
      <c r="G330" s="1367"/>
      <c r="H330" s="1367"/>
      <c r="I330" s="1374"/>
      <c r="J330" s="1374"/>
      <c r="K330" s="657"/>
      <c r="L330" s="658" t="s">
        <v>1425</v>
      </c>
      <c r="M330" s="657" t="s">
        <v>1426</v>
      </c>
      <c r="N330" s="657"/>
      <c r="O330" s="657">
        <v>1</v>
      </c>
      <c r="P330" s="657"/>
      <c r="Q330" s="657"/>
      <c r="R330" s="1447"/>
      <c r="S330" s="1447"/>
      <c r="T330" s="1447"/>
      <c r="U330" s="1447"/>
      <c r="V330" s="1447"/>
      <c r="W330" s="374" t="s">
        <v>819</v>
      </c>
      <c r="X330" s="1450"/>
      <c r="Y330" s="1437"/>
      <c r="Z330" s="1437"/>
      <c r="AA330" s="1437"/>
      <c r="AB330" s="1437"/>
      <c r="AC330" s="1437"/>
      <c r="AD330" s="1437"/>
      <c r="AE330" s="1437"/>
      <c r="AF330" s="1437"/>
      <c r="AG330" s="1437"/>
      <c r="AH330" s="1437"/>
      <c r="AI330" s="1437"/>
      <c r="AJ330" s="1437"/>
      <c r="AK330" s="1363"/>
      <c r="AL330" s="1437"/>
      <c r="AM330" s="1437"/>
      <c r="AN330" s="1437"/>
      <c r="AO330" s="1363"/>
      <c r="AP330" s="1437"/>
      <c r="AQ330" s="1437"/>
      <c r="AR330" s="1437"/>
      <c r="AS330" s="1437"/>
      <c r="AT330" s="1437"/>
      <c r="AU330" s="1437"/>
      <c r="AV330" s="1437"/>
      <c r="AW330" s="1437"/>
      <c r="AX330" s="1437"/>
      <c r="AY330" s="1437"/>
      <c r="AZ330" s="1437"/>
      <c r="BA330" s="1363"/>
      <c r="BB330" s="1437"/>
      <c r="BC330" s="1437"/>
      <c r="BD330" s="1437"/>
      <c r="BE330" s="1437"/>
      <c r="BF330" s="1437"/>
      <c r="BG330" s="1437"/>
      <c r="BH330" s="1437"/>
      <c r="BI330" s="1437"/>
      <c r="BJ330" s="1437"/>
      <c r="BK330" s="1437"/>
      <c r="BL330" s="1437"/>
      <c r="BM330" s="1437"/>
      <c r="BN330" s="1440"/>
    </row>
    <row r="331" spans="1:66" ht="56.25" customHeight="1" hidden="1" thickBot="1">
      <c r="A331" s="1378"/>
      <c r="B331" s="1392"/>
      <c r="C331" s="1459"/>
      <c r="D331" s="1453"/>
      <c r="E331" s="1362"/>
      <c r="F331" s="1362"/>
      <c r="G331" s="1362"/>
      <c r="H331" s="1362"/>
      <c r="I331" s="1453"/>
      <c r="J331" s="1453"/>
      <c r="K331" s="661"/>
      <c r="L331" s="664" t="s">
        <v>1427</v>
      </c>
      <c r="M331" s="661" t="s">
        <v>1428</v>
      </c>
      <c r="N331" s="661"/>
      <c r="O331" s="661"/>
      <c r="P331" s="661">
        <v>1</v>
      </c>
      <c r="Q331" s="661">
        <v>1</v>
      </c>
      <c r="R331" s="1448"/>
      <c r="S331" s="1448"/>
      <c r="T331" s="1448"/>
      <c r="U331" s="1448"/>
      <c r="V331" s="1448"/>
      <c r="W331" s="376" t="s">
        <v>819</v>
      </c>
      <c r="X331" s="1451"/>
      <c r="Y331" s="1438"/>
      <c r="Z331" s="1438"/>
      <c r="AA331" s="1438"/>
      <c r="AB331" s="1438"/>
      <c r="AC331" s="1438"/>
      <c r="AD331" s="1438"/>
      <c r="AE331" s="1438"/>
      <c r="AF331" s="1438"/>
      <c r="AG331" s="1438"/>
      <c r="AH331" s="1438"/>
      <c r="AI331" s="1438"/>
      <c r="AJ331" s="1438"/>
      <c r="AK331" s="646"/>
      <c r="AL331" s="1438"/>
      <c r="AM331" s="1438"/>
      <c r="AN331" s="1438"/>
      <c r="AO331" s="646"/>
      <c r="AP331" s="1438"/>
      <c r="AQ331" s="1438"/>
      <c r="AR331" s="1438"/>
      <c r="AS331" s="1438"/>
      <c r="AT331" s="1438"/>
      <c r="AU331" s="1438"/>
      <c r="AV331" s="1438"/>
      <c r="AW331" s="1438"/>
      <c r="AX331" s="1438"/>
      <c r="AY331" s="1438"/>
      <c r="AZ331" s="1438"/>
      <c r="BA331" s="646"/>
      <c r="BB331" s="1438"/>
      <c r="BC331" s="1438"/>
      <c r="BD331" s="1438"/>
      <c r="BE331" s="1438"/>
      <c r="BF331" s="1438"/>
      <c r="BG331" s="1438"/>
      <c r="BH331" s="1438"/>
      <c r="BI331" s="1438"/>
      <c r="BJ331" s="1438"/>
      <c r="BK331" s="1438"/>
      <c r="BL331" s="1438"/>
      <c r="BM331" s="1438"/>
      <c r="BN331" s="470"/>
    </row>
    <row r="332" spans="1:68" ht="24.75" customHeight="1" thickBot="1">
      <c r="A332" s="386"/>
      <c r="B332" s="639"/>
      <c r="C332" s="431"/>
      <c r="D332" s="1441" t="s">
        <v>1492</v>
      </c>
      <c r="E332" s="1442"/>
      <c r="F332" s="1442"/>
      <c r="G332" s="1442"/>
      <c r="H332" s="1442"/>
      <c r="I332" s="1442"/>
      <c r="J332" s="1442"/>
      <c r="K332" s="1442"/>
      <c r="L332" s="1442"/>
      <c r="M332" s="1442"/>
      <c r="N332" s="1442"/>
      <c r="O332" s="1442"/>
      <c r="P332" s="1442"/>
      <c r="Q332" s="1442"/>
      <c r="R332" s="1442"/>
      <c r="S332" s="1442"/>
      <c r="T332" s="1442"/>
      <c r="U332" s="1442"/>
      <c r="V332" s="1442"/>
      <c r="W332" s="1442"/>
      <c r="X332" s="1443"/>
      <c r="Y332" s="471">
        <f>SUM(Y327:Y331)</f>
        <v>0</v>
      </c>
      <c r="Z332" s="471">
        <f aca="true" t="shared" si="38" ref="Z332:BN332">SUM(Z327:Z331)</f>
        <v>0</v>
      </c>
      <c r="AA332" s="471">
        <f t="shared" si="38"/>
        <v>0</v>
      </c>
      <c r="AB332" s="471">
        <f t="shared" si="38"/>
        <v>0</v>
      </c>
      <c r="AC332" s="471">
        <f t="shared" si="38"/>
        <v>0</v>
      </c>
      <c r="AD332" s="471">
        <f t="shared" si="38"/>
        <v>0</v>
      </c>
      <c r="AE332" s="471">
        <f t="shared" si="38"/>
        <v>0</v>
      </c>
      <c r="AF332" s="471">
        <f t="shared" si="38"/>
        <v>0</v>
      </c>
      <c r="AG332" s="471">
        <f t="shared" si="38"/>
        <v>0</v>
      </c>
      <c r="AH332" s="471">
        <f t="shared" si="38"/>
        <v>0</v>
      </c>
      <c r="AI332" s="471">
        <f t="shared" si="38"/>
        <v>0</v>
      </c>
      <c r="AJ332" s="471">
        <f t="shared" si="38"/>
        <v>0</v>
      </c>
      <c r="AK332" s="471">
        <f t="shared" si="38"/>
        <v>0</v>
      </c>
      <c r="AL332" s="471">
        <f t="shared" si="38"/>
        <v>30000000</v>
      </c>
      <c r="AM332" s="471">
        <f t="shared" si="38"/>
        <v>0</v>
      </c>
      <c r="AN332" s="471">
        <f t="shared" si="38"/>
        <v>0</v>
      </c>
      <c r="AO332" s="471">
        <f t="shared" si="38"/>
        <v>0</v>
      </c>
      <c r="AP332" s="471">
        <f t="shared" si="38"/>
        <v>0</v>
      </c>
      <c r="AQ332" s="471">
        <f t="shared" si="38"/>
        <v>0</v>
      </c>
      <c r="AR332" s="471">
        <f t="shared" si="38"/>
        <v>0</v>
      </c>
      <c r="AS332" s="471">
        <f t="shared" si="38"/>
        <v>0</v>
      </c>
      <c r="AT332" s="471">
        <f t="shared" si="38"/>
        <v>0</v>
      </c>
      <c r="AU332" s="471">
        <f t="shared" si="38"/>
        <v>0</v>
      </c>
      <c r="AV332" s="471">
        <f t="shared" si="38"/>
        <v>0</v>
      </c>
      <c r="AW332" s="471">
        <f t="shared" si="38"/>
        <v>0</v>
      </c>
      <c r="AX332" s="471">
        <f t="shared" si="38"/>
        <v>0</v>
      </c>
      <c r="AY332" s="471">
        <f t="shared" si="38"/>
        <v>0</v>
      </c>
      <c r="AZ332" s="471">
        <f t="shared" si="38"/>
        <v>0</v>
      </c>
      <c r="BA332" s="471">
        <f t="shared" si="38"/>
        <v>0</v>
      </c>
      <c r="BB332" s="471">
        <f t="shared" si="38"/>
        <v>0</v>
      </c>
      <c r="BC332" s="471">
        <f t="shared" si="38"/>
        <v>0</v>
      </c>
      <c r="BD332" s="471">
        <f t="shared" si="38"/>
        <v>0</v>
      </c>
      <c r="BE332" s="471">
        <f t="shared" si="38"/>
        <v>0</v>
      </c>
      <c r="BF332" s="471">
        <f t="shared" si="38"/>
        <v>0</v>
      </c>
      <c r="BG332" s="471">
        <f t="shared" si="38"/>
        <v>0</v>
      </c>
      <c r="BH332" s="471">
        <f t="shared" si="38"/>
        <v>0</v>
      </c>
      <c r="BI332" s="471">
        <f t="shared" si="38"/>
        <v>0</v>
      </c>
      <c r="BJ332" s="471">
        <f t="shared" si="38"/>
        <v>0</v>
      </c>
      <c r="BK332" s="471">
        <f t="shared" si="38"/>
        <v>0</v>
      </c>
      <c r="BL332" s="471">
        <f t="shared" si="38"/>
        <v>0</v>
      </c>
      <c r="BM332" s="471">
        <f t="shared" si="38"/>
        <v>0</v>
      </c>
      <c r="BN332" s="472">
        <f t="shared" si="38"/>
        <v>30000000</v>
      </c>
      <c r="BP332" s="412">
        <v>30000000</v>
      </c>
    </row>
    <row r="333" spans="1:66" ht="32.25" customHeight="1" thickBot="1">
      <c r="A333" s="432"/>
      <c r="B333" s="1444" t="s">
        <v>1495</v>
      </c>
      <c r="C333" s="1444"/>
      <c r="D333" s="1444"/>
      <c r="E333" s="1444"/>
      <c r="F333" s="1444"/>
      <c r="G333" s="1444"/>
      <c r="H333" s="1444"/>
      <c r="I333" s="1444"/>
      <c r="J333" s="1444"/>
      <c r="K333" s="1444"/>
      <c r="L333" s="1444"/>
      <c r="M333" s="1444"/>
      <c r="N333" s="1444"/>
      <c r="O333" s="1444"/>
      <c r="P333" s="1444"/>
      <c r="Q333" s="1444"/>
      <c r="R333" s="1444"/>
      <c r="S333" s="1444"/>
      <c r="T333" s="1444"/>
      <c r="U333" s="1444"/>
      <c r="V333" s="1444"/>
      <c r="W333" s="1444"/>
      <c r="X333" s="1444"/>
      <c r="Y333" s="473">
        <f>+Y302+Y316+Y320+Y326+Y332</f>
        <v>0</v>
      </c>
      <c r="Z333" s="473">
        <f aca="true" t="shared" si="39" ref="Z333:BN333">+Z302+Z316+Z320+Z326+Z332</f>
        <v>0</v>
      </c>
      <c r="AA333" s="473">
        <f t="shared" si="39"/>
        <v>0</v>
      </c>
      <c r="AB333" s="473">
        <f t="shared" si="39"/>
        <v>0</v>
      </c>
      <c r="AC333" s="473">
        <f t="shared" si="39"/>
        <v>0</v>
      </c>
      <c r="AD333" s="473">
        <f t="shared" si="39"/>
        <v>0</v>
      </c>
      <c r="AE333" s="473">
        <f t="shared" si="39"/>
        <v>0</v>
      </c>
      <c r="AF333" s="473">
        <f t="shared" si="39"/>
        <v>0</v>
      </c>
      <c r="AG333" s="473">
        <f t="shared" si="39"/>
        <v>0</v>
      </c>
      <c r="AH333" s="473">
        <f t="shared" si="39"/>
        <v>0</v>
      </c>
      <c r="AI333" s="473">
        <f t="shared" si="39"/>
        <v>0</v>
      </c>
      <c r="AJ333" s="473">
        <f t="shared" si="39"/>
        <v>415000000</v>
      </c>
      <c r="AK333" s="473">
        <f t="shared" si="39"/>
        <v>0</v>
      </c>
      <c r="AL333" s="473">
        <f t="shared" si="39"/>
        <v>1220000000</v>
      </c>
      <c r="AM333" s="473">
        <f t="shared" si="39"/>
        <v>7000000000</v>
      </c>
      <c r="AN333" s="473">
        <f t="shared" si="39"/>
        <v>0</v>
      </c>
      <c r="AO333" s="473">
        <f t="shared" si="39"/>
        <v>0</v>
      </c>
      <c r="AP333" s="473">
        <f t="shared" si="39"/>
        <v>0</v>
      </c>
      <c r="AQ333" s="473">
        <f t="shared" si="39"/>
        <v>0</v>
      </c>
      <c r="AR333" s="473">
        <f t="shared" si="39"/>
        <v>0</v>
      </c>
      <c r="AS333" s="473">
        <f t="shared" si="39"/>
        <v>0</v>
      </c>
      <c r="AT333" s="473">
        <f t="shared" si="39"/>
        <v>0</v>
      </c>
      <c r="AU333" s="473">
        <f t="shared" si="39"/>
        <v>0</v>
      </c>
      <c r="AV333" s="473">
        <f t="shared" si="39"/>
        <v>0</v>
      </c>
      <c r="AW333" s="473">
        <f t="shared" si="39"/>
        <v>0</v>
      </c>
      <c r="AX333" s="473">
        <f t="shared" si="39"/>
        <v>0</v>
      </c>
      <c r="AY333" s="473">
        <f t="shared" si="39"/>
        <v>0</v>
      </c>
      <c r="AZ333" s="473">
        <f t="shared" si="39"/>
        <v>0</v>
      </c>
      <c r="BA333" s="473">
        <f t="shared" si="39"/>
        <v>0</v>
      </c>
      <c r="BB333" s="473">
        <f t="shared" si="39"/>
        <v>0</v>
      </c>
      <c r="BC333" s="473">
        <f t="shared" si="39"/>
        <v>0</v>
      </c>
      <c r="BD333" s="473">
        <f t="shared" si="39"/>
        <v>0</v>
      </c>
      <c r="BE333" s="473">
        <f t="shared" si="39"/>
        <v>0</v>
      </c>
      <c r="BF333" s="473">
        <f t="shared" si="39"/>
        <v>0</v>
      </c>
      <c r="BG333" s="473">
        <f t="shared" si="39"/>
        <v>0</v>
      </c>
      <c r="BH333" s="473">
        <f t="shared" si="39"/>
        <v>0</v>
      </c>
      <c r="BI333" s="473">
        <f t="shared" si="39"/>
        <v>0</v>
      </c>
      <c r="BJ333" s="473">
        <f t="shared" si="39"/>
        <v>0</v>
      </c>
      <c r="BK333" s="473">
        <f t="shared" si="39"/>
        <v>0</v>
      </c>
      <c r="BL333" s="473">
        <f t="shared" si="39"/>
        <v>0</v>
      </c>
      <c r="BM333" s="473">
        <f t="shared" si="39"/>
        <v>0</v>
      </c>
      <c r="BN333" s="474">
        <f t="shared" si="39"/>
        <v>8635000000</v>
      </c>
    </row>
    <row r="334" spans="1:66" ht="56.25" customHeight="1" thickBot="1">
      <c r="A334" s="386"/>
      <c r="C334" s="510"/>
      <c r="D334" s="510"/>
      <c r="E334" s="510"/>
      <c r="F334" s="510"/>
      <c r="G334" s="510"/>
      <c r="H334" s="510"/>
      <c r="I334" s="510"/>
      <c r="J334" s="510"/>
      <c r="K334" s="510"/>
      <c r="L334" s="509" t="s">
        <v>1493</v>
      </c>
      <c r="M334" s="510"/>
      <c r="N334" s="510"/>
      <c r="O334" s="510"/>
      <c r="P334" s="510"/>
      <c r="Q334" s="510"/>
      <c r="R334" s="510"/>
      <c r="S334" s="510"/>
      <c r="T334" s="510"/>
      <c r="U334" s="510"/>
      <c r="V334" s="510"/>
      <c r="W334" s="510"/>
      <c r="X334" s="511"/>
      <c r="Y334" s="475">
        <f>+Y161+Y245+Y295+Y333</f>
        <v>2888786994</v>
      </c>
      <c r="Z334" s="475">
        <f aca="true" t="shared" si="40" ref="Z334:BM334">+Z161+Z245+Z295+Z333</f>
        <v>50000000</v>
      </c>
      <c r="AA334" s="475">
        <f t="shared" si="40"/>
        <v>291135708</v>
      </c>
      <c r="AB334" s="475">
        <f t="shared" si="40"/>
        <v>53175486</v>
      </c>
      <c r="AC334" s="475">
        <f t="shared" si="40"/>
        <v>1548410758</v>
      </c>
      <c r="AD334" s="475">
        <f t="shared" si="40"/>
        <v>772592212</v>
      </c>
      <c r="AE334" s="475">
        <f t="shared" si="40"/>
        <v>534186840</v>
      </c>
      <c r="AF334" s="475">
        <f t="shared" si="40"/>
        <v>217793702</v>
      </c>
      <c r="AG334" s="475">
        <f t="shared" si="40"/>
        <v>900856837</v>
      </c>
      <c r="AH334" s="475">
        <f t="shared" si="40"/>
        <v>103803097</v>
      </c>
      <c r="AI334" s="475">
        <f t="shared" si="40"/>
        <v>77852324</v>
      </c>
      <c r="AJ334" s="475">
        <f t="shared" si="40"/>
        <v>1725263741</v>
      </c>
      <c r="AK334" s="475">
        <f t="shared" si="40"/>
        <v>0</v>
      </c>
      <c r="AL334" s="475">
        <f t="shared" si="40"/>
        <v>5000854781</v>
      </c>
      <c r="AM334" s="475">
        <f t="shared" si="40"/>
        <v>199153123421</v>
      </c>
      <c r="AN334" s="475">
        <f t="shared" si="40"/>
        <v>70856481</v>
      </c>
      <c r="AO334" s="475">
        <f t="shared" si="40"/>
        <v>0</v>
      </c>
      <c r="AP334" s="475">
        <f t="shared" si="40"/>
        <v>200000000</v>
      </c>
      <c r="AQ334" s="475">
        <f t="shared" si="40"/>
        <v>3133140579</v>
      </c>
      <c r="AR334" s="475">
        <f t="shared" si="40"/>
        <v>1440000000</v>
      </c>
      <c r="AS334" s="475">
        <f t="shared" si="40"/>
        <v>20000000</v>
      </c>
      <c r="AT334" s="475">
        <f t="shared" si="40"/>
        <v>30000000</v>
      </c>
      <c r="AU334" s="475">
        <f t="shared" si="40"/>
        <v>30000000</v>
      </c>
      <c r="AV334" s="475">
        <f t="shared" si="40"/>
        <v>2000000</v>
      </c>
      <c r="AW334" s="475">
        <f t="shared" si="40"/>
        <v>30000000</v>
      </c>
      <c r="AX334" s="475">
        <f t="shared" si="40"/>
        <v>15000000</v>
      </c>
      <c r="AY334" s="475">
        <f t="shared" si="40"/>
        <v>30000000</v>
      </c>
      <c r="AZ334" s="475">
        <f t="shared" si="40"/>
        <v>5000000</v>
      </c>
      <c r="BA334" s="475">
        <f t="shared" si="40"/>
        <v>0</v>
      </c>
      <c r="BB334" s="475">
        <f t="shared" si="40"/>
        <v>30000000</v>
      </c>
      <c r="BC334" s="475">
        <f t="shared" si="40"/>
        <v>0</v>
      </c>
      <c r="BD334" s="475">
        <f t="shared" si="40"/>
        <v>2000000</v>
      </c>
      <c r="BE334" s="475">
        <f t="shared" si="40"/>
        <v>5015326</v>
      </c>
      <c r="BF334" s="475">
        <f t="shared" si="40"/>
        <v>309920825</v>
      </c>
      <c r="BG334" s="475">
        <f t="shared" si="40"/>
        <v>3046738223</v>
      </c>
      <c r="BH334" s="475">
        <f t="shared" si="40"/>
        <v>0</v>
      </c>
      <c r="BI334" s="475">
        <f t="shared" si="40"/>
        <v>0</v>
      </c>
      <c r="BJ334" s="475">
        <f t="shared" si="40"/>
        <v>0</v>
      </c>
      <c r="BK334" s="475">
        <f t="shared" si="40"/>
        <v>0</v>
      </c>
      <c r="BL334" s="475">
        <f t="shared" si="40"/>
        <v>0</v>
      </c>
      <c r="BM334" s="475">
        <f t="shared" si="40"/>
        <v>0</v>
      </c>
      <c r="BN334" s="475">
        <f>+BN161+BN245+BN295+BN333</f>
        <v>221717507335</v>
      </c>
    </row>
    <row r="335" spans="1:23" ht="15">
      <c r="A335" s="386"/>
      <c r="B335" s="386"/>
      <c r="C335" s="386"/>
      <c r="D335" s="386"/>
      <c r="E335" s="386"/>
      <c r="F335" s="386"/>
      <c r="G335" s="386"/>
      <c r="H335" s="386"/>
      <c r="I335" s="386"/>
      <c r="J335" s="386"/>
      <c r="K335" s="645"/>
      <c r="L335" s="404"/>
      <c r="M335" s="386"/>
      <c r="N335" s="386"/>
      <c r="O335" s="386"/>
      <c r="P335" s="386"/>
      <c r="Q335" s="386"/>
      <c r="R335" s="410"/>
      <c r="S335" s="410"/>
      <c r="T335" s="410"/>
      <c r="U335" s="410"/>
      <c r="V335" s="410"/>
      <c r="W335" s="386"/>
    </row>
    <row r="336" ht="15">
      <c r="BP336" s="682">
        <f>SUM(BP4:BP334)</f>
        <v>5000854781</v>
      </c>
    </row>
  </sheetData>
  <sheetProtection/>
  <mergeCells count="2327">
    <mergeCell ref="A1:W1"/>
    <mergeCell ref="A2:A3"/>
    <mergeCell ref="B2:B3"/>
    <mergeCell ref="C2:C3"/>
    <mergeCell ref="D2:D3"/>
    <mergeCell ref="E2:E3"/>
    <mergeCell ref="F2:H2"/>
    <mergeCell ref="I2:I3"/>
    <mergeCell ref="J2:J3"/>
    <mergeCell ref="K2:K3"/>
    <mergeCell ref="L2:L3"/>
    <mergeCell ref="M2:M3"/>
    <mergeCell ref="N2:Q2"/>
    <mergeCell ref="R2:V2"/>
    <mergeCell ref="W2:W3"/>
    <mergeCell ref="X2:X3"/>
    <mergeCell ref="Y2:AJ2"/>
    <mergeCell ref="AK2:AL2"/>
    <mergeCell ref="AQ2:AR2"/>
    <mergeCell ref="AS2:BB2"/>
    <mergeCell ref="BC2:BG2"/>
    <mergeCell ref="BH2:BM2"/>
    <mergeCell ref="BN2:BN3"/>
    <mergeCell ref="A7:A159"/>
    <mergeCell ref="B7:B159"/>
    <mergeCell ref="C7:C31"/>
    <mergeCell ref="D7:D31"/>
    <mergeCell ref="E7:E9"/>
    <mergeCell ref="F7:F9"/>
    <mergeCell ref="G7:G9"/>
    <mergeCell ref="H7:H9"/>
    <mergeCell ref="R7:R31"/>
    <mergeCell ref="S7:S31"/>
    <mergeCell ref="T7:T31"/>
    <mergeCell ref="U7:U31"/>
    <mergeCell ref="V7:V31"/>
    <mergeCell ref="J8:J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AO8:AO9"/>
    <mergeCell ref="AP8:AP9"/>
    <mergeCell ref="AQ8:AQ9"/>
    <mergeCell ref="AR8:AR9"/>
    <mergeCell ref="AS8:AS9"/>
    <mergeCell ref="AT8:AT9"/>
    <mergeCell ref="AU8:AU9"/>
    <mergeCell ref="AV8:AV9"/>
    <mergeCell ref="AW8:AW9"/>
    <mergeCell ref="AX8:AX9"/>
    <mergeCell ref="AY8:AY9"/>
    <mergeCell ref="AZ8:AZ9"/>
    <mergeCell ref="BA8:BA9"/>
    <mergeCell ref="BB8:BB9"/>
    <mergeCell ref="BC8:BC9"/>
    <mergeCell ref="BD8:BD9"/>
    <mergeCell ref="BE8:BE9"/>
    <mergeCell ref="BF8:BF9"/>
    <mergeCell ref="BG8:BG9"/>
    <mergeCell ref="BH8:BH9"/>
    <mergeCell ref="BI8:BI9"/>
    <mergeCell ref="BJ8:BJ9"/>
    <mergeCell ref="BK8:BK9"/>
    <mergeCell ref="BL8:BL9"/>
    <mergeCell ref="BM8:BM9"/>
    <mergeCell ref="BN8:BN9"/>
    <mergeCell ref="E11:E16"/>
    <mergeCell ref="F11:F16"/>
    <mergeCell ref="G11:G16"/>
    <mergeCell ref="H11:H16"/>
    <mergeCell ref="J11:J13"/>
    <mergeCell ref="X11:X13"/>
    <mergeCell ref="J14:J29"/>
    <mergeCell ref="X14:X29"/>
    <mergeCell ref="E17:E20"/>
    <mergeCell ref="F17:F20"/>
    <mergeCell ref="Y11:Y13"/>
    <mergeCell ref="Z11:Z13"/>
    <mergeCell ref="AA11:AA13"/>
    <mergeCell ref="AB11:AB13"/>
    <mergeCell ref="AC11:AC13"/>
    <mergeCell ref="AD11:AD13"/>
    <mergeCell ref="AE11:AE13"/>
    <mergeCell ref="AF11:AF13"/>
    <mergeCell ref="AG11:AG13"/>
    <mergeCell ref="AH11:AH13"/>
    <mergeCell ref="AI11:AI13"/>
    <mergeCell ref="AJ11:AJ13"/>
    <mergeCell ref="AK11:AK13"/>
    <mergeCell ref="AL11:AL13"/>
    <mergeCell ref="AM11:AM13"/>
    <mergeCell ref="AN11:AN13"/>
    <mergeCell ref="AO11:AO13"/>
    <mergeCell ref="AP11:AP13"/>
    <mergeCell ref="AQ11:AQ13"/>
    <mergeCell ref="AR11:AR13"/>
    <mergeCell ref="AS11:AS13"/>
    <mergeCell ref="AT11:AT13"/>
    <mergeCell ref="AU11:AU13"/>
    <mergeCell ref="AV11:AV13"/>
    <mergeCell ref="AW11:AW13"/>
    <mergeCell ref="AX11:AX13"/>
    <mergeCell ref="AY11:AY13"/>
    <mergeCell ref="AZ11:AZ13"/>
    <mergeCell ref="BA11:BA13"/>
    <mergeCell ref="BB11:BB13"/>
    <mergeCell ref="BC11:BC13"/>
    <mergeCell ref="BD11:BD13"/>
    <mergeCell ref="BE11:BE13"/>
    <mergeCell ref="BF11:BF13"/>
    <mergeCell ref="BG11:BG13"/>
    <mergeCell ref="BH11:BH13"/>
    <mergeCell ref="BI11:BI13"/>
    <mergeCell ref="BJ11:BJ13"/>
    <mergeCell ref="BK11:BK13"/>
    <mergeCell ref="BL11:BL13"/>
    <mergeCell ref="BM11:BM13"/>
    <mergeCell ref="BN11:BN13"/>
    <mergeCell ref="Y14:Y29"/>
    <mergeCell ref="Z14:Z29"/>
    <mergeCell ref="AA14:AA29"/>
    <mergeCell ref="AB14:AB29"/>
    <mergeCell ref="AC14:AC29"/>
    <mergeCell ref="AD14:AD29"/>
    <mergeCell ref="AE14:AE29"/>
    <mergeCell ref="AF14:AF29"/>
    <mergeCell ref="AG14:AG29"/>
    <mergeCell ref="AH14:AH29"/>
    <mergeCell ref="AI14:AI29"/>
    <mergeCell ref="AJ14:AJ29"/>
    <mergeCell ref="AK14:AK29"/>
    <mergeCell ref="AL14:AL29"/>
    <mergeCell ref="AM14:AM29"/>
    <mergeCell ref="AN14:AN29"/>
    <mergeCell ref="AO14:AO29"/>
    <mergeCell ref="AP14:AP29"/>
    <mergeCell ref="AQ14:AQ29"/>
    <mergeCell ref="AR14:AR29"/>
    <mergeCell ref="AS14:AS29"/>
    <mergeCell ref="AT14:AT29"/>
    <mergeCell ref="AU14:AU29"/>
    <mergeCell ref="AV14:AV29"/>
    <mergeCell ref="AW14:AW29"/>
    <mergeCell ref="AX14:AX29"/>
    <mergeCell ref="AY14:AY29"/>
    <mergeCell ref="AZ14:AZ29"/>
    <mergeCell ref="BA14:BA29"/>
    <mergeCell ref="BB14:BB29"/>
    <mergeCell ref="BC14:BC29"/>
    <mergeCell ref="BD14:BD29"/>
    <mergeCell ref="BE14:BE29"/>
    <mergeCell ref="BF14:BF29"/>
    <mergeCell ref="BG14:BG29"/>
    <mergeCell ref="BH14:BH29"/>
    <mergeCell ref="BI14:BI29"/>
    <mergeCell ref="BJ14:BJ29"/>
    <mergeCell ref="BK14:BK29"/>
    <mergeCell ref="BL14:BL29"/>
    <mergeCell ref="BM14:BM29"/>
    <mergeCell ref="BN14:BN29"/>
    <mergeCell ref="G17:G20"/>
    <mergeCell ref="H17:H20"/>
    <mergeCell ref="E21:E28"/>
    <mergeCell ref="F21:F28"/>
    <mergeCell ref="G21:G28"/>
    <mergeCell ref="H21:H28"/>
    <mergeCell ref="E29:E31"/>
    <mergeCell ref="F29:F31"/>
    <mergeCell ref="G29:G31"/>
    <mergeCell ref="H29:H31"/>
    <mergeCell ref="D32:X32"/>
    <mergeCell ref="C33:C88"/>
    <mergeCell ref="D33:D88"/>
    <mergeCell ref="E33:E44"/>
    <mergeCell ref="F33:F44"/>
    <mergeCell ref="G33:G44"/>
    <mergeCell ref="H33:H44"/>
    <mergeCell ref="I33:I67"/>
    <mergeCell ref="J33:J67"/>
    <mergeCell ref="R33:R67"/>
    <mergeCell ref="S33:S67"/>
    <mergeCell ref="T33:T67"/>
    <mergeCell ref="U33:U67"/>
    <mergeCell ref="V33:V67"/>
    <mergeCell ref="X33:X35"/>
    <mergeCell ref="Y33:Y35"/>
    <mergeCell ref="Z33:Z35"/>
    <mergeCell ref="AA33:AA35"/>
    <mergeCell ref="X59:X60"/>
    <mergeCell ref="Y59:Y60"/>
    <mergeCell ref="Z59:Z60"/>
    <mergeCell ref="AA59:AA60"/>
    <mergeCell ref="AB33:AB35"/>
    <mergeCell ref="AC33:AC35"/>
    <mergeCell ref="AD33:AD35"/>
    <mergeCell ref="AE33:AE35"/>
    <mergeCell ref="AF33:AF35"/>
    <mergeCell ref="AG33:AG35"/>
    <mergeCell ref="AH33:AH35"/>
    <mergeCell ref="AI33:AI35"/>
    <mergeCell ref="AJ33:AJ35"/>
    <mergeCell ref="AK33:AK35"/>
    <mergeCell ref="AL33:AL35"/>
    <mergeCell ref="AM33:AM35"/>
    <mergeCell ref="AN33:AN35"/>
    <mergeCell ref="AO33:AO35"/>
    <mergeCell ref="AP33:AP35"/>
    <mergeCell ref="AQ33:AQ35"/>
    <mergeCell ref="AR33:AR35"/>
    <mergeCell ref="AS33:AS35"/>
    <mergeCell ref="AT33:AT35"/>
    <mergeCell ref="AU33:AU35"/>
    <mergeCell ref="AV33:AV35"/>
    <mergeCell ref="AW33:AW35"/>
    <mergeCell ref="AX33:AX35"/>
    <mergeCell ref="AY33:AY35"/>
    <mergeCell ref="AZ33:AZ35"/>
    <mergeCell ref="BA33:BA35"/>
    <mergeCell ref="BB33:BB35"/>
    <mergeCell ref="BC33:BC35"/>
    <mergeCell ref="BD33:BD35"/>
    <mergeCell ref="BE33:BE35"/>
    <mergeCell ref="BF33:BF35"/>
    <mergeCell ref="BG33:BG35"/>
    <mergeCell ref="BH33:BH35"/>
    <mergeCell ref="BI33:BI35"/>
    <mergeCell ref="BJ33:BJ35"/>
    <mergeCell ref="BK33:BK35"/>
    <mergeCell ref="BL33:BL35"/>
    <mergeCell ref="BM33:BM35"/>
    <mergeCell ref="BN33:BN35"/>
    <mergeCell ref="L36:L37"/>
    <mergeCell ref="O36:O37"/>
    <mergeCell ref="X38:X58"/>
    <mergeCell ref="Y38:Y58"/>
    <mergeCell ref="Z38:Z58"/>
    <mergeCell ref="AA38:AA58"/>
    <mergeCell ref="AB38:AB58"/>
    <mergeCell ref="AC38:AC58"/>
    <mergeCell ref="AD38:AD58"/>
    <mergeCell ref="AE38:AE58"/>
    <mergeCell ref="AF38:AF58"/>
    <mergeCell ref="AG38:AG58"/>
    <mergeCell ref="AH38:AH58"/>
    <mergeCell ref="AI38:AI58"/>
    <mergeCell ref="AJ38:AJ58"/>
    <mergeCell ref="AK38:AK58"/>
    <mergeCell ref="AL38:AL58"/>
    <mergeCell ref="AM38:AM58"/>
    <mergeCell ref="AN38:AN58"/>
    <mergeCell ref="AO38:AO58"/>
    <mergeCell ref="AP38:AP58"/>
    <mergeCell ref="AQ38:AQ58"/>
    <mergeCell ref="AR38:AR58"/>
    <mergeCell ref="AS38:AS58"/>
    <mergeCell ref="AT38:AT58"/>
    <mergeCell ref="AU38:AU58"/>
    <mergeCell ref="AV38:AV58"/>
    <mergeCell ref="AW38:AW58"/>
    <mergeCell ref="AX38:AX58"/>
    <mergeCell ref="AY38:AY58"/>
    <mergeCell ref="AZ38:AZ58"/>
    <mergeCell ref="BA38:BA58"/>
    <mergeCell ref="BB38:BB58"/>
    <mergeCell ref="BC38:BC58"/>
    <mergeCell ref="BD38:BD58"/>
    <mergeCell ref="BE38:BE58"/>
    <mergeCell ref="BF38:BF58"/>
    <mergeCell ref="BG38:BG58"/>
    <mergeCell ref="BH38:BH58"/>
    <mergeCell ref="BI38:BI58"/>
    <mergeCell ref="BJ38:BJ58"/>
    <mergeCell ref="BK38:BK58"/>
    <mergeCell ref="BL38:BL58"/>
    <mergeCell ref="BM38:BM58"/>
    <mergeCell ref="BN38:BN58"/>
    <mergeCell ref="E46:E48"/>
    <mergeCell ref="F46:F48"/>
    <mergeCell ref="G46:G48"/>
    <mergeCell ref="H46:H48"/>
    <mergeCell ref="E50:E67"/>
    <mergeCell ref="F50:F67"/>
    <mergeCell ref="G50:G67"/>
    <mergeCell ref="H50:H67"/>
    <mergeCell ref="AB59:AB60"/>
    <mergeCell ref="AC59:AC60"/>
    <mergeCell ref="AD59:AD60"/>
    <mergeCell ref="AE59:AE60"/>
    <mergeCell ref="AF59:AF60"/>
    <mergeCell ref="AG59:AG60"/>
    <mergeCell ref="AH59:AH60"/>
    <mergeCell ref="AI59:AI60"/>
    <mergeCell ref="AJ59:AJ60"/>
    <mergeCell ref="AK59:AK60"/>
    <mergeCell ref="AL59:AL60"/>
    <mergeCell ref="AM59:AM60"/>
    <mergeCell ref="AN59:AN60"/>
    <mergeCell ref="AO59:AO60"/>
    <mergeCell ref="AP59:AP60"/>
    <mergeCell ref="AQ59:AQ60"/>
    <mergeCell ref="AR59:AR60"/>
    <mergeCell ref="AS59:AS60"/>
    <mergeCell ref="AT59:AT60"/>
    <mergeCell ref="AU59:AU60"/>
    <mergeCell ref="AV59:AV60"/>
    <mergeCell ref="AW59:AW60"/>
    <mergeCell ref="AX59:AX60"/>
    <mergeCell ref="AY59:AY60"/>
    <mergeCell ref="AZ59:AZ60"/>
    <mergeCell ref="BA59:BA60"/>
    <mergeCell ref="BB59:BB60"/>
    <mergeCell ref="BC59:BC60"/>
    <mergeCell ref="BD59:BD60"/>
    <mergeCell ref="BE59:BE60"/>
    <mergeCell ref="BF59:BF60"/>
    <mergeCell ref="BG59:BG60"/>
    <mergeCell ref="BH59:BH60"/>
    <mergeCell ref="BI59:BI60"/>
    <mergeCell ref="BJ59:BJ60"/>
    <mergeCell ref="BK59:BK60"/>
    <mergeCell ref="BL59:BL60"/>
    <mergeCell ref="BM59:BM60"/>
    <mergeCell ref="BN59:BN60"/>
    <mergeCell ref="J68:X68"/>
    <mergeCell ref="E69:E75"/>
    <mergeCell ref="F69:F75"/>
    <mergeCell ref="G69:G75"/>
    <mergeCell ref="H69:H75"/>
    <mergeCell ref="I69:I75"/>
    <mergeCell ref="J69:J75"/>
    <mergeCell ref="M69:M70"/>
    <mergeCell ref="R69:R75"/>
    <mergeCell ref="S69:S75"/>
    <mergeCell ref="T69:T75"/>
    <mergeCell ref="U69:U75"/>
    <mergeCell ref="V69:V75"/>
    <mergeCell ref="X69:X72"/>
    <mergeCell ref="Y69:Y72"/>
    <mergeCell ref="Z69:Z72"/>
    <mergeCell ref="AA69:AA72"/>
    <mergeCell ref="AB69:AB72"/>
    <mergeCell ref="AC69:AC72"/>
    <mergeCell ref="AD69:AD72"/>
    <mergeCell ref="AE69:AE72"/>
    <mergeCell ref="AF69:AF72"/>
    <mergeCell ref="AG69:AG72"/>
    <mergeCell ref="AH69:AH72"/>
    <mergeCell ref="AI69:AI72"/>
    <mergeCell ref="AJ69:AJ72"/>
    <mergeCell ref="AK69:AK72"/>
    <mergeCell ref="AL69:AL72"/>
    <mergeCell ref="AM69:AM72"/>
    <mergeCell ref="AN69:AN72"/>
    <mergeCell ref="AO69:AO72"/>
    <mergeCell ref="AP69:AP72"/>
    <mergeCell ref="AQ69:AQ72"/>
    <mergeCell ref="AR69:AR72"/>
    <mergeCell ref="AS69:AS72"/>
    <mergeCell ref="AT69:AT72"/>
    <mergeCell ref="AU69:AU72"/>
    <mergeCell ref="AV69:AV72"/>
    <mergeCell ref="AW69:AW72"/>
    <mergeCell ref="AX69:AX72"/>
    <mergeCell ref="AY69:AY72"/>
    <mergeCell ref="AZ69:AZ72"/>
    <mergeCell ref="BA69:BA72"/>
    <mergeCell ref="BB69:BB72"/>
    <mergeCell ref="BC69:BC72"/>
    <mergeCell ref="BD69:BD72"/>
    <mergeCell ref="BE69:BE72"/>
    <mergeCell ref="BF69:BF72"/>
    <mergeCell ref="BG69:BG72"/>
    <mergeCell ref="BH69:BH72"/>
    <mergeCell ref="BI69:BI72"/>
    <mergeCell ref="BJ69:BJ72"/>
    <mergeCell ref="BK69:BK72"/>
    <mergeCell ref="BL69:BL72"/>
    <mergeCell ref="BM69:BM72"/>
    <mergeCell ref="BN69:BN72"/>
    <mergeCell ref="J76:X76"/>
    <mergeCell ref="E77:E88"/>
    <mergeCell ref="F77:F88"/>
    <mergeCell ref="G77:G88"/>
    <mergeCell ref="H77:H88"/>
    <mergeCell ref="I77:I88"/>
    <mergeCell ref="J77:J88"/>
    <mergeCell ref="M77:M78"/>
    <mergeCell ref="R77:R88"/>
    <mergeCell ref="S77:S88"/>
    <mergeCell ref="T77:T88"/>
    <mergeCell ref="U77:U88"/>
    <mergeCell ref="V77:V88"/>
    <mergeCell ref="X77:X78"/>
    <mergeCell ref="Y77:Y78"/>
    <mergeCell ref="Z77:Z78"/>
    <mergeCell ref="AA77:AA78"/>
    <mergeCell ref="AB77:AB78"/>
    <mergeCell ref="AC77:AC78"/>
    <mergeCell ref="AD77:AD78"/>
    <mergeCell ref="AE77:AE78"/>
    <mergeCell ref="AF77:AF78"/>
    <mergeCell ref="AG77:AG78"/>
    <mergeCell ref="AH77:AH78"/>
    <mergeCell ref="AI77:AI78"/>
    <mergeCell ref="AJ77:AJ78"/>
    <mergeCell ref="AK77:AK78"/>
    <mergeCell ref="AL77:AL78"/>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BA77:BA78"/>
    <mergeCell ref="BB77:BB78"/>
    <mergeCell ref="BC77:BC78"/>
    <mergeCell ref="BD77:BD78"/>
    <mergeCell ref="BE77:BE78"/>
    <mergeCell ref="BF77:BF78"/>
    <mergeCell ref="BG77:BG78"/>
    <mergeCell ref="BH77:BH78"/>
    <mergeCell ref="BI77:BI78"/>
    <mergeCell ref="BJ77:BJ78"/>
    <mergeCell ref="BK77:BK78"/>
    <mergeCell ref="BL77:BL78"/>
    <mergeCell ref="BM77:BM78"/>
    <mergeCell ref="BN77:BN78"/>
    <mergeCell ref="X80:X83"/>
    <mergeCell ref="Y80:Y83"/>
    <mergeCell ref="Z80:Z83"/>
    <mergeCell ref="AA80:AA83"/>
    <mergeCell ref="AB80:AB83"/>
    <mergeCell ref="AC80:AC83"/>
    <mergeCell ref="AD80:AD83"/>
    <mergeCell ref="AE80:AE83"/>
    <mergeCell ref="AF80:AF83"/>
    <mergeCell ref="AG80:AG83"/>
    <mergeCell ref="AH80:AH83"/>
    <mergeCell ref="AI80:AI83"/>
    <mergeCell ref="AJ80:AJ83"/>
    <mergeCell ref="AK80:AK83"/>
    <mergeCell ref="AL80:AL83"/>
    <mergeCell ref="AM80:AM83"/>
    <mergeCell ref="AN80:AN83"/>
    <mergeCell ref="AO80:AO83"/>
    <mergeCell ref="AP80:AP83"/>
    <mergeCell ref="AQ80:AQ83"/>
    <mergeCell ref="AR80:AR83"/>
    <mergeCell ref="AS80:AS83"/>
    <mergeCell ref="AT80:AT83"/>
    <mergeCell ref="AU80:AU83"/>
    <mergeCell ref="AV80:AV83"/>
    <mergeCell ref="AW80:AW83"/>
    <mergeCell ref="AX80:AX83"/>
    <mergeCell ref="AY80:AY83"/>
    <mergeCell ref="AZ80:AZ83"/>
    <mergeCell ref="BA80:BA83"/>
    <mergeCell ref="BB80:BB83"/>
    <mergeCell ref="BC80:BC83"/>
    <mergeCell ref="BD80:BD83"/>
    <mergeCell ref="BE80:BE83"/>
    <mergeCell ref="BF80:BF83"/>
    <mergeCell ref="BG80:BG83"/>
    <mergeCell ref="BH80:BH83"/>
    <mergeCell ref="BI80:BI83"/>
    <mergeCell ref="BJ80:BJ83"/>
    <mergeCell ref="BK80:BK83"/>
    <mergeCell ref="BL80:BL83"/>
    <mergeCell ref="BM80:BM83"/>
    <mergeCell ref="BN80:BN83"/>
    <mergeCell ref="X85:X86"/>
    <mergeCell ref="Y85:Y86"/>
    <mergeCell ref="Z85:Z86"/>
    <mergeCell ref="AA85:AA86"/>
    <mergeCell ref="AB85:AB86"/>
    <mergeCell ref="AC85:AC86"/>
    <mergeCell ref="AD85:AD86"/>
    <mergeCell ref="AE85:AE86"/>
    <mergeCell ref="AF85:AF86"/>
    <mergeCell ref="AG85:AG86"/>
    <mergeCell ref="AH85:AH86"/>
    <mergeCell ref="AI85:AI86"/>
    <mergeCell ref="AJ85:AJ86"/>
    <mergeCell ref="AK85:AK86"/>
    <mergeCell ref="AL85:AL86"/>
    <mergeCell ref="AM85:AM86"/>
    <mergeCell ref="AN85:AN86"/>
    <mergeCell ref="AO85:AO86"/>
    <mergeCell ref="AP85:AP86"/>
    <mergeCell ref="AQ85:AQ86"/>
    <mergeCell ref="AR85:AR86"/>
    <mergeCell ref="AS85:AS86"/>
    <mergeCell ref="AT85:AT86"/>
    <mergeCell ref="AU85:AU86"/>
    <mergeCell ref="AV85:AV86"/>
    <mergeCell ref="AW85:AW86"/>
    <mergeCell ref="BH85:BH86"/>
    <mergeCell ref="BI85:BI86"/>
    <mergeCell ref="AX85:AX86"/>
    <mergeCell ref="AY85:AY86"/>
    <mergeCell ref="AZ85:AZ86"/>
    <mergeCell ref="BA85:BA86"/>
    <mergeCell ref="BB85:BB86"/>
    <mergeCell ref="BC85:BC86"/>
    <mergeCell ref="BJ85:BJ86"/>
    <mergeCell ref="BK85:BK86"/>
    <mergeCell ref="BL85:BL86"/>
    <mergeCell ref="BM85:BM86"/>
    <mergeCell ref="BN85:BN86"/>
    <mergeCell ref="J89:X89"/>
    <mergeCell ref="BD85:BD86"/>
    <mergeCell ref="BE85:BE86"/>
    <mergeCell ref="BF85:BF86"/>
    <mergeCell ref="BG85:BG86"/>
    <mergeCell ref="C90:C143"/>
    <mergeCell ref="D90:D143"/>
    <mergeCell ref="E90:E103"/>
    <mergeCell ref="F90:F103"/>
    <mergeCell ref="G90:G103"/>
    <mergeCell ref="I90:I103"/>
    <mergeCell ref="G138:G140"/>
    <mergeCell ref="H138:H140"/>
    <mergeCell ref="J90:J103"/>
    <mergeCell ref="R90:R103"/>
    <mergeCell ref="S90:S103"/>
    <mergeCell ref="T90:T103"/>
    <mergeCell ref="U90:U103"/>
    <mergeCell ref="V90:V103"/>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T90:AT91"/>
    <mergeCell ref="AU90:AU91"/>
    <mergeCell ref="AV90:AV91"/>
    <mergeCell ref="AW90:AW91"/>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BL90:BL91"/>
    <mergeCell ref="BM90:BM91"/>
    <mergeCell ref="BN90:BN91"/>
    <mergeCell ref="X92:X100"/>
    <mergeCell ref="Y92:Y100"/>
    <mergeCell ref="Z92:Z100"/>
    <mergeCell ref="AA92:AA100"/>
    <mergeCell ref="AB92:AB100"/>
    <mergeCell ref="AC92:AC100"/>
    <mergeCell ref="AD92:AD100"/>
    <mergeCell ref="AE92:AE100"/>
    <mergeCell ref="AF92:AF100"/>
    <mergeCell ref="AG92:AG100"/>
    <mergeCell ref="AH92:AH100"/>
    <mergeCell ref="AI92:AI100"/>
    <mergeCell ref="AJ92:AJ100"/>
    <mergeCell ref="AK92:AK100"/>
    <mergeCell ref="AL92:AL100"/>
    <mergeCell ref="AM92:AM100"/>
    <mergeCell ref="AN92:AN100"/>
    <mergeCell ref="AO92:AO100"/>
    <mergeCell ref="AP92:AP100"/>
    <mergeCell ref="AQ92:AQ100"/>
    <mergeCell ref="AR92:AR100"/>
    <mergeCell ref="AS92:AS100"/>
    <mergeCell ref="AT92:AT100"/>
    <mergeCell ref="AU92:AU100"/>
    <mergeCell ref="AV92:AV100"/>
    <mergeCell ref="AW92:AW100"/>
    <mergeCell ref="AX92:AX100"/>
    <mergeCell ref="AY92:AY100"/>
    <mergeCell ref="AZ92:AZ100"/>
    <mergeCell ref="BA92:BA100"/>
    <mergeCell ref="BB92:BB100"/>
    <mergeCell ref="BC92:BC100"/>
    <mergeCell ref="BD92:BD100"/>
    <mergeCell ref="BE92:BE100"/>
    <mergeCell ref="BF92:BF100"/>
    <mergeCell ref="BG92:BG100"/>
    <mergeCell ref="BH92:BH100"/>
    <mergeCell ref="BI92:BI100"/>
    <mergeCell ref="BJ92:BJ100"/>
    <mergeCell ref="BK92:BK100"/>
    <mergeCell ref="BL92:BL100"/>
    <mergeCell ref="BM92:BM100"/>
    <mergeCell ref="BN92:BN100"/>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T102:AT103"/>
    <mergeCell ref="AU102:AU103"/>
    <mergeCell ref="AV102:AV103"/>
    <mergeCell ref="AW102:AW103"/>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BL102:BL103"/>
    <mergeCell ref="BM102:BM103"/>
    <mergeCell ref="BN102:BN103"/>
    <mergeCell ref="J104:X104"/>
    <mergeCell ref="E105:E110"/>
    <mergeCell ref="F105:F110"/>
    <mergeCell ref="G105:G110"/>
    <mergeCell ref="H105:H110"/>
    <mergeCell ref="I105:I110"/>
    <mergeCell ref="J105:J110"/>
    <mergeCell ref="R105:R110"/>
    <mergeCell ref="S105:S110"/>
    <mergeCell ref="T105:T110"/>
    <mergeCell ref="U105:U110"/>
    <mergeCell ref="V105:V110"/>
    <mergeCell ref="X105:X106"/>
    <mergeCell ref="Y105:Y106"/>
    <mergeCell ref="Z105:Z106"/>
    <mergeCell ref="AA105:AA106"/>
    <mergeCell ref="AB105:AB106"/>
    <mergeCell ref="AC105:AC106"/>
    <mergeCell ref="AD105:AD106"/>
    <mergeCell ref="AE105:AE106"/>
    <mergeCell ref="AF105:AF106"/>
    <mergeCell ref="AG105:AG106"/>
    <mergeCell ref="AH105:AH106"/>
    <mergeCell ref="AI105:AI106"/>
    <mergeCell ref="AJ105:AJ106"/>
    <mergeCell ref="AK105:AK106"/>
    <mergeCell ref="AL105:AL106"/>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BA105:BA106"/>
    <mergeCell ref="BB105:BB106"/>
    <mergeCell ref="BC105:BC106"/>
    <mergeCell ref="BD105:BD106"/>
    <mergeCell ref="BE105:BE106"/>
    <mergeCell ref="BF105:BF106"/>
    <mergeCell ref="BG105:BG106"/>
    <mergeCell ref="BH105:BH106"/>
    <mergeCell ref="BI105:BI106"/>
    <mergeCell ref="BJ105:BJ106"/>
    <mergeCell ref="BK105:BK106"/>
    <mergeCell ref="BL105:BL106"/>
    <mergeCell ref="BM105:BM106"/>
    <mergeCell ref="BN105:BN106"/>
    <mergeCell ref="J111:X111"/>
    <mergeCell ref="E112:E119"/>
    <mergeCell ref="F112:F119"/>
    <mergeCell ref="G112:G119"/>
    <mergeCell ref="H112:H119"/>
    <mergeCell ref="I112:I119"/>
    <mergeCell ref="J112:J119"/>
    <mergeCell ref="R112:R119"/>
    <mergeCell ref="S112:S119"/>
    <mergeCell ref="T112:T119"/>
    <mergeCell ref="U112:U119"/>
    <mergeCell ref="V112:V119"/>
    <mergeCell ref="X112:X119"/>
    <mergeCell ref="Y112:Y119"/>
    <mergeCell ref="Z112:Z119"/>
    <mergeCell ref="AA112:AA119"/>
    <mergeCell ref="AB112:AB119"/>
    <mergeCell ref="AC112:AC119"/>
    <mergeCell ref="AD112:AD119"/>
    <mergeCell ref="AE112:AE119"/>
    <mergeCell ref="AF112:AF119"/>
    <mergeCell ref="AG112:AG119"/>
    <mergeCell ref="AH112:AH119"/>
    <mergeCell ref="AI112:AI119"/>
    <mergeCell ref="AJ112:AJ119"/>
    <mergeCell ref="AK112:AK119"/>
    <mergeCell ref="AL112:AL119"/>
    <mergeCell ref="AM112:AM119"/>
    <mergeCell ref="AN112:AN119"/>
    <mergeCell ref="AP112:AP119"/>
    <mergeCell ref="AQ112:AQ119"/>
    <mergeCell ref="AR112:AR119"/>
    <mergeCell ref="AS112:AS119"/>
    <mergeCell ref="AT112:AT119"/>
    <mergeCell ref="AU112:AU119"/>
    <mergeCell ref="AV112:AV119"/>
    <mergeCell ref="AW112:AW119"/>
    <mergeCell ref="AX112:AX119"/>
    <mergeCell ref="AY112:AY119"/>
    <mergeCell ref="AZ112:AZ119"/>
    <mergeCell ref="BA112:BA119"/>
    <mergeCell ref="BB112:BB119"/>
    <mergeCell ref="BC112:BC119"/>
    <mergeCell ref="BD112:BD119"/>
    <mergeCell ref="BE112:BE119"/>
    <mergeCell ref="BF112:BF119"/>
    <mergeCell ref="BG112:BG119"/>
    <mergeCell ref="BH112:BH119"/>
    <mergeCell ref="BI112:BI119"/>
    <mergeCell ref="BJ112:BJ119"/>
    <mergeCell ref="BK112:BK119"/>
    <mergeCell ref="BL112:BL119"/>
    <mergeCell ref="BM112:BM119"/>
    <mergeCell ref="BN112:BN119"/>
    <mergeCell ref="J120:X120"/>
    <mergeCell ref="E121:E127"/>
    <mergeCell ref="F121:F127"/>
    <mergeCell ref="G121:G127"/>
    <mergeCell ref="H121:H127"/>
    <mergeCell ref="I121:I127"/>
    <mergeCell ref="J121:J127"/>
    <mergeCell ref="R121:R127"/>
    <mergeCell ref="S121:S127"/>
    <mergeCell ref="T121:T127"/>
    <mergeCell ref="U121:U127"/>
    <mergeCell ref="V121:V127"/>
    <mergeCell ref="X121:X127"/>
    <mergeCell ref="Y121:Y127"/>
    <mergeCell ref="Z121:Z127"/>
    <mergeCell ref="AA121:AA127"/>
    <mergeCell ref="AB121:AB127"/>
    <mergeCell ref="AC121:AC127"/>
    <mergeCell ref="AD121:AD127"/>
    <mergeCell ref="AE121:AE127"/>
    <mergeCell ref="AF121:AF127"/>
    <mergeCell ref="AG121:AG127"/>
    <mergeCell ref="AH121:AH127"/>
    <mergeCell ref="AI121:AI127"/>
    <mergeCell ref="AJ121:AJ127"/>
    <mergeCell ref="AK121:AK127"/>
    <mergeCell ref="AL121:AL127"/>
    <mergeCell ref="AM121:AM127"/>
    <mergeCell ref="AN121:AN127"/>
    <mergeCell ref="AP121:AP127"/>
    <mergeCell ref="AQ121:AQ127"/>
    <mergeCell ref="AR121:AR127"/>
    <mergeCell ref="AS121:AS127"/>
    <mergeCell ref="AT121:AT127"/>
    <mergeCell ref="AU121:AU127"/>
    <mergeCell ref="AV121:AV127"/>
    <mergeCell ref="AW121:AW127"/>
    <mergeCell ref="AX121:AX127"/>
    <mergeCell ref="AY121:AY127"/>
    <mergeCell ref="AZ121:AZ127"/>
    <mergeCell ref="BA121:BA127"/>
    <mergeCell ref="BB121:BB127"/>
    <mergeCell ref="BC121:BC127"/>
    <mergeCell ref="BD121:BD127"/>
    <mergeCell ref="BE121:BE127"/>
    <mergeCell ref="BF121:BF127"/>
    <mergeCell ref="BG121:BG127"/>
    <mergeCell ref="BH121:BH127"/>
    <mergeCell ref="BI121:BI127"/>
    <mergeCell ref="BJ121:BJ127"/>
    <mergeCell ref="BK121:BK127"/>
    <mergeCell ref="BL121:BL127"/>
    <mergeCell ref="BM121:BM127"/>
    <mergeCell ref="BN121:BN127"/>
    <mergeCell ref="J128:X128"/>
    <mergeCell ref="E129:E132"/>
    <mergeCell ref="F129:F131"/>
    <mergeCell ref="G129:G131"/>
    <mergeCell ref="H129:H131"/>
    <mergeCell ref="I129:I140"/>
    <mergeCell ref="J129:J140"/>
    <mergeCell ref="R129:R140"/>
    <mergeCell ref="S129:S140"/>
    <mergeCell ref="T129:T140"/>
    <mergeCell ref="U129:U140"/>
    <mergeCell ref="V129:V140"/>
    <mergeCell ref="X129:X139"/>
    <mergeCell ref="Y129:Y139"/>
    <mergeCell ref="Z129:Z139"/>
    <mergeCell ref="AA129:AA139"/>
    <mergeCell ref="AB129:AB139"/>
    <mergeCell ref="AC129:AC139"/>
    <mergeCell ref="AD129:AD139"/>
    <mergeCell ref="AE129:AE139"/>
    <mergeCell ref="AF129:AF139"/>
    <mergeCell ref="AG129:AG139"/>
    <mergeCell ref="AH129:AH139"/>
    <mergeCell ref="AI129:AI139"/>
    <mergeCell ref="AJ129:AJ139"/>
    <mergeCell ref="AK129:AK139"/>
    <mergeCell ref="AL129:AL139"/>
    <mergeCell ref="AM129:AM139"/>
    <mergeCell ref="AN129:AN139"/>
    <mergeCell ref="AP129:AP139"/>
    <mergeCell ref="AQ129:AQ139"/>
    <mergeCell ref="AR129:AR139"/>
    <mergeCell ref="AS129:AS139"/>
    <mergeCell ref="AT129:AT139"/>
    <mergeCell ref="AU129:AU139"/>
    <mergeCell ref="AV129:AV139"/>
    <mergeCell ref="AW129:AW139"/>
    <mergeCell ref="AX129:AX139"/>
    <mergeCell ref="AY129:AY139"/>
    <mergeCell ref="AZ129:AZ139"/>
    <mergeCell ref="BA129:BA139"/>
    <mergeCell ref="BB129:BB139"/>
    <mergeCell ref="BC129:BC139"/>
    <mergeCell ref="BD129:BD139"/>
    <mergeCell ref="BE129:BE139"/>
    <mergeCell ref="BF129:BF139"/>
    <mergeCell ref="BG129:BG139"/>
    <mergeCell ref="BH129:BH139"/>
    <mergeCell ref="BI129:BI139"/>
    <mergeCell ref="BJ129:BJ139"/>
    <mergeCell ref="BK129:BK139"/>
    <mergeCell ref="BL129:BL139"/>
    <mergeCell ref="BM129:BM139"/>
    <mergeCell ref="BN129:BN139"/>
    <mergeCell ref="E133:E137"/>
    <mergeCell ref="G133:G137"/>
    <mergeCell ref="H133:H137"/>
    <mergeCell ref="F134:F136"/>
    <mergeCell ref="E138:E139"/>
    <mergeCell ref="F138:F140"/>
    <mergeCell ref="J141:X141"/>
    <mergeCell ref="E142:E143"/>
    <mergeCell ref="F142:F143"/>
    <mergeCell ref="G142:G143"/>
    <mergeCell ref="H142:H143"/>
    <mergeCell ref="I142:I143"/>
    <mergeCell ref="J142:J143"/>
    <mergeCell ref="R142:R143"/>
    <mergeCell ref="S142:S143"/>
    <mergeCell ref="T142:T143"/>
    <mergeCell ref="U142:U143"/>
    <mergeCell ref="V142:V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T142:AT143"/>
    <mergeCell ref="AU142:AU143"/>
    <mergeCell ref="AV142:AV143"/>
    <mergeCell ref="AW142:AW143"/>
    <mergeCell ref="AX142:AX14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BL142:BL143"/>
    <mergeCell ref="BM142:BM143"/>
    <mergeCell ref="BN142:BN143"/>
    <mergeCell ref="J144:X144"/>
    <mergeCell ref="C145:C159"/>
    <mergeCell ref="D145:D159"/>
    <mergeCell ref="E145:E153"/>
    <mergeCell ref="F145:F153"/>
    <mergeCell ref="G145:G153"/>
    <mergeCell ref="I145:I159"/>
    <mergeCell ref="J145:J159"/>
    <mergeCell ref="M145:M148"/>
    <mergeCell ref="R145:R159"/>
    <mergeCell ref="S145:S159"/>
    <mergeCell ref="T145:T159"/>
    <mergeCell ref="U145:U159"/>
    <mergeCell ref="V145:V159"/>
    <mergeCell ref="X145:X156"/>
    <mergeCell ref="Y145:Y156"/>
    <mergeCell ref="Z145:Z156"/>
    <mergeCell ref="AA145:AA156"/>
    <mergeCell ref="AB145:AB156"/>
    <mergeCell ref="AC145:AC156"/>
    <mergeCell ref="AD145:AD156"/>
    <mergeCell ref="AE145:AE156"/>
    <mergeCell ref="AF145:AF156"/>
    <mergeCell ref="AG145:AG156"/>
    <mergeCell ref="AH145:AH156"/>
    <mergeCell ref="AI145:AI156"/>
    <mergeCell ref="AJ145:AJ156"/>
    <mergeCell ref="AK145:AK156"/>
    <mergeCell ref="AL145:AL156"/>
    <mergeCell ref="AM145:AM156"/>
    <mergeCell ref="AN145:AN156"/>
    <mergeCell ref="AO145:AO156"/>
    <mergeCell ref="AP145:AP156"/>
    <mergeCell ref="AQ145:AQ156"/>
    <mergeCell ref="AR145:AR156"/>
    <mergeCell ref="AS145:AS156"/>
    <mergeCell ref="AT145:AT156"/>
    <mergeCell ref="AU145:AU156"/>
    <mergeCell ref="AV145:AV156"/>
    <mergeCell ref="AW145:AW156"/>
    <mergeCell ref="AX145:AX156"/>
    <mergeCell ref="AY145:AY156"/>
    <mergeCell ref="AZ145:AZ156"/>
    <mergeCell ref="BK145:BK156"/>
    <mergeCell ref="BL145:BL156"/>
    <mergeCell ref="BA145:BA156"/>
    <mergeCell ref="BB145:BB156"/>
    <mergeCell ref="BC145:BC156"/>
    <mergeCell ref="BD145:BD156"/>
    <mergeCell ref="BE145:BE156"/>
    <mergeCell ref="BF145:BF156"/>
    <mergeCell ref="BM145:BM156"/>
    <mergeCell ref="BN145:BN156"/>
    <mergeCell ref="E154:E159"/>
    <mergeCell ref="F154:F159"/>
    <mergeCell ref="G154:G159"/>
    <mergeCell ref="D160:X160"/>
    <mergeCell ref="BG145:BG156"/>
    <mergeCell ref="BH145:BH156"/>
    <mergeCell ref="BI145:BI156"/>
    <mergeCell ref="BJ145:BJ156"/>
    <mergeCell ref="D161:X161"/>
    <mergeCell ref="A162:A243"/>
    <mergeCell ref="B162:B243"/>
    <mergeCell ref="C162:C185"/>
    <mergeCell ref="D162:D185"/>
    <mergeCell ref="E162:E169"/>
    <mergeCell ref="F162:F168"/>
    <mergeCell ref="G162:G169"/>
    <mergeCell ref="H162:H169"/>
    <mergeCell ref="J162:J164"/>
    <mergeCell ref="J166:J167"/>
    <mergeCell ref="X166:X167"/>
    <mergeCell ref="Y166:Y167"/>
    <mergeCell ref="Z166:Z167"/>
    <mergeCell ref="AA166:AA167"/>
    <mergeCell ref="AB166:AB167"/>
    <mergeCell ref="R162:R185"/>
    <mergeCell ref="S162:S185"/>
    <mergeCell ref="T162:T185"/>
    <mergeCell ref="U162:U185"/>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T166:AT167"/>
    <mergeCell ref="AU166:AU167"/>
    <mergeCell ref="AV166:AV167"/>
    <mergeCell ref="AW166:AW167"/>
    <mergeCell ref="AX166:AX167"/>
    <mergeCell ref="AY166:AY167"/>
    <mergeCell ref="AZ166:AZ167"/>
    <mergeCell ref="BK166:BK167"/>
    <mergeCell ref="BL166:BL167"/>
    <mergeCell ref="BA166:BA167"/>
    <mergeCell ref="BB166:BB167"/>
    <mergeCell ref="BC166:BC167"/>
    <mergeCell ref="BD166:BD167"/>
    <mergeCell ref="BE166:BE167"/>
    <mergeCell ref="BF166:BF167"/>
    <mergeCell ref="BM166:BM167"/>
    <mergeCell ref="BN166:BN167"/>
    <mergeCell ref="E171:E172"/>
    <mergeCell ref="F171:F172"/>
    <mergeCell ref="G171:G172"/>
    <mergeCell ref="H171:H172"/>
    <mergeCell ref="BG166:BG167"/>
    <mergeCell ref="BH166:BH167"/>
    <mergeCell ref="BI166:BI167"/>
    <mergeCell ref="BJ166:BJ167"/>
    <mergeCell ref="E174:E175"/>
    <mergeCell ref="F174:F175"/>
    <mergeCell ref="G174:G175"/>
    <mergeCell ref="H174:H175"/>
    <mergeCell ref="J177:J178"/>
    <mergeCell ref="X177:X178"/>
    <mergeCell ref="V162:V185"/>
    <mergeCell ref="X162:X164"/>
    <mergeCell ref="E180:E181"/>
    <mergeCell ref="F180:F182"/>
    <mergeCell ref="Z177:Z178"/>
    <mergeCell ref="AA177:AA178"/>
    <mergeCell ref="AB177:AB178"/>
    <mergeCell ref="AC177:AC178"/>
    <mergeCell ref="AD177:AD178"/>
    <mergeCell ref="AE177:AE178"/>
    <mergeCell ref="AF177:AF178"/>
    <mergeCell ref="AG177:AG178"/>
    <mergeCell ref="AH177:AH178"/>
    <mergeCell ref="AI177:AI178"/>
    <mergeCell ref="AJ177:AJ178"/>
    <mergeCell ref="AK177:AK178"/>
    <mergeCell ref="AL177:AL178"/>
    <mergeCell ref="AM177:AM178"/>
    <mergeCell ref="AN177:AN178"/>
    <mergeCell ref="AO177:AO178"/>
    <mergeCell ref="AP177:AP178"/>
    <mergeCell ref="AQ177:AQ178"/>
    <mergeCell ref="AR177:AR178"/>
    <mergeCell ref="AS177:AS178"/>
    <mergeCell ref="AT177:AT178"/>
    <mergeCell ref="AU177:AU178"/>
    <mergeCell ref="AV177:AV178"/>
    <mergeCell ref="AW177:AW178"/>
    <mergeCell ref="BH177:BH178"/>
    <mergeCell ref="BI177:BI178"/>
    <mergeCell ref="AX177:AX178"/>
    <mergeCell ref="AY177:AY178"/>
    <mergeCell ref="AZ177:AZ178"/>
    <mergeCell ref="BA177:BA178"/>
    <mergeCell ref="BB177:BB178"/>
    <mergeCell ref="BC177:BC178"/>
    <mergeCell ref="BJ177:BJ178"/>
    <mergeCell ref="BK177:BK178"/>
    <mergeCell ref="BL177:BL178"/>
    <mergeCell ref="BM177:BM178"/>
    <mergeCell ref="BN177:BN178"/>
    <mergeCell ref="F178:F179"/>
    <mergeCell ref="BD177:BD178"/>
    <mergeCell ref="BE177:BE178"/>
    <mergeCell ref="BF177:BF178"/>
    <mergeCell ref="BG177:BG178"/>
    <mergeCell ref="J181:J182"/>
    <mergeCell ref="X181:X182"/>
    <mergeCell ref="Z181:Z182"/>
    <mergeCell ref="AA181:AA182"/>
    <mergeCell ref="AB181:AB182"/>
    <mergeCell ref="AC181:AC182"/>
    <mergeCell ref="AD181:AD182"/>
    <mergeCell ref="AE181:AE182"/>
    <mergeCell ref="AF181:AF182"/>
    <mergeCell ref="AG181:AG182"/>
    <mergeCell ref="AH181:AH182"/>
    <mergeCell ref="AI181:AI182"/>
    <mergeCell ref="AJ181:AJ182"/>
    <mergeCell ref="AK181:AK182"/>
    <mergeCell ref="AL181:AL182"/>
    <mergeCell ref="AM181:AM182"/>
    <mergeCell ref="AN181:AN182"/>
    <mergeCell ref="AP181:AP182"/>
    <mergeCell ref="AQ181:AQ182"/>
    <mergeCell ref="AR181:AR182"/>
    <mergeCell ref="AS181:AS182"/>
    <mergeCell ref="AT181:AT182"/>
    <mergeCell ref="AU181:AU182"/>
    <mergeCell ref="AV181:AV182"/>
    <mergeCell ref="AW181:AW182"/>
    <mergeCell ref="AX181:AX182"/>
    <mergeCell ref="AY181:AY182"/>
    <mergeCell ref="AZ181:AZ182"/>
    <mergeCell ref="BA181:BA182"/>
    <mergeCell ref="BB181:BB182"/>
    <mergeCell ref="BC181:BC182"/>
    <mergeCell ref="BD181:BD182"/>
    <mergeCell ref="BE181:BE182"/>
    <mergeCell ref="BF181:BF182"/>
    <mergeCell ref="BG181:BG182"/>
    <mergeCell ref="BH181:BH182"/>
    <mergeCell ref="BI181:BI182"/>
    <mergeCell ref="BJ181:BJ182"/>
    <mergeCell ref="BK181:BK182"/>
    <mergeCell ref="BL181:BL182"/>
    <mergeCell ref="BM181:BM182"/>
    <mergeCell ref="BN181:BN182"/>
    <mergeCell ref="J183:J185"/>
    <mergeCell ref="X183:X185"/>
    <mergeCell ref="Z183:Z185"/>
    <mergeCell ref="AA183:AA185"/>
    <mergeCell ref="AB183:AB185"/>
    <mergeCell ref="AC183:AC185"/>
    <mergeCell ref="AD183:AD185"/>
    <mergeCell ref="AE183:AE185"/>
    <mergeCell ref="AF183:AF185"/>
    <mergeCell ref="AG183:AG185"/>
    <mergeCell ref="AH183:AH185"/>
    <mergeCell ref="AI183:AI185"/>
    <mergeCell ref="AJ183:AJ185"/>
    <mergeCell ref="AK183:AK185"/>
    <mergeCell ref="AL183:AL185"/>
    <mergeCell ref="AM183:AM185"/>
    <mergeCell ref="AN183:AN185"/>
    <mergeCell ref="AO183:AO185"/>
    <mergeCell ref="AP183:AP185"/>
    <mergeCell ref="AQ183:AQ185"/>
    <mergeCell ref="AR183:AR185"/>
    <mergeCell ref="AS183:AS185"/>
    <mergeCell ref="AT183:AT185"/>
    <mergeCell ref="AU183:AU185"/>
    <mergeCell ref="AV183:AV185"/>
    <mergeCell ref="AW183:AW185"/>
    <mergeCell ref="BH183:BH185"/>
    <mergeCell ref="BI183:BI185"/>
    <mergeCell ref="AX183:AX185"/>
    <mergeCell ref="AY183:AY185"/>
    <mergeCell ref="AZ183:AZ185"/>
    <mergeCell ref="BA183:BA185"/>
    <mergeCell ref="BB183:BB185"/>
    <mergeCell ref="BC183:BC185"/>
    <mergeCell ref="BJ183:BJ185"/>
    <mergeCell ref="BK183:BK185"/>
    <mergeCell ref="BL183:BL185"/>
    <mergeCell ref="BM183:BM185"/>
    <mergeCell ref="BN183:BN185"/>
    <mergeCell ref="D186:X186"/>
    <mergeCell ref="BD183:BD185"/>
    <mergeCell ref="BE183:BE185"/>
    <mergeCell ref="BF183:BF185"/>
    <mergeCell ref="BG183:BG185"/>
    <mergeCell ref="C187:C203"/>
    <mergeCell ref="D187:D203"/>
    <mergeCell ref="E187:E203"/>
    <mergeCell ref="F187:F203"/>
    <mergeCell ref="G187:G203"/>
    <mergeCell ref="H187:H203"/>
    <mergeCell ref="I187:I203"/>
    <mergeCell ref="J187:J203"/>
    <mergeCell ref="R187:R203"/>
    <mergeCell ref="S187:S203"/>
    <mergeCell ref="T187:T203"/>
    <mergeCell ref="U187:U203"/>
    <mergeCell ref="V187:V203"/>
    <mergeCell ref="X187:X192"/>
    <mergeCell ref="BM187:BM192"/>
    <mergeCell ref="BN187:BN192"/>
    <mergeCell ref="X195:X203"/>
    <mergeCell ref="Z195:Z203"/>
    <mergeCell ref="AA195:AA203"/>
    <mergeCell ref="AB195:AB203"/>
    <mergeCell ref="AC195:AC203"/>
    <mergeCell ref="AD195:AD203"/>
    <mergeCell ref="AE195:AE203"/>
    <mergeCell ref="AF195:AF203"/>
    <mergeCell ref="AG195:AG203"/>
    <mergeCell ref="AH195:AH203"/>
    <mergeCell ref="AI195:AI203"/>
    <mergeCell ref="AJ195:AJ203"/>
    <mergeCell ref="AK195:AK203"/>
    <mergeCell ref="AL195:AL203"/>
    <mergeCell ref="AM195:AM203"/>
    <mergeCell ref="AN195:AN203"/>
    <mergeCell ref="AP195:AP203"/>
    <mergeCell ref="AQ195:AQ203"/>
    <mergeCell ref="AS195:AS203"/>
    <mergeCell ref="AT195:AT203"/>
    <mergeCell ref="AU195:AU203"/>
    <mergeCell ref="AV195:AV203"/>
    <mergeCell ref="AW195:AW203"/>
    <mergeCell ref="AX195:AX203"/>
    <mergeCell ref="AY195:AY203"/>
    <mergeCell ref="AZ195:AZ203"/>
    <mergeCell ref="BA195:BA203"/>
    <mergeCell ref="BB195:BB203"/>
    <mergeCell ref="BC195:BC203"/>
    <mergeCell ref="BD195:BD203"/>
    <mergeCell ref="BE195:BE203"/>
    <mergeCell ref="BF195:BF203"/>
    <mergeCell ref="BG195:BG203"/>
    <mergeCell ref="BH195:BH203"/>
    <mergeCell ref="BI195:BI203"/>
    <mergeCell ref="BJ195:BJ203"/>
    <mergeCell ref="BK195:BK203"/>
    <mergeCell ref="BL195:BL203"/>
    <mergeCell ref="BM195:BM203"/>
    <mergeCell ref="BN195:BN203"/>
    <mergeCell ref="D204:X204"/>
    <mergeCell ref="C205:C233"/>
    <mergeCell ref="D205:D233"/>
    <mergeCell ref="E205:E208"/>
    <mergeCell ref="F205:F208"/>
    <mergeCell ref="G205:G208"/>
    <mergeCell ref="I205:I208"/>
    <mergeCell ref="J205:J208"/>
    <mergeCell ref="R205:R208"/>
    <mergeCell ref="S205:S208"/>
    <mergeCell ref="T205:T208"/>
    <mergeCell ref="U205:U208"/>
    <mergeCell ref="V205:V208"/>
    <mergeCell ref="J209:X209"/>
    <mergeCell ref="E210:E212"/>
    <mergeCell ref="F210:F212"/>
    <mergeCell ref="G210:G212"/>
    <mergeCell ref="H210:H212"/>
    <mergeCell ref="I210:I212"/>
    <mergeCell ref="J210:J212"/>
    <mergeCell ref="R210:R212"/>
    <mergeCell ref="S210:S212"/>
    <mergeCell ref="T210:T212"/>
    <mergeCell ref="U210:U212"/>
    <mergeCell ref="V210:V212"/>
    <mergeCell ref="Y210:Y212"/>
    <mergeCell ref="Z210:Z212"/>
    <mergeCell ref="AA210:AA212"/>
    <mergeCell ref="AB210:AB212"/>
    <mergeCell ref="AC210:AC212"/>
    <mergeCell ref="AD210:AD212"/>
    <mergeCell ref="AE210:AE212"/>
    <mergeCell ref="AF210:AF212"/>
    <mergeCell ref="AG210:AG212"/>
    <mergeCell ref="AH210:AH212"/>
    <mergeCell ref="AI210:AI212"/>
    <mergeCell ref="AJ210:AJ212"/>
    <mergeCell ref="AK210:AK211"/>
    <mergeCell ref="AL210:AL212"/>
    <mergeCell ref="AM210:AM212"/>
    <mergeCell ref="AN210:AN212"/>
    <mergeCell ref="AP210:AP212"/>
    <mergeCell ref="AQ210:AQ212"/>
    <mergeCell ref="AR210:AR212"/>
    <mergeCell ref="AS210:AS212"/>
    <mergeCell ref="AT210:AT212"/>
    <mergeCell ref="AU210:AU212"/>
    <mergeCell ref="AV210:AV212"/>
    <mergeCell ref="AW210:AW212"/>
    <mergeCell ref="AX210:AX212"/>
    <mergeCell ref="AY210:AY212"/>
    <mergeCell ref="AZ210:AZ212"/>
    <mergeCell ref="BA210:BA211"/>
    <mergeCell ref="BB210:BB212"/>
    <mergeCell ref="BC210:BC212"/>
    <mergeCell ref="BD210:BD212"/>
    <mergeCell ref="BE210:BE212"/>
    <mergeCell ref="BF210:BF212"/>
    <mergeCell ref="BG210:BG212"/>
    <mergeCell ref="BH210:BH212"/>
    <mergeCell ref="BI210:BI212"/>
    <mergeCell ref="BJ210:BJ212"/>
    <mergeCell ref="BK210:BK212"/>
    <mergeCell ref="BL210:BL212"/>
    <mergeCell ref="BM210:BM212"/>
    <mergeCell ref="BN210:BN212"/>
    <mergeCell ref="J213:X213"/>
    <mergeCell ref="E214:E223"/>
    <mergeCell ref="F214:F223"/>
    <mergeCell ref="G214:G223"/>
    <mergeCell ref="H214:H223"/>
    <mergeCell ref="I214:I223"/>
    <mergeCell ref="J214:J223"/>
    <mergeCell ref="L214:L215"/>
    <mergeCell ref="Y214:Y215"/>
    <mergeCell ref="Z214:Z215"/>
    <mergeCell ref="AA214:AA215"/>
    <mergeCell ref="AB214:AB215"/>
    <mergeCell ref="N214:N215"/>
    <mergeCell ref="O214:O215"/>
    <mergeCell ref="R214:R223"/>
    <mergeCell ref="S214:S223"/>
    <mergeCell ref="T214:T223"/>
    <mergeCell ref="U214:U223"/>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P214:AP215"/>
    <mergeCell ref="AQ214:AQ215"/>
    <mergeCell ref="AR214:AR215"/>
    <mergeCell ref="AS214:AS215"/>
    <mergeCell ref="AT214:AT215"/>
    <mergeCell ref="AU214:AU215"/>
    <mergeCell ref="AV214:AV215"/>
    <mergeCell ref="AW214:AW215"/>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BL214:BL215"/>
    <mergeCell ref="BM214:BM215"/>
    <mergeCell ref="BN214:BN215"/>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P216:AP217"/>
    <mergeCell ref="AQ216:AQ217"/>
    <mergeCell ref="AR216:AR217"/>
    <mergeCell ref="AS216:AS217"/>
    <mergeCell ref="AT216:AT217"/>
    <mergeCell ref="AU216:AU217"/>
    <mergeCell ref="AV216:AV217"/>
    <mergeCell ref="AW216:AW217"/>
    <mergeCell ref="AX216:AX217"/>
    <mergeCell ref="AY216:AY217"/>
    <mergeCell ref="AZ216:AZ217"/>
    <mergeCell ref="BA216:BA217"/>
    <mergeCell ref="BB216:BB217"/>
    <mergeCell ref="BC216:BC217"/>
    <mergeCell ref="BD216:BD217"/>
    <mergeCell ref="BE216:BE217"/>
    <mergeCell ref="BF216:BF217"/>
    <mergeCell ref="BG216:BG217"/>
    <mergeCell ref="BH216:BH217"/>
    <mergeCell ref="BI216:BI217"/>
    <mergeCell ref="BJ216:BJ217"/>
    <mergeCell ref="BK216:BK217"/>
    <mergeCell ref="BL216:BL217"/>
    <mergeCell ref="BM216:BM217"/>
    <mergeCell ref="BN216:BN217"/>
    <mergeCell ref="X218:X220"/>
    <mergeCell ref="Y218:Y220"/>
    <mergeCell ref="Z218:Z220"/>
    <mergeCell ref="AA218:AA220"/>
    <mergeCell ref="AB218:AB220"/>
    <mergeCell ref="AC218:AC220"/>
    <mergeCell ref="AD218:AD220"/>
    <mergeCell ref="AE218:AE220"/>
    <mergeCell ref="AF218:AF220"/>
    <mergeCell ref="AG218:AG220"/>
    <mergeCell ref="AH218:AH220"/>
    <mergeCell ref="AI218:AI220"/>
    <mergeCell ref="AJ218:AJ220"/>
    <mergeCell ref="AK218:AK220"/>
    <mergeCell ref="AL218:AL220"/>
    <mergeCell ref="AM218:AM220"/>
    <mergeCell ref="AN218:AN220"/>
    <mergeCell ref="AO218:AO220"/>
    <mergeCell ref="AP218:AP220"/>
    <mergeCell ref="AQ218:AQ220"/>
    <mergeCell ref="AR218:AR220"/>
    <mergeCell ref="AS218:AS220"/>
    <mergeCell ref="AT218:AT220"/>
    <mergeCell ref="AU218:AU220"/>
    <mergeCell ref="AV218:AV220"/>
    <mergeCell ref="AW218:AW220"/>
    <mergeCell ref="AX218:AX220"/>
    <mergeCell ref="AY218:AY220"/>
    <mergeCell ref="AZ218:AZ220"/>
    <mergeCell ref="BA218:BA220"/>
    <mergeCell ref="BB218:BB220"/>
    <mergeCell ref="BC218:BC220"/>
    <mergeCell ref="BD218:BD220"/>
    <mergeCell ref="BE218:BE220"/>
    <mergeCell ref="BF218:BF220"/>
    <mergeCell ref="BG218:BG220"/>
    <mergeCell ref="BH218:BH220"/>
    <mergeCell ref="BI218:BI220"/>
    <mergeCell ref="BJ218:BJ220"/>
    <mergeCell ref="BK218:BK220"/>
    <mergeCell ref="BL218:BL220"/>
    <mergeCell ref="BM218:BM220"/>
    <mergeCell ref="BN218:BN220"/>
    <mergeCell ref="L219:L220"/>
    <mergeCell ref="O219:O220"/>
    <mergeCell ref="L221:L222"/>
    <mergeCell ref="N221:N222"/>
    <mergeCell ref="O221:O222"/>
    <mergeCell ref="J224:X224"/>
    <mergeCell ref="V214:V223"/>
    <mergeCell ref="X214:X215"/>
    <mergeCell ref="I225:I226"/>
    <mergeCell ref="J225:J226"/>
    <mergeCell ref="R225:R226"/>
    <mergeCell ref="S225:S226"/>
    <mergeCell ref="T225:T226"/>
    <mergeCell ref="U225:U226"/>
    <mergeCell ref="V225:V226"/>
    <mergeCell ref="J227:X227"/>
    <mergeCell ref="I228:I233"/>
    <mergeCell ref="J228:J233"/>
    <mergeCell ref="R228:R233"/>
    <mergeCell ref="S228:S233"/>
    <mergeCell ref="T228:T233"/>
    <mergeCell ref="U228:U233"/>
    <mergeCell ref="V228:V233"/>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P228:AP229"/>
    <mergeCell ref="AQ228:AQ229"/>
    <mergeCell ref="AR228:AR229"/>
    <mergeCell ref="AS228:AS229"/>
    <mergeCell ref="AT228:AT229"/>
    <mergeCell ref="AU228:AU229"/>
    <mergeCell ref="AV228:AV229"/>
    <mergeCell ref="AW228:AW229"/>
    <mergeCell ref="BH228:BH229"/>
    <mergeCell ref="BI228:BI229"/>
    <mergeCell ref="AX228:AX229"/>
    <mergeCell ref="AY228:AY229"/>
    <mergeCell ref="AZ228:AZ229"/>
    <mergeCell ref="BA228:BA229"/>
    <mergeCell ref="BB228:BB229"/>
    <mergeCell ref="BC228:BC229"/>
    <mergeCell ref="BJ228:BJ229"/>
    <mergeCell ref="BK228:BK229"/>
    <mergeCell ref="BL228:BL229"/>
    <mergeCell ref="BM228:BM229"/>
    <mergeCell ref="BN228:BN229"/>
    <mergeCell ref="J234:X234"/>
    <mergeCell ref="BD228:BD229"/>
    <mergeCell ref="BE228:BE229"/>
    <mergeCell ref="BF228:BF229"/>
    <mergeCell ref="BG228:BG229"/>
    <mergeCell ref="C235:C243"/>
    <mergeCell ref="D235:D243"/>
    <mergeCell ref="E235:E243"/>
    <mergeCell ref="F235:F243"/>
    <mergeCell ref="G235:G243"/>
    <mergeCell ref="J235:J243"/>
    <mergeCell ref="R235:R243"/>
    <mergeCell ref="S235:S243"/>
    <mergeCell ref="T235:T243"/>
    <mergeCell ref="U235:U243"/>
    <mergeCell ref="V235:V243"/>
    <mergeCell ref="X235:X237"/>
    <mergeCell ref="X238:X240"/>
    <mergeCell ref="Y235:Y237"/>
    <mergeCell ref="Z235:Z237"/>
    <mergeCell ref="AA235:AA237"/>
    <mergeCell ref="AB235:AB237"/>
    <mergeCell ref="AC235:AC237"/>
    <mergeCell ref="AD235:AD237"/>
    <mergeCell ref="AE235:AE237"/>
    <mergeCell ref="AF235:AF237"/>
    <mergeCell ref="AG235:AG237"/>
    <mergeCell ref="AH235:AH237"/>
    <mergeCell ref="AI235:AI237"/>
    <mergeCell ref="AJ235:AJ237"/>
    <mergeCell ref="AK235:AK237"/>
    <mergeCell ref="AL235:AL237"/>
    <mergeCell ref="AM235:AM237"/>
    <mergeCell ref="AN235:AN237"/>
    <mergeCell ref="AO235:AO237"/>
    <mergeCell ref="AP235:AP237"/>
    <mergeCell ref="AQ235:AQ237"/>
    <mergeCell ref="AR235:AR237"/>
    <mergeCell ref="AS235:AS237"/>
    <mergeCell ref="AT235:AT237"/>
    <mergeCell ref="AU235:AU237"/>
    <mergeCell ref="AV235:AV237"/>
    <mergeCell ref="AW235:AW237"/>
    <mergeCell ref="AX235:AX237"/>
    <mergeCell ref="AY235:AY237"/>
    <mergeCell ref="AZ235:AZ237"/>
    <mergeCell ref="BA235:BA237"/>
    <mergeCell ref="BB235:BB237"/>
    <mergeCell ref="BC235:BC237"/>
    <mergeCell ref="BD235:BD237"/>
    <mergeCell ref="BE235:BE237"/>
    <mergeCell ref="BF235:BF237"/>
    <mergeCell ref="BG235:BG237"/>
    <mergeCell ref="BH235:BH237"/>
    <mergeCell ref="BI235:BI237"/>
    <mergeCell ref="BJ235:BJ237"/>
    <mergeCell ref="BK235:BK237"/>
    <mergeCell ref="BL235:BL237"/>
    <mergeCell ref="BM235:BM237"/>
    <mergeCell ref="BN235:BN237"/>
    <mergeCell ref="Y238:Y240"/>
    <mergeCell ref="Z238:Z240"/>
    <mergeCell ref="AA238:AA240"/>
    <mergeCell ref="AB238:AB240"/>
    <mergeCell ref="AC238:AC240"/>
    <mergeCell ref="AD238:AD240"/>
    <mergeCell ref="AE238:AE240"/>
    <mergeCell ref="AF238:AF240"/>
    <mergeCell ref="AG238:AG240"/>
    <mergeCell ref="AH238:AH240"/>
    <mergeCell ref="AI238:AI240"/>
    <mergeCell ref="AJ238:AJ240"/>
    <mergeCell ref="AL238:AL240"/>
    <mergeCell ref="AM238:AM240"/>
    <mergeCell ref="AN238:AN240"/>
    <mergeCell ref="AP238:AP240"/>
    <mergeCell ref="AQ238:AQ240"/>
    <mergeCell ref="AR238:AR240"/>
    <mergeCell ref="AS238:AS240"/>
    <mergeCell ref="AT238:AT240"/>
    <mergeCell ref="AU238:AU240"/>
    <mergeCell ref="AV238:AV240"/>
    <mergeCell ref="AW238:AW240"/>
    <mergeCell ref="AX238:AX240"/>
    <mergeCell ref="AY238:AY240"/>
    <mergeCell ref="AZ238:AZ240"/>
    <mergeCell ref="BB238:BB240"/>
    <mergeCell ref="BC238:BC240"/>
    <mergeCell ref="BD238:BD240"/>
    <mergeCell ref="BE238:BE240"/>
    <mergeCell ref="BF238:BF240"/>
    <mergeCell ref="BG238:BG240"/>
    <mergeCell ref="BH238:BH240"/>
    <mergeCell ref="BI238:BI240"/>
    <mergeCell ref="BJ238:BJ240"/>
    <mergeCell ref="BK238:BK240"/>
    <mergeCell ref="BL238:BL240"/>
    <mergeCell ref="BM238:BM240"/>
    <mergeCell ref="BN238:BN240"/>
    <mergeCell ref="AK239:AK240"/>
    <mergeCell ref="BA239:BA240"/>
    <mergeCell ref="X241:X243"/>
    <mergeCell ref="Y241:Y243"/>
    <mergeCell ref="Z241:Z243"/>
    <mergeCell ref="AA241:AA243"/>
    <mergeCell ref="AB241:AB243"/>
    <mergeCell ref="AC241:AC243"/>
    <mergeCell ref="AD241:AD243"/>
    <mergeCell ref="AE241:AE243"/>
    <mergeCell ref="AF241:AF243"/>
    <mergeCell ref="AG241:AG243"/>
    <mergeCell ref="AH241:AH243"/>
    <mergeCell ref="AI241:AI243"/>
    <mergeCell ref="AJ241:AJ243"/>
    <mergeCell ref="AK241:AK243"/>
    <mergeCell ref="AL241:AL243"/>
    <mergeCell ref="AM241:AM243"/>
    <mergeCell ref="AN241:AN243"/>
    <mergeCell ref="AO241:AO243"/>
    <mergeCell ref="AP241:AP243"/>
    <mergeCell ref="AQ241:AQ243"/>
    <mergeCell ref="AR241:AR243"/>
    <mergeCell ref="AS241:AS243"/>
    <mergeCell ref="AT241:AT243"/>
    <mergeCell ref="AU241:AU243"/>
    <mergeCell ref="AV241:AV243"/>
    <mergeCell ref="AW241:AW243"/>
    <mergeCell ref="AX241:AX243"/>
    <mergeCell ref="AY241:AY243"/>
    <mergeCell ref="AZ241:AZ243"/>
    <mergeCell ref="BA241:BA243"/>
    <mergeCell ref="BB241:BB243"/>
    <mergeCell ref="BC241:BC243"/>
    <mergeCell ref="BD241:BD243"/>
    <mergeCell ref="BE241:BE243"/>
    <mergeCell ref="BF241:BF243"/>
    <mergeCell ref="BG241:BG243"/>
    <mergeCell ref="BH241:BH243"/>
    <mergeCell ref="BI241:BI243"/>
    <mergeCell ref="BJ241:BJ243"/>
    <mergeCell ref="BK241:BK243"/>
    <mergeCell ref="BL241:BL243"/>
    <mergeCell ref="BM241:BM243"/>
    <mergeCell ref="BN241:BN243"/>
    <mergeCell ref="D244:X244"/>
    <mergeCell ref="D245:X245"/>
    <mergeCell ref="A246:A293"/>
    <mergeCell ref="B246:B293"/>
    <mergeCell ref="C246:C252"/>
    <mergeCell ref="D246:D252"/>
    <mergeCell ref="E246:E252"/>
    <mergeCell ref="F246:F252"/>
    <mergeCell ref="G246:G252"/>
    <mergeCell ref="J246:J252"/>
    <mergeCell ref="R246:R252"/>
    <mergeCell ref="S246:S252"/>
    <mergeCell ref="T246:T252"/>
    <mergeCell ref="U246:U252"/>
    <mergeCell ref="V246:V252"/>
    <mergeCell ref="X246:X249"/>
    <mergeCell ref="Y246:Y249"/>
    <mergeCell ref="Z246:Z249"/>
    <mergeCell ref="AA246:AA249"/>
    <mergeCell ref="AB246:AB249"/>
    <mergeCell ref="AC246:AC249"/>
    <mergeCell ref="AD246:AD249"/>
    <mergeCell ref="AE246:AE249"/>
    <mergeCell ref="AF246:AF249"/>
    <mergeCell ref="AG246:AG249"/>
    <mergeCell ref="AH246:AH249"/>
    <mergeCell ref="AI246:AI249"/>
    <mergeCell ref="AJ246:AJ249"/>
    <mergeCell ref="AK246:AK249"/>
    <mergeCell ref="AL246:AL249"/>
    <mergeCell ref="AM246:AM249"/>
    <mergeCell ref="AN246:AN249"/>
    <mergeCell ref="AO246:AO249"/>
    <mergeCell ref="AP246:AP249"/>
    <mergeCell ref="AQ246:AQ249"/>
    <mergeCell ref="AR246:AR249"/>
    <mergeCell ref="AS246:AS249"/>
    <mergeCell ref="AT246:AT249"/>
    <mergeCell ref="AU246:AU249"/>
    <mergeCell ref="AV246:AV249"/>
    <mergeCell ref="AW246:AW249"/>
    <mergeCell ref="AX246:AX249"/>
    <mergeCell ref="AY246:AY249"/>
    <mergeCell ref="AZ246:AZ249"/>
    <mergeCell ref="BA246:BA249"/>
    <mergeCell ref="BB246:BB249"/>
    <mergeCell ref="BC246:BC249"/>
    <mergeCell ref="BD246:BD249"/>
    <mergeCell ref="BE246:BE249"/>
    <mergeCell ref="BF246:BF249"/>
    <mergeCell ref="BG246:BG249"/>
    <mergeCell ref="BH246:BH249"/>
    <mergeCell ref="BI246:BI249"/>
    <mergeCell ref="BJ246:BJ249"/>
    <mergeCell ref="BK246:BK249"/>
    <mergeCell ref="BL246:BL249"/>
    <mergeCell ref="BM246:BM249"/>
    <mergeCell ref="BN246:BN249"/>
    <mergeCell ref="D253:X253"/>
    <mergeCell ref="C254:C282"/>
    <mergeCell ref="D254:D282"/>
    <mergeCell ref="E254:E282"/>
    <mergeCell ref="F254:F282"/>
    <mergeCell ref="G254:G282"/>
    <mergeCell ref="J254:J282"/>
    <mergeCell ref="R254:R282"/>
    <mergeCell ref="S254:S282"/>
    <mergeCell ref="T254:T282"/>
    <mergeCell ref="U254:U282"/>
    <mergeCell ref="V254:V282"/>
    <mergeCell ref="X255:X278"/>
    <mergeCell ref="Y255:Y278"/>
    <mergeCell ref="Z255:Z278"/>
    <mergeCell ref="AA255:AA278"/>
    <mergeCell ref="AB255:AB278"/>
    <mergeCell ref="AC255:AC278"/>
    <mergeCell ref="AD255:AD278"/>
    <mergeCell ref="AE255:AE278"/>
    <mergeCell ref="AF255:AF278"/>
    <mergeCell ref="AG255:AG278"/>
    <mergeCell ref="AH255:AH278"/>
    <mergeCell ref="AI255:AI278"/>
    <mergeCell ref="AJ255:AJ278"/>
    <mergeCell ref="AK255:AK278"/>
    <mergeCell ref="AL255:AL278"/>
    <mergeCell ref="AM255:AM278"/>
    <mergeCell ref="AN255:AN278"/>
    <mergeCell ref="AO255:AO278"/>
    <mergeCell ref="AP255:AP278"/>
    <mergeCell ref="AQ255:AQ278"/>
    <mergeCell ref="AR255:AR278"/>
    <mergeCell ref="AS255:AS278"/>
    <mergeCell ref="AT255:AT278"/>
    <mergeCell ref="AU255:AU278"/>
    <mergeCell ref="AV255:AV278"/>
    <mergeCell ref="AW255:AW278"/>
    <mergeCell ref="BH255:BH278"/>
    <mergeCell ref="BI255:BI278"/>
    <mergeCell ref="AX255:AX278"/>
    <mergeCell ref="AY255:AY278"/>
    <mergeCell ref="AZ255:AZ278"/>
    <mergeCell ref="BA255:BA278"/>
    <mergeCell ref="BB255:BB278"/>
    <mergeCell ref="BC255:BC278"/>
    <mergeCell ref="BJ255:BJ278"/>
    <mergeCell ref="BK255:BK278"/>
    <mergeCell ref="BL255:BL278"/>
    <mergeCell ref="BM255:BM278"/>
    <mergeCell ref="BN255:BN278"/>
    <mergeCell ref="D283:X283"/>
    <mergeCell ref="BD255:BD278"/>
    <mergeCell ref="BE255:BE278"/>
    <mergeCell ref="BF255:BF278"/>
    <mergeCell ref="BG255:BG278"/>
    <mergeCell ref="C284:C288"/>
    <mergeCell ref="D284:D288"/>
    <mergeCell ref="E284:E288"/>
    <mergeCell ref="F284:F288"/>
    <mergeCell ref="G284:G288"/>
    <mergeCell ref="J284:J288"/>
    <mergeCell ref="R284:R288"/>
    <mergeCell ref="S284:S288"/>
    <mergeCell ref="T284:T288"/>
    <mergeCell ref="U284:U288"/>
    <mergeCell ref="V284:V288"/>
    <mergeCell ref="X285:X288"/>
    <mergeCell ref="Y285:Y288"/>
    <mergeCell ref="Z285:Z288"/>
    <mergeCell ref="AA285:AA288"/>
    <mergeCell ref="AB285:AB288"/>
    <mergeCell ref="AC285:AC288"/>
    <mergeCell ref="AD285:AD288"/>
    <mergeCell ref="AE285:AE288"/>
    <mergeCell ref="AF285:AF288"/>
    <mergeCell ref="AG285:AG288"/>
    <mergeCell ref="AH285:AH288"/>
    <mergeCell ref="AI285:AI288"/>
    <mergeCell ref="AJ285:AJ288"/>
    <mergeCell ref="AK285:AK288"/>
    <mergeCell ref="AL285:AL288"/>
    <mergeCell ref="AM285:AM288"/>
    <mergeCell ref="AN285:AN288"/>
    <mergeCell ref="AO285:AO288"/>
    <mergeCell ref="AP285:AP288"/>
    <mergeCell ref="AQ285:AQ288"/>
    <mergeCell ref="AR285:AR288"/>
    <mergeCell ref="AS285:AS288"/>
    <mergeCell ref="AT285:AT288"/>
    <mergeCell ref="AU285:AU288"/>
    <mergeCell ref="AV285:AV288"/>
    <mergeCell ref="AW285:AW288"/>
    <mergeCell ref="AX285:AX288"/>
    <mergeCell ref="AY285:AY288"/>
    <mergeCell ref="AZ285:AZ288"/>
    <mergeCell ref="BA285:BA288"/>
    <mergeCell ref="BB285:BB288"/>
    <mergeCell ref="BC285:BC288"/>
    <mergeCell ref="BD285:BD288"/>
    <mergeCell ref="BE285:BE288"/>
    <mergeCell ref="BF285:BF288"/>
    <mergeCell ref="BG285:BG288"/>
    <mergeCell ref="BH285:BH288"/>
    <mergeCell ref="BI285:BI288"/>
    <mergeCell ref="BJ285:BJ288"/>
    <mergeCell ref="BK285:BK288"/>
    <mergeCell ref="BL285:BL288"/>
    <mergeCell ref="BM285:BM288"/>
    <mergeCell ref="BN285:BN288"/>
    <mergeCell ref="D289:X289"/>
    <mergeCell ref="C290:C293"/>
    <mergeCell ref="D290:D293"/>
    <mergeCell ref="E290:E293"/>
    <mergeCell ref="F290:F293"/>
    <mergeCell ref="G290:G293"/>
    <mergeCell ref="J290:J293"/>
    <mergeCell ref="R290:R293"/>
    <mergeCell ref="S290:S293"/>
    <mergeCell ref="T290:T293"/>
    <mergeCell ref="U290:U293"/>
    <mergeCell ref="V290:V293"/>
    <mergeCell ref="X290:X293"/>
    <mergeCell ref="Y290:Y293"/>
    <mergeCell ref="Z290:Z293"/>
    <mergeCell ref="AA290:AA293"/>
    <mergeCell ref="AB290:AB293"/>
    <mergeCell ref="AC290:AC293"/>
    <mergeCell ref="AD290:AD293"/>
    <mergeCell ref="AE290:AE293"/>
    <mergeCell ref="AF290:AF293"/>
    <mergeCell ref="AG290:AG293"/>
    <mergeCell ref="AH290:AH293"/>
    <mergeCell ref="AI290:AI293"/>
    <mergeCell ref="AJ290:AJ293"/>
    <mergeCell ref="AK290:AK293"/>
    <mergeCell ref="AL290:AL293"/>
    <mergeCell ref="AM290:AM293"/>
    <mergeCell ref="AN290:AN293"/>
    <mergeCell ref="AO290:AO293"/>
    <mergeCell ref="AP290:AP293"/>
    <mergeCell ref="AQ290:AQ293"/>
    <mergeCell ref="AR290:AR293"/>
    <mergeCell ref="AS290:AS293"/>
    <mergeCell ref="AT290:AT293"/>
    <mergeCell ref="AU290:AU293"/>
    <mergeCell ref="AV290:AV293"/>
    <mergeCell ref="AW290:AW293"/>
    <mergeCell ref="AX290:AX293"/>
    <mergeCell ref="AY290:AY293"/>
    <mergeCell ref="AZ290:AZ293"/>
    <mergeCell ref="BA290:BA293"/>
    <mergeCell ref="BB290:BB293"/>
    <mergeCell ref="BC290:BC293"/>
    <mergeCell ref="BD290:BD293"/>
    <mergeCell ref="BE290:BE293"/>
    <mergeCell ref="BF290:BF293"/>
    <mergeCell ref="BG290:BG293"/>
    <mergeCell ref="BH290:BH293"/>
    <mergeCell ref="BI290:BI293"/>
    <mergeCell ref="BJ290:BJ293"/>
    <mergeCell ref="BK290:BK293"/>
    <mergeCell ref="BL290:BL293"/>
    <mergeCell ref="BM290:BM293"/>
    <mergeCell ref="BN290:BN293"/>
    <mergeCell ref="D294:X294"/>
    <mergeCell ref="B295:X295"/>
    <mergeCell ref="A296:A331"/>
    <mergeCell ref="B296:B331"/>
    <mergeCell ref="C296:C301"/>
    <mergeCell ref="D296:D301"/>
    <mergeCell ref="E296:E301"/>
    <mergeCell ref="F296:F301"/>
    <mergeCell ref="G296:G301"/>
    <mergeCell ref="H296:H301"/>
    <mergeCell ref="I296:I301"/>
    <mergeCell ref="J296:J301"/>
    <mergeCell ref="R296:R301"/>
    <mergeCell ref="S296:S301"/>
    <mergeCell ref="T296:T301"/>
    <mergeCell ref="U296:U301"/>
    <mergeCell ref="V296:V301"/>
    <mergeCell ref="X297:X298"/>
    <mergeCell ref="Y297:Y298"/>
    <mergeCell ref="Z297:Z298"/>
    <mergeCell ref="AA297:AA298"/>
    <mergeCell ref="AB297:AB298"/>
    <mergeCell ref="AC297:AC298"/>
    <mergeCell ref="AD297:AD298"/>
    <mergeCell ref="AE297:AE298"/>
    <mergeCell ref="AF297:AF298"/>
    <mergeCell ref="AG297:AG298"/>
    <mergeCell ref="AH297:AH298"/>
    <mergeCell ref="AI297:AI298"/>
    <mergeCell ref="AJ297:AJ298"/>
    <mergeCell ref="AK297:AK298"/>
    <mergeCell ref="AL297:AL298"/>
    <mergeCell ref="AM297:AM298"/>
    <mergeCell ref="AN297:AN298"/>
    <mergeCell ref="AO297:AO298"/>
    <mergeCell ref="AP297:AP298"/>
    <mergeCell ref="AQ297:AQ298"/>
    <mergeCell ref="AR297:AR298"/>
    <mergeCell ref="AS297:AS298"/>
    <mergeCell ref="AT297:AT298"/>
    <mergeCell ref="AU297:AU298"/>
    <mergeCell ref="AV297:AV298"/>
    <mergeCell ref="AW297:AW298"/>
    <mergeCell ref="AX297:AX298"/>
    <mergeCell ref="AY297:AY298"/>
    <mergeCell ref="AZ297:AZ298"/>
    <mergeCell ref="BA297:BA298"/>
    <mergeCell ref="BB297:BB298"/>
    <mergeCell ref="BC297:BC298"/>
    <mergeCell ref="BD297:BD298"/>
    <mergeCell ref="BE297:BE298"/>
    <mergeCell ref="BF297:BF298"/>
    <mergeCell ref="BG297:BG298"/>
    <mergeCell ref="BH297:BH298"/>
    <mergeCell ref="BI297:BI298"/>
    <mergeCell ref="BJ297:BJ298"/>
    <mergeCell ref="BK297:BK298"/>
    <mergeCell ref="BL297:BL298"/>
    <mergeCell ref="BM297:BM298"/>
    <mergeCell ref="BN297:BN298"/>
    <mergeCell ref="X299:X301"/>
    <mergeCell ref="Y299:Y301"/>
    <mergeCell ref="Z299:Z301"/>
    <mergeCell ref="AA299:AA301"/>
    <mergeCell ref="AB299:AB301"/>
    <mergeCell ref="AC299:AC301"/>
    <mergeCell ref="AD299:AD301"/>
    <mergeCell ref="AE299:AE301"/>
    <mergeCell ref="AF299:AF301"/>
    <mergeCell ref="AG299:AG301"/>
    <mergeCell ref="AH299:AH301"/>
    <mergeCell ref="AI299:AI301"/>
    <mergeCell ref="AJ299:AJ301"/>
    <mergeCell ref="AK299:AK301"/>
    <mergeCell ref="AL299:AL301"/>
    <mergeCell ref="AM299:AM301"/>
    <mergeCell ref="AN299:AN301"/>
    <mergeCell ref="AO299:AO301"/>
    <mergeCell ref="AP299:AP301"/>
    <mergeCell ref="AQ299:AQ301"/>
    <mergeCell ref="AR299:AR301"/>
    <mergeCell ref="AS299:AS301"/>
    <mergeCell ref="AT299:AT301"/>
    <mergeCell ref="AU299:AU301"/>
    <mergeCell ref="AV299:AV301"/>
    <mergeCell ref="AW299:AW301"/>
    <mergeCell ref="AX299:AX301"/>
    <mergeCell ref="AY299:AY301"/>
    <mergeCell ref="AZ299:AZ301"/>
    <mergeCell ref="BA299:BA301"/>
    <mergeCell ref="BB299:BB301"/>
    <mergeCell ref="BC299:BC301"/>
    <mergeCell ref="BD299:BD301"/>
    <mergeCell ref="BE299:BE301"/>
    <mergeCell ref="BF299:BF301"/>
    <mergeCell ref="BG299:BG301"/>
    <mergeCell ref="BH299:BH301"/>
    <mergeCell ref="BI299:BI301"/>
    <mergeCell ref="BJ299:BJ301"/>
    <mergeCell ref="BK299:BK301"/>
    <mergeCell ref="BL299:BL301"/>
    <mergeCell ref="BM299:BM301"/>
    <mergeCell ref="BN299:BN301"/>
    <mergeCell ref="D302:X302"/>
    <mergeCell ref="C303:C315"/>
    <mergeCell ref="D303:D315"/>
    <mergeCell ref="E303:E315"/>
    <mergeCell ref="F303:F315"/>
    <mergeCell ref="G303:G315"/>
    <mergeCell ref="H303:H315"/>
    <mergeCell ref="I303:I315"/>
    <mergeCell ref="J303:J315"/>
    <mergeCell ref="L303:L304"/>
    <mergeCell ref="R303:R315"/>
    <mergeCell ref="S303:S315"/>
    <mergeCell ref="T303:T315"/>
    <mergeCell ref="U303:U315"/>
    <mergeCell ref="V303:V315"/>
    <mergeCell ref="X303:X305"/>
    <mergeCell ref="Y303:Y305"/>
    <mergeCell ref="Z303:Z305"/>
    <mergeCell ref="AA303:AA305"/>
    <mergeCell ref="AB303:AB305"/>
    <mergeCell ref="AC303:AC305"/>
    <mergeCell ref="AD303:AD305"/>
    <mergeCell ref="AE303:AE305"/>
    <mergeCell ref="AF303:AF305"/>
    <mergeCell ref="AG303:AG305"/>
    <mergeCell ref="AH303:AH305"/>
    <mergeCell ref="AI303:AI305"/>
    <mergeCell ref="AJ303:AJ305"/>
    <mergeCell ref="AL303:AL305"/>
    <mergeCell ref="AM303:AM305"/>
    <mergeCell ref="AN303:AN305"/>
    <mergeCell ref="AP303:AP305"/>
    <mergeCell ref="AQ303:AQ305"/>
    <mergeCell ref="AR303:AR305"/>
    <mergeCell ref="AS303:AS305"/>
    <mergeCell ref="AT303:AT305"/>
    <mergeCell ref="AU303:AU305"/>
    <mergeCell ref="AV303:AV305"/>
    <mergeCell ref="BG303:BG305"/>
    <mergeCell ref="BH303:BH305"/>
    <mergeCell ref="BI303:BI305"/>
    <mergeCell ref="AW303:AW305"/>
    <mergeCell ref="AX303:AX305"/>
    <mergeCell ref="AY303:AY305"/>
    <mergeCell ref="AZ303:AZ305"/>
    <mergeCell ref="BB303:BB305"/>
    <mergeCell ref="BC303:BC305"/>
    <mergeCell ref="BJ303:BJ305"/>
    <mergeCell ref="BK303:BK305"/>
    <mergeCell ref="BL303:BL305"/>
    <mergeCell ref="BM303:BM305"/>
    <mergeCell ref="AK304:AK305"/>
    <mergeCell ref="AO304:AO305"/>
    <mergeCell ref="BA304:BA305"/>
    <mergeCell ref="BD303:BD305"/>
    <mergeCell ref="BE303:BE305"/>
    <mergeCell ref="BF303:BF305"/>
    <mergeCell ref="BN304:BN305"/>
    <mergeCell ref="X306:X310"/>
    <mergeCell ref="Y306:Y310"/>
    <mergeCell ref="Z306:Z310"/>
    <mergeCell ref="AA306:AA310"/>
    <mergeCell ref="AB306:AB310"/>
    <mergeCell ref="AC306:AC310"/>
    <mergeCell ref="AD306:AD310"/>
    <mergeCell ref="AE306:AE310"/>
    <mergeCell ref="AF306:AF310"/>
    <mergeCell ref="AG306:AG310"/>
    <mergeCell ref="AH306:AH310"/>
    <mergeCell ref="AI306:AI310"/>
    <mergeCell ref="AJ306:AJ310"/>
    <mergeCell ref="AK306:AK309"/>
    <mergeCell ref="AL306:AL310"/>
    <mergeCell ref="AM306:AM310"/>
    <mergeCell ref="AN306:AN310"/>
    <mergeCell ref="AO306:AO309"/>
    <mergeCell ref="AP306:AP310"/>
    <mergeCell ref="AQ306:AQ310"/>
    <mergeCell ref="AR306:AR310"/>
    <mergeCell ref="AS306:AS310"/>
    <mergeCell ref="AT306:AT310"/>
    <mergeCell ref="AU306:AU310"/>
    <mergeCell ref="AV306:AV310"/>
    <mergeCell ref="AW306:AW310"/>
    <mergeCell ref="AX306:AX310"/>
    <mergeCell ref="AY306:AY310"/>
    <mergeCell ref="AZ306:AZ310"/>
    <mergeCell ref="BA306:BA309"/>
    <mergeCell ref="BB306:BB310"/>
    <mergeCell ref="BC306:BC310"/>
    <mergeCell ref="BD306:BD310"/>
    <mergeCell ref="BE306:BE310"/>
    <mergeCell ref="BF306:BF310"/>
    <mergeCell ref="BG306:BG310"/>
    <mergeCell ref="BH306:BH310"/>
    <mergeCell ref="BI306:BI310"/>
    <mergeCell ref="BJ306:BJ310"/>
    <mergeCell ref="BK306:BK310"/>
    <mergeCell ref="BL306:BL310"/>
    <mergeCell ref="BM306:BM309"/>
    <mergeCell ref="BN306:BN309"/>
    <mergeCell ref="L313:L314"/>
    <mergeCell ref="Y313:Y315"/>
    <mergeCell ref="Z313:Z315"/>
    <mergeCell ref="AA313:AA315"/>
    <mergeCell ref="AB313:AB315"/>
    <mergeCell ref="AC313:AC315"/>
    <mergeCell ref="AD313:AD315"/>
    <mergeCell ref="AE313:AE315"/>
    <mergeCell ref="AF313:AF315"/>
    <mergeCell ref="AG313:AG315"/>
    <mergeCell ref="AH313:AH315"/>
    <mergeCell ref="AI313:AI315"/>
    <mergeCell ref="AJ313:AJ315"/>
    <mergeCell ref="AL313:AL315"/>
    <mergeCell ref="AM313:AM315"/>
    <mergeCell ref="AN313:AN315"/>
    <mergeCell ref="AP313:AP315"/>
    <mergeCell ref="AQ313:AQ315"/>
    <mergeCell ref="AR313:AR315"/>
    <mergeCell ref="AS313:AS315"/>
    <mergeCell ref="AT313:AT315"/>
    <mergeCell ref="AU313:AU315"/>
    <mergeCell ref="AV313:AV315"/>
    <mergeCell ref="AW313:AW315"/>
    <mergeCell ref="BI313:BI315"/>
    <mergeCell ref="BJ313:BJ315"/>
    <mergeCell ref="AX313:AX315"/>
    <mergeCell ref="AY313:AY315"/>
    <mergeCell ref="AZ313:AZ315"/>
    <mergeCell ref="BB313:BB315"/>
    <mergeCell ref="BC313:BC315"/>
    <mergeCell ref="BD313:BD315"/>
    <mergeCell ref="BK313:BK315"/>
    <mergeCell ref="BL313:BL315"/>
    <mergeCell ref="BM313:BM315"/>
    <mergeCell ref="AK314:AK315"/>
    <mergeCell ref="AO314:AO315"/>
    <mergeCell ref="BA314:BA315"/>
    <mergeCell ref="BE313:BE315"/>
    <mergeCell ref="BF313:BF315"/>
    <mergeCell ref="BG313:BG315"/>
    <mergeCell ref="BH313:BH315"/>
    <mergeCell ref="BN314:BN315"/>
    <mergeCell ref="D316:X316"/>
    <mergeCell ref="C317:C319"/>
    <mergeCell ref="D317:D319"/>
    <mergeCell ref="E317:E319"/>
    <mergeCell ref="F317:F319"/>
    <mergeCell ref="G317:G319"/>
    <mergeCell ref="H317:H319"/>
    <mergeCell ref="I317:I319"/>
    <mergeCell ref="J317:J319"/>
    <mergeCell ref="R317:R319"/>
    <mergeCell ref="S317:S319"/>
    <mergeCell ref="T317:T319"/>
    <mergeCell ref="U317:U319"/>
    <mergeCell ref="V317:V319"/>
    <mergeCell ref="X317:X319"/>
    <mergeCell ref="Y317:Y319"/>
    <mergeCell ref="Z317:Z319"/>
    <mergeCell ref="AA317:AA319"/>
    <mergeCell ref="AB317:AB319"/>
    <mergeCell ref="AC317:AC319"/>
    <mergeCell ref="AD317:AD319"/>
    <mergeCell ref="AE317:AE319"/>
    <mergeCell ref="AF317:AF319"/>
    <mergeCell ref="AG317:AG319"/>
    <mergeCell ref="AH317:AH319"/>
    <mergeCell ref="AI317:AI319"/>
    <mergeCell ref="AJ317:AJ319"/>
    <mergeCell ref="AK317:AK319"/>
    <mergeCell ref="AL317:AL319"/>
    <mergeCell ref="AM317:AM319"/>
    <mergeCell ref="AN317:AN319"/>
    <mergeCell ref="AO317:AO319"/>
    <mergeCell ref="AP317:AP319"/>
    <mergeCell ref="AQ317:AQ319"/>
    <mergeCell ref="AR317:AR319"/>
    <mergeCell ref="AS317:AS319"/>
    <mergeCell ref="AT317:AT319"/>
    <mergeCell ref="AU317:AU319"/>
    <mergeCell ref="AV317:AV319"/>
    <mergeCell ref="AW317:AW319"/>
    <mergeCell ref="AX317:AX319"/>
    <mergeCell ref="AY317:AY319"/>
    <mergeCell ref="AZ317:AZ319"/>
    <mergeCell ref="BA317:BA319"/>
    <mergeCell ref="BB317:BB319"/>
    <mergeCell ref="BC317:BC319"/>
    <mergeCell ref="BD317:BD319"/>
    <mergeCell ref="BE317:BE319"/>
    <mergeCell ref="BF317:BF319"/>
    <mergeCell ref="BG317:BG319"/>
    <mergeCell ref="BH317:BH319"/>
    <mergeCell ref="BI317:BI319"/>
    <mergeCell ref="BJ317:BJ319"/>
    <mergeCell ref="BK317:BK319"/>
    <mergeCell ref="BL317:BL319"/>
    <mergeCell ref="BM317:BM319"/>
    <mergeCell ref="BN317:BN319"/>
    <mergeCell ref="D320:X320"/>
    <mergeCell ref="C321:C325"/>
    <mergeCell ref="D321:D325"/>
    <mergeCell ref="E321:E325"/>
    <mergeCell ref="F321:F325"/>
    <mergeCell ref="G321:G325"/>
    <mergeCell ref="H321:H325"/>
    <mergeCell ref="J321:J325"/>
    <mergeCell ref="R321:R325"/>
    <mergeCell ref="S321:S325"/>
    <mergeCell ref="T321:T325"/>
    <mergeCell ref="U321:U325"/>
    <mergeCell ref="V321:V325"/>
    <mergeCell ref="X321:X325"/>
    <mergeCell ref="Y321:Y325"/>
    <mergeCell ref="Z321:Z325"/>
    <mergeCell ref="AA321:AA325"/>
    <mergeCell ref="AB321:AB325"/>
    <mergeCell ref="AC321:AC325"/>
    <mergeCell ref="AD321:AD325"/>
    <mergeCell ref="AE321:AE325"/>
    <mergeCell ref="AF321:AF325"/>
    <mergeCell ref="AG321:AG325"/>
    <mergeCell ref="AH321:AH325"/>
    <mergeCell ref="AI321:AI325"/>
    <mergeCell ref="AJ321:AJ325"/>
    <mergeCell ref="AK321:AK325"/>
    <mergeCell ref="AL321:AL325"/>
    <mergeCell ref="AM321:AM325"/>
    <mergeCell ref="AN321:AN325"/>
    <mergeCell ref="AO321:AO325"/>
    <mergeCell ref="AP321:AP325"/>
    <mergeCell ref="AQ321:AQ325"/>
    <mergeCell ref="AR321:AR325"/>
    <mergeCell ref="AS321:AS325"/>
    <mergeCell ref="AT321:AT325"/>
    <mergeCell ref="AU321:AU325"/>
    <mergeCell ref="AV321:AV325"/>
    <mergeCell ref="AW321:AW325"/>
    <mergeCell ref="AX321:AX325"/>
    <mergeCell ref="AY321:AY325"/>
    <mergeCell ref="AZ321:AZ325"/>
    <mergeCell ref="BA321:BA325"/>
    <mergeCell ref="BB321:BB325"/>
    <mergeCell ref="BC321:BC325"/>
    <mergeCell ref="BD321:BD325"/>
    <mergeCell ref="BE321:BE325"/>
    <mergeCell ref="BF321:BF325"/>
    <mergeCell ref="BG321:BG325"/>
    <mergeCell ref="BH321:BH325"/>
    <mergeCell ref="BI321:BI325"/>
    <mergeCell ref="BJ321:BJ325"/>
    <mergeCell ref="BK321:BK325"/>
    <mergeCell ref="BL321:BL325"/>
    <mergeCell ref="BM321:BM325"/>
    <mergeCell ref="BN321:BN325"/>
    <mergeCell ref="D326:X326"/>
    <mergeCell ref="C327:C331"/>
    <mergeCell ref="D327:D331"/>
    <mergeCell ref="E327:E331"/>
    <mergeCell ref="F327:F331"/>
    <mergeCell ref="G327:G331"/>
    <mergeCell ref="H327:H331"/>
    <mergeCell ref="I327:I331"/>
    <mergeCell ref="J327:J331"/>
    <mergeCell ref="R327:R331"/>
    <mergeCell ref="S327:S331"/>
    <mergeCell ref="T327:T331"/>
    <mergeCell ref="U327:U331"/>
    <mergeCell ref="V327:V331"/>
    <mergeCell ref="X327:X331"/>
    <mergeCell ref="Y327:Y331"/>
    <mergeCell ref="Z327:Z331"/>
    <mergeCell ref="AA327:AA331"/>
    <mergeCell ref="AB327:AB331"/>
    <mergeCell ref="AC327:AC331"/>
    <mergeCell ref="AD327:AD331"/>
    <mergeCell ref="AE327:AE331"/>
    <mergeCell ref="AF327:AF331"/>
    <mergeCell ref="AG327:AG331"/>
    <mergeCell ref="AH327:AH331"/>
    <mergeCell ref="AI327:AI331"/>
    <mergeCell ref="AJ327:AJ331"/>
    <mergeCell ref="AK327:AK330"/>
    <mergeCell ref="AL327:AL331"/>
    <mergeCell ref="AM327:AM331"/>
    <mergeCell ref="AN327:AN331"/>
    <mergeCell ref="AO327:AO330"/>
    <mergeCell ref="AP327:AP331"/>
    <mergeCell ref="AQ327:AQ331"/>
    <mergeCell ref="AR327:AR331"/>
    <mergeCell ref="AS327:AS331"/>
    <mergeCell ref="AT327:AT331"/>
    <mergeCell ref="AU327:AU331"/>
    <mergeCell ref="AV327:AV331"/>
    <mergeCell ref="AW327:AW331"/>
    <mergeCell ref="AX327:AX331"/>
    <mergeCell ref="AY327:AY331"/>
    <mergeCell ref="BK327:BK331"/>
    <mergeCell ref="AZ327:AZ331"/>
    <mergeCell ref="BA327:BA330"/>
    <mergeCell ref="BB327:BB331"/>
    <mergeCell ref="BC327:BC331"/>
    <mergeCell ref="BD327:BD331"/>
    <mergeCell ref="BE327:BE331"/>
    <mergeCell ref="BL327:BL331"/>
    <mergeCell ref="BM327:BM331"/>
    <mergeCell ref="BN327:BN330"/>
    <mergeCell ref="D332:X332"/>
    <mergeCell ref="B333:X333"/>
    <mergeCell ref="BF327:BF331"/>
    <mergeCell ref="BG327:BG331"/>
    <mergeCell ref="BH327:BH331"/>
    <mergeCell ref="BI327:BI331"/>
    <mergeCell ref="BJ327:BJ331"/>
  </mergeCells>
  <printOptions/>
  <pageMargins left="0.7" right="0" top="0.75" bottom="0.75" header="0.3" footer="0.3"/>
  <pageSetup horizontalDpi="600" verticalDpi="600" orientation="landscape" paperSize="5" scale="80"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F176"/>
  <sheetViews>
    <sheetView zoomScalePageLayoutView="0" workbookViewId="0" topLeftCell="H62">
      <selection activeCell="AE77" sqref="AE77"/>
    </sheetView>
  </sheetViews>
  <sheetFormatPr defaultColWidth="11.421875" defaultRowHeight="15"/>
  <cols>
    <col min="1" max="1" width="19.57421875" style="1056" hidden="1" customWidth="1"/>
    <col min="2" max="2" width="5.8515625" style="1056" hidden="1" customWidth="1"/>
    <col min="3" max="3" width="63.28125" style="1057" customWidth="1"/>
    <col min="4" max="4" width="14.7109375" style="950" hidden="1" customWidth="1"/>
    <col min="5" max="5" width="13.7109375" style="950" hidden="1" customWidth="1"/>
    <col min="6" max="6" width="15.28125" style="950" hidden="1" customWidth="1"/>
    <col min="7" max="7" width="17.28125" style="950" hidden="1" customWidth="1"/>
    <col min="8" max="8" width="17.28125" style="950" customWidth="1"/>
    <col min="9" max="9" width="16.421875" style="950" hidden="1" customWidth="1"/>
    <col min="10" max="13" width="6.28125" style="1058" hidden="1" customWidth="1"/>
    <col min="14" max="20" width="5.57421875" style="1058" hidden="1" customWidth="1"/>
    <col min="21" max="22" width="5.57421875" style="1059" hidden="1" customWidth="1"/>
    <col min="23" max="23" width="5.57421875" style="1056" hidden="1" customWidth="1"/>
    <col min="24" max="24" width="15.00390625" style="1057" hidden="1" customWidth="1"/>
    <col min="25" max="25" width="14.140625" style="1056" customWidth="1"/>
    <col min="26" max="26" width="14.7109375" style="1056" bestFit="1" customWidth="1"/>
    <col min="27" max="28" width="11.421875" style="1056" customWidth="1"/>
    <col min="29" max="29" width="20.421875" style="1056" customWidth="1"/>
    <col min="30" max="30" width="22.421875" style="1056" customWidth="1"/>
    <col min="31" max="16384" width="11.421875" style="1056" customWidth="1"/>
  </cols>
  <sheetData>
    <row r="1" spans="1:24" s="923" customFormat="1" ht="12.75" hidden="1">
      <c r="A1" s="1184" t="s">
        <v>256</v>
      </c>
      <c r="B1" s="1184"/>
      <c r="C1" s="1184"/>
      <c r="D1" s="1184"/>
      <c r="E1" s="1184"/>
      <c r="F1" s="919"/>
      <c r="G1" s="919"/>
      <c r="H1" s="920"/>
      <c r="I1" s="1085"/>
      <c r="J1" s="922"/>
      <c r="K1" s="922"/>
      <c r="L1" s="922"/>
      <c r="M1" s="922"/>
      <c r="N1" s="922"/>
      <c r="O1" s="922"/>
      <c r="P1" s="922"/>
      <c r="Q1" s="922"/>
      <c r="R1" s="922"/>
      <c r="S1" s="922"/>
      <c r="T1" s="922"/>
      <c r="U1" s="922"/>
      <c r="V1" s="922"/>
      <c r="X1" s="924"/>
    </row>
    <row r="2" spans="1:24" s="923" customFormat="1" ht="12.75">
      <c r="A2" s="1184" t="s">
        <v>396</v>
      </c>
      <c r="B2" s="1184"/>
      <c r="C2" s="1184"/>
      <c r="D2" s="1184"/>
      <c r="E2" s="1184"/>
      <c r="F2" s="919"/>
      <c r="G2" s="919"/>
      <c r="H2" s="920"/>
      <c r="I2" s="1085"/>
      <c r="J2" s="922"/>
      <c r="K2" s="922"/>
      <c r="L2" s="922"/>
      <c r="M2" s="922"/>
      <c r="N2" s="922"/>
      <c r="O2" s="922"/>
      <c r="P2" s="922"/>
      <c r="Q2" s="922"/>
      <c r="R2" s="922"/>
      <c r="S2" s="922"/>
      <c r="T2" s="922"/>
      <c r="U2" s="922"/>
      <c r="V2" s="922"/>
      <c r="X2" s="924"/>
    </row>
    <row r="3" spans="1:24" s="923" customFormat="1" ht="12.75">
      <c r="A3" s="1184" t="s">
        <v>604</v>
      </c>
      <c r="B3" s="1184"/>
      <c r="C3" s="1184"/>
      <c r="D3" s="1184"/>
      <c r="E3" s="1184"/>
      <c r="F3" s="919"/>
      <c r="G3" s="919"/>
      <c r="H3" s="920"/>
      <c r="I3" s="1085"/>
      <c r="J3" s="922"/>
      <c r="K3" s="922"/>
      <c r="L3" s="922"/>
      <c r="M3" s="922"/>
      <c r="N3" s="922"/>
      <c r="O3" s="922"/>
      <c r="P3" s="922"/>
      <c r="Q3" s="922"/>
      <c r="R3" s="922"/>
      <c r="S3" s="922"/>
      <c r="T3" s="922"/>
      <c r="U3" s="922"/>
      <c r="V3" s="922"/>
      <c r="X3" s="924"/>
    </row>
    <row r="4" spans="1:24" s="923" customFormat="1" ht="12.75">
      <c r="A4" s="1184" t="s">
        <v>397</v>
      </c>
      <c r="B4" s="1184"/>
      <c r="C4" s="1184"/>
      <c r="D4" s="1184"/>
      <c r="E4" s="1184"/>
      <c r="F4" s="919"/>
      <c r="G4" s="919"/>
      <c r="H4" s="920"/>
      <c r="I4" s="1085"/>
      <c r="J4" s="922"/>
      <c r="K4" s="922"/>
      <c r="L4" s="922"/>
      <c r="M4" s="922"/>
      <c r="N4" s="922"/>
      <c r="O4" s="922"/>
      <c r="P4" s="922"/>
      <c r="Q4" s="922"/>
      <c r="R4" s="922"/>
      <c r="S4" s="922"/>
      <c r="T4" s="922"/>
      <c r="U4" s="922"/>
      <c r="V4" s="922"/>
      <c r="X4" s="924"/>
    </row>
    <row r="5" spans="3:24" s="925" customFormat="1" ht="13.5" thickBot="1">
      <c r="C5" s="926"/>
      <c r="D5" s="927"/>
      <c r="E5" s="927"/>
      <c r="F5" s="960"/>
      <c r="G5" s="960"/>
      <c r="H5" s="927"/>
      <c r="I5" s="927"/>
      <c r="J5" s="929"/>
      <c r="K5" s="922"/>
      <c r="L5" s="922"/>
      <c r="M5" s="922"/>
      <c r="N5" s="922"/>
      <c r="O5" s="922"/>
      <c r="P5" s="922"/>
      <c r="Q5" s="922"/>
      <c r="R5" s="922"/>
      <c r="S5" s="922"/>
      <c r="T5" s="922"/>
      <c r="U5" s="930"/>
      <c r="V5" s="930"/>
      <c r="X5" s="926"/>
    </row>
    <row r="6" spans="1:25" s="925" customFormat="1" ht="49.5" customHeight="1">
      <c r="A6" s="1185" t="s">
        <v>496</v>
      </c>
      <c r="B6" s="1188" t="s">
        <v>1759</v>
      </c>
      <c r="C6" s="1110" t="s">
        <v>271</v>
      </c>
      <c r="D6" s="1111">
        <v>2010</v>
      </c>
      <c r="E6" s="1111">
        <v>2011</v>
      </c>
      <c r="F6" s="1112">
        <v>2012</v>
      </c>
      <c r="G6" s="1113" t="s">
        <v>1624</v>
      </c>
      <c r="H6" s="1113" t="s">
        <v>1623</v>
      </c>
      <c r="I6" s="1111"/>
      <c r="J6" s="1114"/>
      <c r="K6" s="1115"/>
      <c r="L6" s="1115"/>
      <c r="M6" s="1115"/>
      <c r="N6" s="1115"/>
      <c r="O6" s="1115"/>
      <c r="P6" s="1115"/>
      <c r="Q6" s="1115"/>
      <c r="R6" s="1115"/>
      <c r="S6" s="1115"/>
      <c r="T6" s="1115"/>
      <c r="U6" s="1116"/>
      <c r="V6" s="1116"/>
      <c r="W6" s="1117"/>
      <c r="X6" s="1118"/>
      <c r="Y6" s="1136" t="s">
        <v>1766</v>
      </c>
    </row>
    <row r="7" spans="1:26" s="925" customFormat="1" ht="25.5" customHeight="1">
      <c r="A7" s="1185"/>
      <c r="B7" s="1189"/>
      <c r="C7" s="1119" t="s">
        <v>163</v>
      </c>
      <c r="D7" s="937">
        <f>+D8+D34+D62+D80+D127</f>
        <v>224908038487</v>
      </c>
      <c r="E7" s="937">
        <f>+E8+E34+E62+E80+E127</f>
        <v>89435903510.40999</v>
      </c>
      <c r="F7" s="967">
        <f>+F8+F34+F62+F80+F127</f>
        <v>41830915671</v>
      </c>
      <c r="G7" s="967">
        <f>+G8+G34+G62+G80+G127</f>
        <v>34154310392</v>
      </c>
      <c r="H7" s="968">
        <f>+H8+H34+H62+H80+H127</f>
        <v>41471348158.09</v>
      </c>
      <c r="I7" s="937"/>
      <c r="J7" s="1093"/>
      <c r="K7" s="1093"/>
      <c r="L7" s="1093"/>
      <c r="M7" s="1093"/>
      <c r="N7" s="1093"/>
      <c r="O7" s="1093"/>
      <c r="P7" s="1093"/>
      <c r="Q7" s="1093"/>
      <c r="R7" s="1093"/>
      <c r="S7" s="1093"/>
      <c r="T7" s="1093"/>
      <c r="U7" s="1094"/>
      <c r="V7" s="1094"/>
      <c r="W7" s="939"/>
      <c r="X7" s="940"/>
      <c r="Y7" s="1120"/>
      <c r="Z7" s="1086">
        <f>+H29/H7</f>
        <v>0.1213236420677704</v>
      </c>
    </row>
    <row r="8" spans="1:26" s="976" customFormat="1" ht="15">
      <c r="A8" s="969" t="s">
        <v>161</v>
      </c>
      <c r="B8" s="1090"/>
      <c r="C8" s="1121" t="s">
        <v>160</v>
      </c>
      <c r="D8" s="967">
        <f>+D9+D11+D14+D17+D20+D21+D22+D23+D24+D25+D26+D27+D28+D32+D29</f>
        <v>14309322000</v>
      </c>
      <c r="E8" s="967">
        <f>+E9+E11+E14+E17+E20+E21+E22+E23+E24+E25+E26+E27+E28+E32+E29</f>
        <v>15642477781</v>
      </c>
      <c r="F8" s="967">
        <f>+F9+F11+F14+F17+F20+F21+F22+F23+F24+F25+F26+F27+F28+F32+F29</f>
        <v>16683642836</v>
      </c>
      <c r="G8" s="967">
        <f>+G9+G11+G14+G17+G20+G21+G22+G23+G24+G25+G26+G27+G28+G32+G29</f>
        <v>15976022591</v>
      </c>
      <c r="H8" s="968">
        <f>+H9+H11+H14+H17+H20+H21+H22+H23+H24+H25+H26+H27+H28+H32+H29</f>
        <v>20901261824</v>
      </c>
      <c r="I8" s="967"/>
      <c r="J8" s="1095"/>
      <c r="K8" s="1095"/>
      <c r="L8" s="1095"/>
      <c r="M8" s="1096"/>
      <c r="N8" s="1097"/>
      <c r="O8" s="1097"/>
      <c r="P8" s="1097"/>
      <c r="Q8" s="1097"/>
      <c r="R8" s="1097"/>
      <c r="S8" s="1097"/>
      <c r="T8" s="1097"/>
      <c r="U8" s="1098"/>
      <c r="V8" s="1098"/>
      <c r="W8" s="969"/>
      <c r="X8" s="970"/>
      <c r="Y8" s="1122">
        <f>+H8/H7</f>
        <v>0.5039928228116379</v>
      </c>
      <c r="Z8" s="1087"/>
    </row>
    <row r="9" spans="1:26" s="925" customFormat="1" ht="12.75">
      <c r="A9" s="939" t="s">
        <v>159</v>
      </c>
      <c r="B9" s="1091">
        <v>20</v>
      </c>
      <c r="C9" s="1123" t="s">
        <v>158</v>
      </c>
      <c r="D9" s="941">
        <v>2800000000</v>
      </c>
      <c r="E9" s="942">
        <v>1853473085</v>
      </c>
      <c r="F9" s="942">
        <v>1218307000</v>
      </c>
      <c r="G9" s="942">
        <v>752550000</v>
      </c>
      <c r="H9" s="1072">
        <v>1033501000</v>
      </c>
      <c r="I9" s="1099"/>
      <c r="J9" s="1100">
        <v>2008</v>
      </c>
      <c r="K9" s="1100">
        <f>+J9+1</f>
        <v>2009</v>
      </c>
      <c r="L9" s="1100">
        <f aca="true" t="shared" si="0" ref="L9:T9">+K9+1</f>
        <v>2010</v>
      </c>
      <c r="M9" s="1100">
        <f t="shared" si="0"/>
        <v>2011</v>
      </c>
      <c r="N9" s="1100">
        <f>+M9+2</f>
        <v>2013</v>
      </c>
      <c r="O9" s="1100">
        <f t="shared" si="0"/>
        <v>2014</v>
      </c>
      <c r="P9" s="1100">
        <f t="shared" si="0"/>
        <v>2015</v>
      </c>
      <c r="Q9" s="1100">
        <f t="shared" si="0"/>
        <v>2016</v>
      </c>
      <c r="R9" s="1100">
        <f t="shared" si="0"/>
        <v>2017</v>
      </c>
      <c r="S9" s="1100">
        <f t="shared" si="0"/>
        <v>2018</v>
      </c>
      <c r="T9" s="1100">
        <f t="shared" si="0"/>
        <v>2019</v>
      </c>
      <c r="U9" s="1100">
        <f>+T9+1</f>
        <v>2020</v>
      </c>
      <c r="V9" s="1100">
        <f>+U9+1</f>
        <v>2021</v>
      </c>
      <c r="W9" s="1100">
        <f>+V9+1</f>
        <v>2022</v>
      </c>
      <c r="X9" s="940">
        <f>+H9</f>
        <v>1033501000</v>
      </c>
      <c r="Y9" s="1124">
        <f>+H9/$H$8</f>
        <v>0.049446823292423246</v>
      </c>
      <c r="Z9" s="1086"/>
    </row>
    <row r="10" spans="1:26" s="925" customFormat="1" ht="12.75" hidden="1">
      <c r="A10" s="939" t="s">
        <v>156</v>
      </c>
      <c r="B10" s="1091"/>
      <c r="C10" s="1123" t="s">
        <v>1626</v>
      </c>
      <c r="D10" s="941">
        <v>0</v>
      </c>
      <c r="E10" s="942">
        <v>0</v>
      </c>
      <c r="F10" s="942">
        <v>0</v>
      </c>
      <c r="G10" s="942">
        <v>0</v>
      </c>
      <c r="H10" s="943"/>
      <c r="I10" s="1099"/>
      <c r="J10" s="1101">
        <v>0.04</v>
      </c>
      <c r="K10" s="1101">
        <v>0.035</v>
      </c>
      <c r="L10" s="1093">
        <v>0.03</v>
      </c>
      <c r="M10" s="1093">
        <v>0.03</v>
      </c>
      <c r="N10" s="1102">
        <v>1.03</v>
      </c>
      <c r="O10" s="356">
        <v>1.03</v>
      </c>
      <c r="P10" s="356">
        <v>1.03</v>
      </c>
      <c r="Q10" s="356">
        <v>1.03</v>
      </c>
      <c r="R10" s="356">
        <v>1.03</v>
      </c>
      <c r="S10" s="356">
        <v>1.03</v>
      </c>
      <c r="T10" s="356">
        <v>1.03</v>
      </c>
      <c r="U10" s="356">
        <v>1.03</v>
      </c>
      <c r="V10" s="356">
        <v>1.03</v>
      </c>
      <c r="W10" s="356">
        <v>1.03</v>
      </c>
      <c r="X10" s="940"/>
      <c r="Y10" s="1124"/>
      <c r="Z10" s="1086"/>
    </row>
    <row r="11" spans="1:26" s="962" customFormat="1" ht="12.75">
      <c r="A11" s="936" t="s">
        <v>153</v>
      </c>
      <c r="B11" s="1092"/>
      <c r="C11" s="1125" t="s">
        <v>152</v>
      </c>
      <c r="D11" s="937">
        <f>SUM(D12:D13)</f>
        <v>290000000</v>
      </c>
      <c r="E11" s="937">
        <f>SUM(E12:E13)</f>
        <v>342476533</v>
      </c>
      <c r="F11" s="937">
        <f>SUM(F12:F13)</f>
        <v>412139814</v>
      </c>
      <c r="G11" s="937">
        <f>SUM(G12:G13)</f>
        <v>347450639</v>
      </c>
      <c r="H11" s="938">
        <f>SUM(H12:H13)</f>
        <v>394533355</v>
      </c>
      <c r="I11" s="937"/>
      <c r="J11" s="1103"/>
      <c r="K11" s="1103"/>
      <c r="L11" s="1103"/>
      <c r="M11" s="1103"/>
      <c r="N11" s="1103"/>
      <c r="O11" s="1103"/>
      <c r="P11" s="1103"/>
      <c r="Q11" s="1103"/>
      <c r="R11" s="1103"/>
      <c r="S11" s="1103"/>
      <c r="T11" s="1103"/>
      <c r="U11" s="1104"/>
      <c r="V11" s="1104"/>
      <c r="W11" s="936"/>
      <c r="X11" s="931"/>
      <c r="Y11" s="1126">
        <f>+H11/$H$8</f>
        <v>0.018876054389547654</v>
      </c>
      <c r="Z11" s="1088"/>
    </row>
    <row r="12" spans="1:26" s="925" customFormat="1" ht="12.75">
      <c r="A12" s="939" t="s">
        <v>151</v>
      </c>
      <c r="B12" s="1091">
        <v>20</v>
      </c>
      <c r="C12" s="1123" t="s">
        <v>150</v>
      </c>
      <c r="D12" s="941">
        <v>120000000</v>
      </c>
      <c r="E12" s="942">
        <v>272885638</v>
      </c>
      <c r="F12" s="942">
        <v>323706876</v>
      </c>
      <c r="G12" s="942">
        <v>287800623</v>
      </c>
      <c r="H12" s="1072">
        <v>315000000</v>
      </c>
      <c r="I12" s="1099"/>
      <c r="J12" s="1093"/>
      <c r="K12" s="1093"/>
      <c r="L12" s="1093"/>
      <c r="M12" s="1093"/>
      <c r="N12" s="1093"/>
      <c r="O12" s="1093"/>
      <c r="P12" s="1093"/>
      <c r="Q12" s="1093"/>
      <c r="R12" s="1093"/>
      <c r="S12" s="1093"/>
      <c r="T12" s="1093"/>
      <c r="U12" s="1094"/>
      <c r="V12" s="1094"/>
      <c r="W12" s="939"/>
      <c r="X12" s="940">
        <f>+H12</f>
        <v>315000000</v>
      </c>
      <c r="Y12" s="1124">
        <f>+H12/$H$11</f>
        <v>0.7984115817026421</v>
      </c>
      <c r="Z12" s="1086"/>
    </row>
    <row r="13" spans="1:26" s="925" customFormat="1" ht="12.75">
      <c r="A13" s="939" t="s">
        <v>149</v>
      </c>
      <c r="B13" s="1091">
        <v>20</v>
      </c>
      <c r="C13" s="1123" t="s">
        <v>148</v>
      </c>
      <c r="D13" s="941">
        <v>170000000</v>
      </c>
      <c r="E13" s="942">
        <v>69590895</v>
      </c>
      <c r="F13" s="942">
        <v>88432938</v>
      </c>
      <c r="G13" s="942">
        <v>59650016</v>
      </c>
      <c r="H13" s="1072">
        <v>79533355</v>
      </c>
      <c r="I13" s="1099"/>
      <c r="J13" s="1093"/>
      <c r="K13" s="1093"/>
      <c r="L13" s="1093"/>
      <c r="M13" s="1093"/>
      <c r="N13" s="1093"/>
      <c r="O13" s="1093"/>
      <c r="P13" s="1093"/>
      <c r="Q13" s="1093"/>
      <c r="R13" s="1093"/>
      <c r="S13" s="1093"/>
      <c r="T13" s="1093"/>
      <c r="U13" s="1094"/>
      <c r="V13" s="1094"/>
      <c r="W13" s="939"/>
      <c r="X13" s="940">
        <f>+H13</f>
        <v>79533355</v>
      </c>
      <c r="Y13" s="1124">
        <f>+H13/$H$11</f>
        <v>0.2015884182973579</v>
      </c>
      <c r="Z13" s="1086"/>
    </row>
    <row r="14" spans="1:26" s="962" customFormat="1" ht="12.75">
      <c r="A14" s="936" t="s">
        <v>147</v>
      </c>
      <c r="B14" s="1092"/>
      <c r="C14" s="1125" t="s">
        <v>146</v>
      </c>
      <c r="D14" s="937">
        <f>SUM(D15:D16)</f>
        <v>6400000000</v>
      </c>
      <c r="E14" s="937">
        <f>SUM(E15:E16)</f>
        <v>8325844097</v>
      </c>
      <c r="F14" s="937">
        <f>SUM(F15:F16)</f>
        <v>10986039966</v>
      </c>
      <c r="G14" s="937">
        <f>SUM(G15:G16)</f>
        <v>10419153854</v>
      </c>
      <c r="H14" s="938">
        <f>SUM(H15:H16)</f>
        <v>12489850000</v>
      </c>
      <c r="I14" s="937"/>
      <c r="J14" s="1103"/>
      <c r="K14" s="1103"/>
      <c r="L14" s="1103"/>
      <c r="M14" s="1103"/>
      <c r="N14" s="1103"/>
      <c r="O14" s="1103"/>
      <c r="P14" s="1103"/>
      <c r="Q14" s="1103"/>
      <c r="R14" s="1103"/>
      <c r="S14" s="1103"/>
      <c r="T14" s="1103"/>
      <c r="U14" s="1104"/>
      <c r="V14" s="1104"/>
      <c r="W14" s="936"/>
      <c r="X14" s="931"/>
      <c r="Y14" s="1126">
        <f>+H14/$H$8</f>
        <v>0.5975644009041815</v>
      </c>
      <c r="Z14" s="1088"/>
    </row>
    <row r="15" spans="1:26" s="925" customFormat="1" ht="12.75">
      <c r="A15" s="939" t="s">
        <v>145</v>
      </c>
      <c r="B15" s="1091">
        <v>20</v>
      </c>
      <c r="C15" s="1123" t="s">
        <v>144</v>
      </c>
      <c r="D15" s="941">
        <v>4800000000</v>
      </c>
      <c r="E15" s="942">
        <v>7575854303</v>
      </c>
      <c r="F15" s="942">
        <v>10465090620</v>
      </c>
      <c r="G15" s="942">
        <v>10051766008</v>
      </c>
      <c r="H15" s="1072">
        <v>12000000000</v>
      </c>
      <c r="I15" s="1099"/>
      <c r="J15" s="1093"/>
      <c r="K15" s="1093"/>
      <c r="L15" s="1093"/>
      <c r="M15" s="1093"/>
      <c r="N15" s="1093"/>
      <c r="O15" s="1093"/>
      <c r="P15" s="1093"/>
      <c r="Q15" s="1093"/>
      <c r="R15" s="1093"/>
      <c r="S15" s="1093"/>
      <c r="T15" s="1093"/>
      <c r="U15" s="1094"/>
      <c r="V15" s="1094"/>
      <c r="W15" s="939"/>
      <c r="X15" s="940">
        <f>+H15</f>
        <v>12000000000</v>
      </c>
      <c r="Y15" s="1124">
        <f>+H15/H14</f>
        <v>0.9607801534846295</v>
      </c>
      <c r="Z15" s="1086"/>
    </row>
    <row r="16" spans="1:26" s="925" customFormat="1" ht="12.75">
      <c r="A16" s="939" t="s">
        <v>143</v>
      </c>
      <c r="B16" s="1091">
        <v>20</v>
      </c>
      <c r="C16" s="1123" t="s">
        <v>142</v>
      </c>
      <c r="D16" s="941">
        <v>1600000000</v>
      </c>
      <c r="E16" s="942">
        <v>749989794</v>
      </c>
      <c r="F16" s="942">
        <v>520949346</v>
      </c>
      <c r="G16" s="942">
        <v>367387846</v>
      </c>
      <c r="H16" s="1072">
        <v>489850000</v>
      </c>
      <c r="I16" s="1099"/>
      <c r="J16" s="1093"/>
      <c r="K16" s="1093"/>
      <c r="L16" s="1093"/>
      <c r="M16" s="1093"/>
      <c r="N16" s="1093"/>
      <c r="O16" s="1093"/>
      <c r="P16" s="1093"/>
      <c r="Q16" s="1093"/>
      <c r="R16" s="1093"/>
      <c r="S16" s="1093"/>
      <c r="T16" s="1093"/>
      <c r="U16" s="1094"/>
      <c r="V16" s="1094"/>
      <c r="W16" s="939"/>
      <c r="X16" s="940">
        <f>+H16</f>
        <v>489850000</v>
      </c>
      <c r="Y16" s="1124">
        <f>+H16/H14</f>
        <v>0.03921984651537048</v>
      </c>
      <c r="Z16" s="1086"/>
    </row>
    <row r="17" spans="1:26" s="962" customFormat="1" ht="12.75">
      <c r="A17" s="936" t="s">
        <v>141</v>
      </c>
      <c r="B17" s="1092"/>
      <c r="C17" s="1125" t="s">
        <v>140</v>
      </c>
      <c r="D17" s="937">
        <f>SUM(D18:D19)</f>
        <v>370522000</v>
      </c>
      <c r="E17" s="937">
        <f>SUM(E18:E19)</f>
        <v>579283263</v>
      </c>
      <c r="F17" s="937">
        <f>SUM(F18:F19)</f>
        <v>897758903</v>
      </c>
      <c r="G17" s="937">
        <f>SUM(G18:G19)</f>
        <v>871175029</v>
      </c>
      <c r="H17" s="938">
        <f>SUM(H18:H19)</f>
        <v>932222469</v>
      </c>
      <c r="I17" s="937"/>
      <c r="J17" s="1105"/>
      <c r="K17" s="1105"/>
      <c r="L17" s="1103"/>
      <c r="M17" s="1103"/>
      <c r="N17" s="1103"/>
      <c r="O17" s="1103"/>
      <c r="P17" s="1103"/>
      <c r="Q17" s="1103"/>
      <c r="R17" s="1103"/>
      <c r="S17" s="1103"/>
      <c r="T17" s="1103"/>
      <c r="U17" s="1104"/>
      <c r="V17" s="1104"/>
      <c r="W17" s="936"/>
      <c r="X17" s="936"/>
      <c r="Y17" s="1126">
        <f>+H17/$H$8</f>
        <v>0.044601253113320166</v>
      </c>
      <c r="Z17" s="1088"/>
    </row>
    <row r="18" spans="1:26" s="925" customFormat="1" ht="12.75">
      <c r="A18" s="939" t="s">
        <v>139</v>
      </c>
      <c r="B18" s="1091">
        <v>20</v>
      </c>
      <c r="C18" s="1123" t="s">
        <v>138</v>
      </c>
      <c r="D18" s="941">
        <v>255522000</v>
      </c>
      <c r="E18" s="942">
        <v>574437594</v>
      </c>
      <c r="F18" s="942">
        <v>896332495</v>
      </c>
      <c r="G18" s="942">
        <v>862527949</v>
      </c>
      <c r="H18" s="1072">
        <v>923222469</v>
      </c>
      <c r="I18" s="1099"/>
      <c r="J18" s="1106"/>
      <c r="K18" s="1106"/>
      <c r="L18" s="1093"/>
      <c r="M18" s="1093"/>
      <c r="N18" s="1093"/>
      <c r="O18" s="1093"/>
      <c r="P18" s="1093"/>
      <c r="Q18" s="1093"/>
      <c r="R18" s="1093"/>
      <c r="S18" s="1093"/>
      <c r="T18" s="1093"/>
      <c r="U18" s="1094"/>
      <c r="V18" s="1094"/>
      <c r="W18" s="939"/>
      <c r="X18" s="940">
        <f>+H18</f>
        <v>923222469</v>
      </c>
      <c r="Y18" s="1124">
        <f>+H18/$H$17</f>
        <v>0.9903456521385348</v>
      </c>
      <c r="Z18" s="1086"/>
    </row>
    <row r="19" spans="1:26" s="925" customFormat="1" ht="12.75">
      <c r="A19" s="939" t="s">
        <v>137</v>
      </c>
      <c r="B19" s="1091">
        <v>20</v>
      </c>
      <c r="C19" s="1123" t="s">
        <v>136</v>
      </c>
      <c r="D19" s="941">
        <v>115000000</v>
      </c>
      <c r="E19" s="942">
        <v>4845669</v>
      </c>
      <c r="F19" s="942">
        <v>1426408</v>
      </c>
      <c r="G19" s="942">
        <v>8647080</v>
      </c>
      <c r="H19" s="1072">
        <v>9000000</v>
      </c>
      <c r="I19" s="1099"/>
      <c r="J19" s="1106"/>
      <c r="K19" s="1106"/>
      <c r="L19" s="1093"/>
      <c r="M19" s="1093"/>
      <c r="N19" s="1093"/>
      <c r="O19" s="1093"/>
      <c r="P19" s="1093"/>
      <c r="Q19" s="1093"/>
      <c r="R19" s="1093"/>
      <c r="S19" s="1093"/>
      <c r="T19" s="1093"/>
      <c r="U19" s="1094"/>
      <c r="V19" s="1094"/>
      <c r="W19" s="939"/>
      <c r="X19" s="940">
        <f>+H19</f>
        <v>9000000</v>
      </c>
      <c r="Y19" s="1124">
        <f>+H19/$H$17</f>
        <v>0.009654347861465244</v>
      </c>
      <c r="Z19" s="1086"/>
    </row>
    <row r="20" spans="1:26" s="925" customFormat="1" ht="12.75">
      <c r="A20" s="939" t="s">
        <v>135</v>
      </c>
      <c r="B20" s="1091">
        <v>20</v>
      </c>
      <c r="C20" s="1123" t="s">
        <v>134</v>
      </c>
      <c r="D20" s="941">
        <v>1000000</v>
      </c>
      <c r="E20" s="942">
        <v>26800</v>
      </c>
      <c r="F20" s="942">
        <v>0</v>
      </c>
      <c r="G20" s="942">
        <v>850000</v>
      </c>
      <c r="H20" s="1072">
        <v>1000000</v>
      </c>
      <c r="I20" s="1099"/>
      <c r="J20" s="1106"/>
      <c r="K20" s="1106"/>
      <c r="L20" s="1093"/>
      <c r="M20" s="1093"/>
      <c r="N20" s="1093"/>
      <c r="O20" s="1093"/>
      <c r="P20" s="1093"/>
      <c r="Q20" s="1093"/>
      <c r="R20" s="1093"/>
      <c r="S20" s="1093"/>
      <c r="T20" s="1093"/>
      <c r="U20" s="1094"/>
      <c r="V20" s="1094"/>
      <c r="W20" s="939"/>
      <c r="X20" s="940">
        <f>+H20</f>
        <v>1000000</v>
      </c>
      <c r="Y20" s="1137">
        <f>+H20/$H$17</f>
        <v>0.0010727053179405827</v>
      </c>
      <c r="Z20" s="1086"/>
    </row>
    <row r="21" spans="1:26" s="925" customFormat="1" ht="12.75">
      <c r="A21" s="939" t="s">
        <v>133</v>
      </c>
      <c r="B21" s="1091">
        <v>20</v>
      </c>
      <c r="C21" s="1123" t="s">
        <v>132</v>
      </c>
      <c r="D21" s="941">
        <v>500000</v>
      </c>
      <c r="E21" s="942">
        <v>910600</v>
      </c>
      <c r="F21" s="942">
        <v>150000</v>
      </c>
      <c r="G21" s="942"/>
      <c r="H21" s="1072">
        <v>500000</v>
      </c>
      <c r="I21" s="1099"/>
      <c r="J21" s="1106"/>
      <c r="K21" s="1106"/>
      <c r="L21" s="1093"/>
      <c r="M21" s="1093"/>
      <c r="N21" s="1093"/>
      <c r="O21" s="1093"/>
      <c r="P21" s="1093"/>
      <c r="Q21" s="1093"/>
      <c r="R21" s="1093"/>
      <c r="S21" s="1093"/>
      <c r="T21" s="1093"/>
      <c r="U21" s="1094"/>
      <c r="V21" s="1094"/>
      <c r="W21" s="939"/>
      <c r="X21" s="940">
        <f>+H21</f>
        <v>500000</v>
      </c>
      <c r="Y21" s="1137">
        <f>+H21/$H$17</f>
        <v>0.0005363526589702913</v>
      </c>
      <c r="Z21" s="1086"/>
    </row>
    <row r="22" spans="1:26" s="925" customFormat="1" ht="12.75" hidden="1">
      <c r="A22" s="939" t="s">
        <v>131</v>
      </c>
      <c r="B22" s="1091">
        <v>20</v>
      </c>
      <c r="C22" s="1123" t="s">
        <v>130</v>
      </c>
      <c r="D22" s="941">
        <v>500000</v>
      </c>
      <c r="E22" s="942">
        <v>1342200</v>
      </c>
      <c r="F22" s="942">
        <v>889000</v>
      </c>
      <c r="G22" s="942">
        <v>0</v>
      </c>
      <c r="H22" s="943">
        <v>0</v>
      </c>
      <c r="I22" s="1099"/>
      <c r="J22" s="1106"/>
      <c r="K22" s="1106"/>
      <c r="L22" s="1093"/>
      <c r="M22" s="1093"/>
      <c r="N22" s="1093"/>
      <c r="O22" s="1093"/>
      <c r="P22" s="1093"/>
      <c r="Q22" s="1093"/>
      <c r="R22" s="1093"/>
      <c r="S22" s="1093"/>
      <c r="T22" s="1093"/>
      <c r="U22" s="1094"/>
      <c r="V22" s="1094"/>
      <c r="W22" s="939"/>
      <c r="X22" s="939"/>
      <c r="Y22" s="1124"/>
      <c r="Z22" s="1086"/>
    </row>
    <row r="23" spans="1:26" s="925" customFormat="1" ht="12.75" hidden="1">
      <c r="A23" s="939" t="s">
        <v>129</v>
      </c>
      <c r="B23" s="1091"/>
      <c r="C23" s="1123" t="s">
        <v>128</v>
      </c>
      <c r="D23" s="941">
        <v>1000000</v>
      </c>
      <c r="E23" s="928"/>
      <c r="F23" s="928">
        <v>0</v>
      </c>
      <c r="G23" s="928"/>
      <c r="H23" s="928">
        <v>0</v>
      </c>
      <c r="I23" s="928"/>
      <c r="J23" s="1106"/>
      <c r="K23" s="1106"/>
      <c r="L23" s="1093"/>
      <c r="M23" s="1093"/>
      <c r="N23" s="1093"/>
      <c r="O23" s="1093"/>
      <c r="P23" s="1093"/>
      <c r="Q23" s="1093"/>
      <c r="R23" s="1093"/>
      <c r="S23" s="1093"/>
      <c r="T23" s="1093"/>
      <c r="U23" s="1094"/>
      <c r="V23" s="1094"/>
      <c r="W23" s="939"/>
      <c r="X23" s="939"/>
      <c r="Y23" s="1124"/>
      <c r="Z23" s="1086"/>
    </row>
    <row r="24" spans="1:26" s="925" customFormat="1" ht="12.75">
      <c r="A24" s="939" t="s">
        <v>127</v>
      </c>
      <c r="B24" s="1091">
        <v>21</v>
      </c>
      <c r="C24" s="1123" t="s">
        <v>126</v>
      </c>
      <c r="D24" s="941">
        <v>10000000</v>
      </c>
      <c r="E24" s="928"/>
      <c r="F24" s="928">
        <v>231554396</v>
      </c>
      <c r="G24" s="928">
        <v>337000000</v>
      </c>
      <c r="H24" s="1073">
        <v>506000000</v>
      </c>
      <c r="I24" s="928">
        <f>+H24</f>
        <v>506000000</v>
      </c>
      <c r="J24" s="1106"/>
      <c r="K24" s="1106"/>
      <c r="L24" s="1093"/>
      <c r="M24" s="1093"/>
      <c r="N24" s="1093"/>
      <c r="O24" s="1093"/>
      <c r="P24" s="1093"/>
      <c r="Q24" s="1093"/>
      <c r="R24" s="1093"/>
      <c r="S24" s="1093"/>
      <c r="T24" s="1093"/>
      <c r="U24" s="1094"/>
      <c r="V24" s="1094"/>
      <c r="W24" s="939"/>
      <c r="X24" s="939"/>
      <c r="Y24" s="1137">
        <f>+H24/$H$17</f>
        <v>0.5427888908779348</v>
      </c>
      <c r="Z24" s="1086"/>
    </row>
    <row r="25" spans="1:26" s="925" customFormat="1" ht="25.5">
      <c r="A25" s="939" t="s">
        <v>125</v>
      </c>
      <c r="B25" s="1091">
        <v>20</v>
      </c>
      <c r="C25" s="1123" t="s">
        <v>124</v>
      </c>
      <c r="D25" s="941">
        <v>1500000</v>
      </c>
      <c r="E25" s="942">
        <v>4062552</v>
      </c>
      <c r="F25" s="942">
        <v>6960115</v>
      </c>
      <c r="G25" s="942">
        <v>17019914</v>
      </c>
      <c r="H25" s="1072">
        <v>7500000</v>
      </c>
      <c r="I25" s="1099"/>
      <c r="J25" s="1106"/>
      <c r="K25" s="1106"/>
      <c r="L25" s="1093"/>
      <c r="M25" s="1093"/>
      <c r="N25" s="1093"/>
      <c r="O25" s="1093"/>
      <c r="P25" s="1093"/>
      <c r="Q25" s="1093"/>
      <c r="R25" s="1093"/>
      <c r="S25" s="1093"/>
      <c r="T25" s="1093"/>
      <c r="U25" s="1094"/>
      <c r="V25" s="1094"/>
      <c r="W25" s="939"/>
      <c r="X25" s="940">
        <f>+H25</f>
        <v>7500000</v>
      </c>
      <c r="Y25" s="1137">
        <f>+H25/$H$17</f>
        <v>0.00804528988455437</v>
      </c>
      <c r="Z25" s="1086"/>
    </row>
    <row r="26" spans="1:26" s="925" customFormat="1" ht="12.75">
      <c r="A26" s="939" t="s">
        <v>123</v>
      </c>
      <c r="B26" s="1091">
        <v>20</v>
      </c>
      <c r="C26" s="1123" t="s">
        <v>122</v>
      </c>
      <c r="D26" s="941">
        <v>200000</v>
      </c>
      <c r="E26" s="942">
        <v>768541</v>
      </c>
      <c r="F26" s="942">
        <v>691817</v>
      </c>
      <c r="G26" s="942">
        <v>0</v>
      </c>
      <c r="H26" s="1072">
        <v>700000</v>
      </c>
      <c r="I26" s="1099"/>
      <c r="J26" s="1106"/>
      <c r="K26" s="1106"/>
      <c r="L26" s="1093"/>
      <c r="M26" s="1093"/>
      <c r="N26" s="1093"/>
      <c r="O26" s="1093"/>
      <c r="P26" s="1093"/>
      <c r="Q26" s="1093"/>
      <c r="R26" s="1093"/>
      <c r="S26" s="1093"/>
      <c r="T26" s="1093"/>
      <c r="U26" s="1094"/>
      <c r="V26" s="1094"/>
      <c r="W26" s="939"/>
      <c r="X26" s="940">
        <f>+H26</f>
        <v>700000</v>
      </c>
      <c r="Y26" s="1137">
        <f>+H26/$H$17</f>
        <v>0.0007508937225584078</v>
      </c>
      <c r="Z26" s="1086"/>
    </row>
    <row r="27" spans="1:26" s="925" customFormat="1" ht="12.75">
      <c r="A27" s="939" t="s">
        <v>121</v>
      </c>
      <c r="B27" s="1091">
        <v>20</v>
      </c>
      <c r="C27" s="1123" t="s">
        <v>120</v>
      </c>
      <c r="D27" s="941">
        <v>500000</v>
      </c>
      <c r="E27" s="942">
        <v>2050941</v>
      </c>
      <c r="F27" s="942">
        <v>3455000</v>
      </c>
      <c r="G27" s="942">
        <v>805000</v>
      </c>
      <c r="H27" s="1072">
        <v>1000000</v>
      </c>
      <c r="I27" s="1099"/>
      <c r="J27" s="1106"/>
      <c r="K27" s="1106"/>
      <c r="L27" s="1093"/>
      <c r="M27" s="1093"/>
      <c r="N27" s="1093"/>
      <c r="O27" s="1093"/>
      <c r="P27" s="1093"/>
      <c r="Q27" s="1093"/>
      <c r="R27" s="1093"/>
      <c r="S27" s="1093"/>
      <c r="T27" s="1093"/>
      <c r="U27" s="1094"/>
      <c r="V27" s="1094"/>
      <c r="W27" s="939"/>
      <c r="X27" s="940">
        <f>+H27</f>
        <v>1000000</v>
      </c>
      <c r="Y27" s="1137">
        <f>+H27/$H$17</f>
        <v>0.0010727053179405827</v>
      </c>
      <c r="Z27" s="1086"/>
    </row>
    <row r="28" spans="1:26" s="925" customFormat="1" ht="12.75">
      <c r="A28" s="939" t="s">
        <v>119</v>
      </c>
      <c r="B28" s="1091">
        <v>22</v>
      </c>
      <c r="C28" s="1123" t="s">
        <v>118</v>
      </c>
      <c r="D28" s="941">
        <v>262000000</v>
      </c>
      <c r="E28" s="942">
        <v>248775190</v>
      </c>
      <c r="F28" s="942">
        <v>453111730</v>
      </c>
      <c r="G28" s="942">
        <v>392619537</v>
      </c>
      <c r="H28" s="1072">
        <v>500000000</v>
      </c>
      <c r="I28" s="928">
        <f>+H28</f>
        <v>500000000</v>
      </c>
      <c r="J28" s="1106"/>
      <c r="K28" s="1106"/>
      <c r="L28" s="1093"/>
      <c r="M28" s="1093"/>
      <c r="N28" s="1093"/>
      <c r="O28" s="1093"/>
      <c r="P28" s="1093"/>
      <c r="Q28" s="1093"/>
      <c r="R28" s="1093"/>
      <c r="S28" s="1093"/>
      <c r="T28" s="1093"/>
      <c r="U28" s="1094"/>
      <c r="V28" s="1094"/>
      <c r="W28" s="939"/>
      <c r="X28" s="939"/>
      <c r="Y28" s="1137">
        <f>+H28/$H$17</f>
        <v>0.5363526589702914</v>
      </c>
      <c r="Z28" s="1086"/>
    </row>
    <row r="29" spans="1:26" s="962" customFormat="1" ht="12.75">
      <c r="A29" s="936" t="s">
        <v>117</v>
      </c>
      <c r="B29" s="1092"/>
      <c r="C29" s="1125" t="s">
        <v>116</v>
      </c>
      <c r="D29" s="937">
        <f>SUM(D30:D31)</f>
        <v>4170600000</v>
      </c>
      <c r="E29" s="937">
        <f>SUM(E30:E31)</f>
        <v>4277715661</v>
      </c>
      <c r="F29" s="937">
        <f>SUM(F30:F31)</f>
        <v>2466531176</v>
      </c>
      <c r="G29" s="937">
        <f>SUM(G30:G31)</f>
        <v>2834640275</v>
      </c>
      <c r="H29" s="938">
        <f>SUM(H30:H31)</f>
        <v>5031455000</v>
      </c>
      <c r="I29" s="937"/>
      <c r="J29" s="1105"/>
      <c r="K29" s="1105"/>
      <c r="L29" s="1105"/>
      <c r="M29" s="1105"/>
      <c r="N29" s="1105"/>
      <c r="O29" s="1105"/>
      <c r="P29" s="1105"/>
      <c r="Q29" s="1105"/>
      <c r="R29" s="1105"/>
      <c r="S29" s="1105"/>
      <c r="T29" s="1105"/>
      <c r="U29" s="1104"/>
      <c r="V29" s="1104"/>
      <c r="W29" s="936"/>
      <c r="X29" s="936"/>
      <c r="Y29" s="1126">
        <f>+H29/$H$8</f>
        <v>0.2407249400714459</v>
      </c>
      <c r="Z29" s="1088"/>
    </row>
    <row r="30" spans="1:26" s="925" customFormat="1" ht="12.75">
      <c r="A30" s="939" t="s">
        <v>115</v>
      </c>
      <c r="B30" s="1091">
        <v>23</v>
      </c>
      <c r="C30" s="1123" t="s">
        <v>114</v>
      </c>
      <c r="D30" s="941">
        <v>1390200000</v>
      </c>
      <c r="E30" s="942">
        <v>1446234376</v>
      </c>
      <c r="F30" s="942">
        <v>826888141</v>
      </c>
      <c r="G30" s="942">
        <v>944793831</v>
      </c>
      <c r="H30" s="1072">
        <f>2110500000-500000000</f>
        <v>1610500000</v>
      </c>
      <c r="I30" s="928">
        <f>+H30</f>
        <v>1610500000</v>
      </c>
      <c r="J30" s="1106"/>
      <c r="K30" s="1106"/>
      <c r="L30" s="1093"/>
      <c r="M30" s="1093"/>
      <c r="N30" s="1093"/>
      <c r="O30" s="1093"/>
      <c r="P30" s="1093"/>
      <c r="Q30" s="1093"/>
      <c r="R30" s="1093"/>
      <c r="S30" s="1093"/>
      <c r="T30" s="1093"/>
      <c r="U30" s="1094"/>
      <c r="V30" s="1094"/>
      <c r="W30" s="939"/>
      <c r="X30" s="939"/>
      <c r="Y30" s="1124">
        <f>+H30/H29</f>
        <v>0.32008633685484617</v>
      </c>
      <c r="Z30" s="1086"/>
    </row>
    <row r="31" spans="1:26" s="925" customFormat="1" ht="12.75">
      <c r="A31" s="939" t="s">
        <v>113</v>
      </c>
      <c r="B31" s="1091">
        <v>24</v>
      </c>
      <c r="C31" s="1123" t="s">
        <v>112</v>
      </c>
      <c r="D31" s="941">
        <v>2780400000</v>
      </c>
      <c r="E31" s="942">
        <v>2831481285</v>
      </c>
      <c r="F31" s="942">
        <v>1639643035</v>
      </c>
      <c r="G31" s="942">
        <v>1889846444</v>
      </c>
      <c r="H31" s="1072">
        <v>3420955000</v>
      </c>
      <c r="I31" s="928">
        <f>+H31</f>
        <v>3420955000</v>
      </c>
      <c r="J31" s="1106"/>
      <c r="K31" s="1106"/>
      <c r="L31" s="1093"/>
      <c r="M31" s="1093"/>
      <c r="N31" s="1093"/>
      <c r="O31" s="1093"/>
      <c r="P31" s="1093"/>
      <c r="Q31" s="1093"/>
      <c r="R31" s="1093"/>
      <c r="S31" s="1093"/>
      <c r="T31" s="1093"/>
      <c r="U31" s="1094"/>
      <c r="V31" s="1094"/>
      <c r="W31" s="939"/>
      <c r="X31" s="939"/>
      <c r="Y31" s="1124">
        <f>+H31/H29</f>
        <v>0.6799136631451539</v>
      </c>
      <c r="Z31" s="1086"/>
    </row>
    <row r="32" spans="1:26" s="962" customFormat="1" ht="12.75">
      <c r="A32" s="936" t="s">
        <v>111</v>
      </c>
      <c r="B32" s="1092"/>
      <c r="C32" s="1125" t="s">
        <v>110</v>
      </c>
      <c r="D32" s="937">
        <f>SUM(D33)</f>
        <v>1000000</v>
      </c>
      <c r="E32" s="937">
        <f>+E33</f>
        <v>5748318</v>
      </c>
      <c r="F32" s="937">
        <f>+F33</f>
        <v>6053919</v>
      </c>
      <c r="G32" s="937">
        <f>+G33</f>
        <v>2758343</v>
      </c>
      <c r="H32" s="938">
        <f>+H33</f>
        <v>3000000</v>
      </c>
      <c r="I32" s="937"/>
      <c r="J32" s="1105"/>
      <c r="K32" s="1105"/>
      <c r="L32" s="1103"/>
      <c r="M32" s="1103"/>
      <c r="N32" s="1103"/>
      <c r="O32" s="1103"/>
      <c r="P32" s="1103"/>
      <c r="Q32" s="1103"/>
      <c r="R32" s="1103"/>
      <c r="S32" s="1103"/>
      <c r="T32" s="1103"/>
      <c r="U32" s="1104"/>
      <c r="V32" s="1104"/>
      <c r="W32" s="936"/>
      <c r="X32" s="936"/>
      <c r="Y32" s="1138">
        <f>+H32/$H$8</f>
        <v>0.00014353200420441756</v>
      </c>
      <c r="Z32" s="1088"/>
    </row>
    <row r="33" spans="1:26" s="925" customFormat="1" ht="12.75">
      <c r="A33" s="939" t="s">
        <v>109</v>
      </c>
      <c r="B33" s="1091">
        <v>20</v>
      </c>
      <c r="C33" s="1123" t="s">
        <v>108</v>
      </c>
      <c r="D33" s="941">
        <v>1000000</v>
      </c>
      <c r="E33" s="942">
        <v>5748318</v>
      </c>
      <c r="F33" s="942">
        <v>6053919</v>
      </c>
      <c r="G33" s="942">
        <v>2758343</v>
      </c>
      <c r="H33" s="1072">
        <v>3000000</v>
      </c>
      <c r="I33" s="1099"/>
      <c r="J33" s="1106"/>
      <c r="K33" s="1106"/>
      <c r="L33" s="1093"/>
      <c r="M33" s="1093"/>
      <c r="N33" s="1093"/>
      <c r="O33" s="1093"/>
      <c r="P33" s="1093"/>
      <c r="Q33" s="1093"/>
      <c r="R33" s="1093"/>
      <c r="S33" s="1093"/>
      <c r="T33" s="1093"/>
      <c r="U33" s="1094"/>
      <c r="V33" s="1094"/>
      <c r="W33" s="939"/>
      <c r="X33" s="940">
        <f>+H33</f>
        <v>3000000</v>
      </c>
      <c r="Y33" s="1124">
        <f>+H33/H32</f>
        <v>1</v>
      </c>
      <c r="Z33" s="1086"/>
    </row>
    <row r="34" spans="1:26" s="962" customFormat="1" ht="15">
      <c r="A34" s="936" t="s">
        <v>107</v>
      </c>
      <c r="B34" s="1092"/>
      <c r="C34" s="1125" t="s">
        <v>106</v>
      </c>
      <c r="D34" s="937">
        <f>+D35+D36+D37+D38+D39+D40+D41+D42+D43+D44+D45+D52+D55++D56+D58</f>
        <v>159813050000</v>
      </c>
      <c r="E34" s="937">
        <f>+E35+E36+E37+E38+E39+E40+E41+E42+E43+E44+E45+E52+E55+E56+E58</f>
        <v>30028851804.7</v>
      </c>
      <c r="F34" s="937">
        <f>+F35+F36+F37+F38+F39+F40+F41+F42+F43+F44+F45+F52+F55+F56+F58</f>
        <v>10321712215</v>
      </c>
      <c r="G34" s="937">
        <f>+G35+G36+G37+G38+G39+G40+G41+G42+G43+G44+G45+G52+G55+G56+G58+G57</f>
        <v>1398883435</v>
      </c>
      <c r="H34" s="938">
        <f>+H35+H36+H37+H38+H39+H40+H41+H42+H43+H44+H45+H52+H55+H56+H58+H57</f>
        <v>3673781000</v>
      </c>
      <c r="I34" s="937"/>
      <c r="J34" s="1105"/>
      <c r="K34" s="1105"/>
      <c r="L34" s="1103"/>
      <c r="M34" s="1103"/>
      <c r="N34" s="1103"/>
      <c r="O34" s="1103"/>
      <c r="P34" s="1103"/>
      <c r="Q34" s="1103"/>
      <c r="R34" s="1103"/>
      <c r="S34" s="1103"/>
      <c r="T34" s="1103"/>
      <c r="U34" s="1104"/>
      <c r="V34" s="1104"/>
      <c r="W34" s="936"/>
      <c r="X34" s="936"/>
      <c r="Y34" s="1122">
        <f>+H34/H7</f>
        <v>0.08858600366680723</v>
      </c>
      <c r="Z34" s="1088"/>
    </row>
    <row r="35" spans="1:26" s="925" customFormat="1" ht="14.25">
      <c r="A35" s="939" t="s">
        <v>105</v>
      </c>
      <c r="B35" s="1091">
        <v>20</v>
      </c>
      <c r="C35" s="1123" t="s">
        <v>104</v>
      </c>
      <c r="D35" s="941">
        <v>30000000</v>
      </c>
      <c r="E35" s="942">
        <v>39819718</v>
      </c>
      <c r="F35" s="942">
        <v>38366182</v>
      </c>
      <c r="G35" s="942">
        <v>31011796</v>
      </c>
      <c r="H35" s="1072">
        <v>41000000</v>
      </c>
      <c r="I35" s="1099"/>
      <c r="J35" s="1106"/>
      <c r="K35" s="1106"/>
      <c r="L35" s="1106"/>
      <c r="M35" s="1106"/>
      <c r="N35" s="1106"/>
      <c r="O35" s="1106"/>
      <c r="P35" s="1106"/>
      <c r="Q35" s="1106"/>
      <c r="R35" s="1106"/>
      <c r="S35" s="1106"/>
      <c r="T35" s="1106"/>
      <c r="U35" s="1094"/>
      <c r="V35" s="1094"/>
      <c r="W35" s="939"/>
      <c r="X35" s="940">
        <f aca="true" t="shared" si="1" ref="X35:X43">+H35</f>
        <v>41000000</v>
      </c>
      <c r="Y35" s="1141">
        <f>+H35/$H$34</f>
        <v>0.0111601644191638</v>
      </c>
      <c r="Z35" s="1086"/>
    </row>
    <row r="36" spans="1:26" s="925" customFormat="1" ht="14.25">
      <c r="A36" s="939" t="s">
        <v>103</v>
      </c>
      <c r="B36" s="1091">
        <v>20</v>
      </c>
      <c r="C36" s="1123" t="s">
        <v>102</v>
      </c>
      <c r="D36" s="941">
        <v>30000000</v>
      </c>
      <c r="E36" s="942">
        <v>38779474</v>
      </c>
      <c r="F36" s="942">
        <v>52771515</v>
      </c>
      <c r="G36" s="942">
        <v>40788436</v>
      </c>
      <c r="H36" s="1072">
        <v>54384000</v>
      </c>
      <c r="I36" s="1099"/>
      <c r="J36" s="1106"/>
      <c r="K36" s="1106"/>
      <c r="L36" s="1093"/>
      <c r="M36" s="1093"/>
      <c r="N36" s="1093"/>
      <c r="O36" s="1093"/>
      <c r="P36" s="1093"/>
      <c r="Q36" s="1093"/>
      <c r="R36" s="1093"/>
      <c r="S36" s="1093"/>
      <c r="T36" s="1093"/>
      <c r="U36" s="1094"/>
      <c r="V36" s="1094"/>
      <c r="W36" s="939"/>
      <c r="X36" s="940">
        <f t="shared" si="1"/>
        <v>54384000</v>
      </c>
      <c r="Y36" s="1141">
        <f aca="true" t="shared" si="2" ref="Y36:Y44">+H36/$H$34</f>
        <v>0.014803277604190342</v>
      </c>
      <c r="Z36" s="1086"/>
    </row>
    <row r="37" spans="1:26" s="925" customFormat="1" ht="14.25">
      <c r="A37" s="939" t="s">
        <v>101</v>
      </c>
      <c r="B37" s="1091">
        <v>20</v>
      </c>
      <c r="C37" s="1123" t="s">
        <v>100</v>
      </c>
      <c r="D37" s="941">
        <v>3000000</v>
      </c>
      <c r="E37" s="942">
        <v>3078208</v>
      </c>
      <c r="F37" s="942">
        <v>1815680</v>
      </c>
      <c r="G37" s="942">
        <v>14701451</v>
      </c>
      <c r="H37" s="1072">
        <v>15000000</v>
      </c>
      <c r="I37" s="1099"/>
      <c r="J37" s="1106"/>
      <c r="K37" s="1106"/>
      <c r="L37" s="1093"/>
      <c r="M37" s="1093"/>
      <c r="N37" s="1093"/>
      <c r="O37" s="1093"/>
      <c r="P37" s="1093"/>
      <c r="Q37" s="1093"/>
      <c r="R37" s="1093"/>
      <c r="S37" s="1093"/>
      <c r="T37" s="1093"/>
      <c r="U37" s="1094"/>
      <c r="V37" s="1094"/>
      <c r="W37" s="939"/>
      <c r="X37" s="940">
        <f t="shared" si="1"/>
        <v>15000000</v>
      </c>
      <c r="Y37" s="1141">
        <f t="shared" si="2"/>
        <v>0.0040829869826209024</v>
      </c>
      <c r="Z37" s="1086"/>
    </row>
    <row r="38" spans="1:26" s="925" customFormat="1" ht="14.25">
      <c r="A38" s="939" t="s">
        <v>99</v>
      </c>
      <c r="B38" s="1091">
        <v>20</v>
      </c>
      <c r="C38" s="1123" t="s">
        <v>98</v>
      </c>
      <c r="D38" s="941">
        <v>500000</v>
      </c>
      <c r="E38" s="928"/>
      <c r="F38" s="928">
        <v>0</v>
      </c>
      <c r="G38" s="928">
        <v>0</v>
      </c>
      <c r="H38" s="1073">
        <v>500000</v>
      </c>
      <c r="I38" s="928"/>
      <c r="J38" s="1106"/>
      <c r="K38" s="1106"/>
      <c r="L38" s="1093"/>
      <c r="M38" s="1093"/>
      <c r="N38" s="1093"/>
      <c r="O38" s="1093"/>
      <c r="P38" s="1093"/>
      <c r="Q38" s="1093"/>
      <c r="R38" s="1093"/>
      <c r="S38" s="1093"/>
      <c r="T38" s="1093"/>
      <c r="U38" s="1094"/>
      <c r="V38" s="1094"/>
      <c r="W38" s="939"/>
      <c r="X38" s="940">
        <f t="shared" si="1"/>
        <v>500000</v>
      </c>
      <c r="Y38" s="1141">
        <f t="shared" si="2"/>
        <v>0.0001360995660873634</v>
      </c>
      <c r="Z38" s="1086"/>
    </row>
    <row r="39" spans="1:26" s="925" customFormat="1" ht="14.25" hidden="1">
      <c r="A39" s="939" t="s">
        <v>97</v>
      </c>
      <c r="B39" s="1091">
        <v>20</v>
      </c>
      <c r="C39" s="1123" t="s">
        <v>96</v>
      </c>
      <c r="D39" s="941">
        <v>280000000</v>
      </c>
      <c r="E39" s="942">
        <v>309077794.7</v>
      </c>
      <c r="F39" s="942">
        <v>17347878</v>
      </c>
      <c r="G39" s="942">
        <v>0</v>
      </c>
      <c r="H39" s="1072">
        <v>0</v>
      </c>
      <c r="I39" s="1099"/>
      <c r="J39" s="1106"/>
      <c r="K39" s="1106"/>
      <c r="L39" s="1093"/>
      <c r="M39" s="1093"/>
      <c r="N39" s="1093"/>
      <c r="O39" s="1093"/>
      <c r="P39" s="1093"/>
      <c r="Q39" s="1093"/>
      <c r="R39" s="1093"/>
      <c r="S39" s="1093"/>
      <c r="T39" s="1093"/>
      <c r="U39" s="1094"/>
      <c r="V39" s="1094"/>
      <c r="W39" s="939"/>
      <c r="X39" s="940">
        <f t="shared" si="1"/>
        <v>0</v>
      </c>
      <c r="Y39" s="1141">
        <f t="shared" si="2"/>
        <v>0</v>
      </c>
      <c r="Z39" s="1086"/>
    </row>
    <row r="40" spans="1:26" s="925" customFormat="1" ht="14.25">
      <c r="A40" s="939" t="s">
        <v>95</v>
      </c>
      <c r="B40" s="1091">
        <v>20</v>
      </c>
      <c r="C40" s="1123" t="s">
        <v>94</v>
      </c>
      <c r="D40" s="941">
        <v>500000</v>
      </c>
      <c r="E40" s="942">
        <v>612178</v>
      </c>
      <c r="F40" s="942">
        <v>2823777</v>
      </c>
      <c r="G40" s="942">
        <v>1748636</v>
      </c>
      <c r="H40" s="1072">
        <v>2000000</v>
      </c>
      <c r="I40" s="1099"/>
      <c r="J40" s="1106"/>
      <c r="K40" s="1106"/>
      <c r="L40" s="1093"/>
      <c r="M40" s="1093"/>
      <c r="N40" s="1093"/>
      <c r="O40" s="1093"/>
      <c r="P40" s="1093"/>
      <c r="Q40" s="1093"/>
      <c r="R40" s="1093"/>
      <c r="S40" s="1093"/>
      <c r="T40" s="1093"/>
      <c r="U40" s="1094"/>
      <c r="V40" s="1094"/>
      <c r="W40" s="939"/>
      <c r="X40" s="940">
        <f t="shared" si="1"/>
        <v>2000000</v>
      </c>
      <c r="Y40" s="1141">
        <f t="shared" si="2"/>
        <v>0.0005443982643494537</v>
      </c>
      <c r="Z40" s="1086"/>
    </row>
    <row r="41" spans="1:26" s="925" customFormat="1" ht="14.25">
      <c r="A41" s="939" t="s">
        <v>93</v>
      </c>
      <c r="B41" s="1091">
        <v>20</v>
      </c>
      <c r="C41" s="1123" t="s">
        <v>92</v>
      </c>
      <c r="D41" s="941">
        <v>500000</v>
      </c>
      <c r="E41" s="942">
        <v>27000</v>
      </c>
      <c r="F41" s="942">
        <v>0</v>
      </c>
      <c r="G41" s="942">
        <v>0</v>
      </c>
      <c r="H41" s="1072">
        <v>200000</v>
      </c>
      <c r="I41" s="1099"/>
      <c r="J41" s="1106"/>
      <c r="K41" s="1106"/>
      <c r="L41" s="1093"/>
      <c r="M41" s="1093"/>
      <c r="N41" s="1093"/>
      <c r="O41" s="1093"/>
      <c r="P41" s="1093"/>
      <c r="Q41" s="1093"/>
      <c r="R41" s="1093"/>
      <c r="S41" s="1093"/>
      <c r="T41" s="1093"/>
      <c r="U41" s="1094"/>
      <c r="V41" s="1094"/>
      <c r="W41" s="939"/>
      <c r="X41" s="940">
        <f t="shared" si="1"/>
        <v>200000</v>
      </c>
      <c r="Y41" s="1141">
        <f t="shared" si="2"/>
        <v>5.443982643494536E-05</v>
      </c>
      <c r="Z41" s="1086"/>
    </row>
    <row r="42" spans="1:26" s="925" customFormat="1" ht="14.25">
      <c r="A42" s="939" t="s">
        <v>91</v>
      </c>
      <c r="B42" s="1091">
        <v>20</v>
      </c>
      <c r="C42" s="1123" t="s">
        <v>90</v>
      </c>
      <c r="D42" s="941">
        <v>500000</v>
      </c>
      <c r="E42" s="942">
        <v>114650</v>
      </c>
      <c r="F42" s="942">
        <v>291400</v>
      </c>
      <c r="G42" s="942">
        <v>164944</v>
      </c>
      <c r="H42" s="1072">
        <v>200000</v>
      </c>
      <c r="I42" s="1099"/>
      <c r="J42" s="1106"/>
      <c r="K42" s="1106"/>
      <c r="L42" s="1093"/>
      <c r="M42" s="1093"/>
      <c r="N42" s="1093"/>
      <c r="O42" s="1093"/>
      <c r="P42" s="1093"/>
      <c r="Q42" s="1093"/>
      <c r="R42" s="1093"/>
      <c r="S42" s="1093"/>
      <c r="T42" s="1093"/>
      <c r="U42" s="1094"/>
      <c r="V42" s="1094"/>
      <c r="W42" s="939"/>
      <c r="X42" s="940">
        <f t="shared" si="1"/>
        <v>200000</v>
      </c>
      <c r="Y42" s="1141">
        <f t="shared" si="2"/>
        <v>5.443982643494536E-05</v>
      </c>
      <c r="Z42" s="1086"/>
    </row>
    <row r="43" spans="1:26" s="925" customFormat="1" ht="14.25">
      <c r="A43" s="939" t="s">
        <v>89</v>
      </c>
      <c r="B43" s="1091">
        <v>20</v>
      </c>
      <c r="C43" s="1123" t="s">
        <v>88</v>
      </c>
      <c r="D43" s="941">
        <v>500000</v>
      </c>
      <c r="E43" s="942">
        <v>123600</v>
      </c>
      <c r="F43" s="942">
        <v>0</v>
      </c>
      <c r="G43" s="942">
        <v>0</v>
      </c>
      <c r="H43" s="1072">
        <v>200000</v>
      </c>
      <c r="I43" s="1099"/>
      <c r="J43" s="1106"/>
      <c r="K43" s="1106"/>
      <c r="L43" s="1093"/>
      <c r="M43" s="1093"/>
      <c r="N43" s="1093"/>
      <c r="O43" s="1093"/>
      <c r="P43" s="1093"/>
      <c r="Q43" s="1093"/>
      <c r="R43" s="1093"/>
      <c r="S43" s="1093"/>
      <c r="T43" s="1093"/>
      <c r="U43" s="1094"/>
      <c r="V43" s="1094"/>
      <c r="W43" s="939"/>
      <c r="X43" s="940">
        <f t="shared" si="1"/>
        <v>200000</v>
      </c>
      <c r="Y43" s="1141">
        <f t="shared" si="2"/>
        <v>5.443982643494536E-05</v>
      </c>
      <c r="Z43" s="1086"/>
    </row>
    <row r="44" spans="1:26" s="925" customFormat="1" ht="25.5">
      <c r="A44" s="939" t="s">
        <v>87</v>
      </c>
      <c r="B44" s="1091">
        <v>30</v>
      </c>
      <c r="C44" s="1123" t="s">
        <v>86</v>
      </c>
      <c r="D44" s="941">
        <v>3417850000</v>
      </c>
      <c r="E44" s="942">
        <v>1501687595</v>
      </c>
      <c r="F44" s="942">
        <v>1017068381</v>
      </c>
      <c r="G44" s="942">
        <v>1257671658</v>
      </c>
      <c r="H44" s="1072">
        <v>3500000000</v>
      </c>
      <c r="I44" s="928">
        <f>+H44</f>
        <v>3500000000</v>
      </c>
      <c r="J44" s="1106"/>
      <c r="K44" s="1106"/>
      <c r="L44" s="1093"/>
      <c r="M44" s="1093"/>
      <c r="N44" s="1093"/>
      <c r="O44" s="1093"/>
      <c r="P44" s="1093"/>
      <c r="Q44" s="1093"/>
      <c r="R44" s="1093"/>
      <c r="S44" s="1093"/>
      <c r="T44" s="1093"/>
      <c r="U44" s="1094"/>
      <c r="V44" s="1094"/>
      <c r="W44" s="939"/>
      <c r="X44" s="939"/>
      <c r="Y44" s="1140">
        <f t="shared" si="2"/>
        <v>0.9526969626115438</v>
      </c>
      <c r="Z44" s="1086"/>
    </row>
    <row r="45" spans="1:26" s="962" customFormat="1" ht="15">
      <c r="A45" s="936" t="s">
        <v>85</v>
      </c>
      <c r="B45" s="1092"/>
      <c r="C45" s="1125" t="s">
        <v>84</v>
      </c>
      <c r="D45" s="937">
        <f>SUM(D46:D51)</f>
        <v>17700000</v>
      </c>
      <c r="E45" s="937">
        <f>SUM(E46:E51)</f>
        <v>75897124</v>
      </c>
      <c r="F45" s="937">
        <f>SUM(F46:F51)</f>
        <v>110736428</v>
      </c>
      <c r="G45" s="937">
        <f>SUM(G46:G51)</f>
        <v>13073876</v>
      </c>
      <c r="H45" s="938">
        <f>SUM(H46:H51)</f>
        <v>19500000</v>
      </c>
      <c r="I45" s="937"/>
      <c r="J45" s="1105"/>
      <c r="K45" s="1105"/>
      <c r="L45" s="1103"/>
      <c r="M45" s="1103"/>
      <c r="N45" s="1103"/>
      <c r="O45" s="1103"/>
      <c r="P45" s="1103"/>
      <c r="Q45" s="1103"/>
      <c r="R45" s="1103"/>
      <c r="S45" s="1103"/>
      <c r="T45" s="1103"/>
      <c r="U45" s="1104"/>
      <c r="V45" s="1104"/>
      <c r="W45" s="936"/>
      <c r="X45" s="936"/>
      <c r="Y45" s="1122">
        <f>+H45/H44</f>
        <v>0.005571428571428572</v>
      </c>
      <c r="Z45" s="1088"/>
    </row>
    <row r="46" spans="1:26" s="925" customFormat="1" ht="14.25">
      <c r="A46" s="939" t="s">
        <v>83</v>
      </c>
      <c r="B46" s="1091">
        <v>20</v>
      </c>
      <c r="C46" s="1123" t="s">
        <v>69</v>
      </c>
      <c r="D46" s="941">
        <v>10000000</v>
      </c>
      <c r="E46" s="942">
        <v>60597124</v>
      </c>
      <c r="F46" s="942">
        <v>66930649</v>
      </c>
      <c r="G46" s="942">
        <v>13073876</v>
      </c>
      <c r="H46" s="1072">
        <v>15000000</v>
      </c>
      <c r="I46" s="1099"/>
      <c r="J46" s="1106"/>
      <c r="K46" s="1106"/>
      <c r="L46" s="1093"/>
      <c r="M46" s="1093"/>
      <c r="N46" s="1093"/>
      <c r="O46" s="1093"/>
      <c r="P46" s="1093"/>
      <c r="Q46" s="1093"/>
      <c r="R46" s="1093"/>
      <c r="S46" s="1093"/>
      <c r="T46" s="1093"/>
      <c r="U46" s="1094"/>
      <c r="V46" s="1094"/>
      <c r="W46" s="939"/>
      <c r="X46" s="940">
        <f>+H46</f>
        <v>15000000</v>
      </c>
      <c r="Y46" s="1140">
        <f aca="true" t="shared" si="3" ref="Y46:Y51">+H46/$H$45</f>
        <v>0.7692307692307693</v>
      </c>
      <c r="Z46" s="1086"/>
    </row>
    <row r="47" spans="1:26" s="925" customFormat="1" ht="14.25">
      <c r="A47" s="939" t="s">
        <v>82</v>
      </c>
      <c r="B47" s="1091">
        <v>20</v>
      </c>
      <c r="C47" s="1123" t="s">
        <v>81</v>
      </c>
      <c r="D47" s="941">
        <v>1000000</v>
      </c>
      <c r="E47" s="928"/>
      <c r="F47" s="928">
        <v>0</v>
      </c>
      <c r="G47" s="928">
        <v>0</v>
      </c>
      <c r="H47" s="1073">
        <v>500000</v>
      </c>
      <c r="I47" s="928"/>
      <c r="J47" s="1106"/>
      <c r="K47" s="1106"/>
      <c r="L47" s="1093"/>
      <c r="M47" s="1093"/>
      <c r="N47" s="1093"/>
      <c r="O47" s="1093"/>
      <c r="P47" s="1093"/>
      <c r="Q47" s="1093"/>
      <c r="R47" s="1093"/>
      <c r="S47" s="1093"/>
      <c r="T47" s="1093"/>
      <c r="U47" s="1094"/>
      <c r="V47" s="1094"/>
      <c r="W47" s="939"/>
      <c r="X47" s="940">
        <f>+H47</f>
        <v>500000</v>
      </c>
      <c r="Y47" s="1140">
        <f t="shared" si="3"/>
        <v>0.02564102564102564</v>
      </c>
      <c r="Z47" s="1086"/>
    </row>
    <row r="48" spans="1:26" s="925" customFormat="1" ht="14.25">
      <c r="A48" s="939" t="s">
        <v>80</v>
      </c>
      <c r="B48" s="1091">
        <v>20</v>
      </c>
      <c r="C48" s="1123" t="s">
        <v>79</v>
      </c>
      <c r="D48" s="941">
        <v>5000000</v>
      </c>
      <c r="E48" s="942">
        <v>700000</v>
      </c>
      <c r="F48" s="942">
        <v>4170200</v>
      </c>
      <c r="G48" s="942"/>
      <c r="H48" s="1072">
        <v>1000000</v>
      </c>
      <c r="I48" s="1099"/>
      <c r="J48" s="1106"/>
      <c r="K48" s="1106"/>
      <c r="L48" s="1093"/>
      <c r="M48" s="1093"/>
      <c r="N48" s="1093"/>
      <c r="O48" s="1093"/>
      <c r="P48" s="1093"/>
      <c r="Q48" s="1093"/>
      <c r="R48" s="1093"/>
      <c r="S48" s="1093"/>
      <c r="T48" s="1093"/>
      <c r="U48" s="1094"/>
      <c r="V48" s="1094"/>
      <c r="W48" s="939"/>
      <c r="X48" s="940">
        <f>+H48</f>
        <v>1000000</v>
      </c>
      <c r="Y48" s="1140">
        <f t="shared" si="3"/>
        <v>0.05128205128205128</v>
      </c>
      <c r="Z48" s="1086"/>
    </row>
    <row r="49" spans="1:26" s="925" customFormat="1" ht="14.25">
      <c r="A49" s="939" t="s">
        <v>78</v>
      </c>
      <c r="B49" s="1091">
        <v>20</v>
      </c>
      <c r="C49" s="1123" t="s">
        <v>77</v>
      </c>
      <c r="D49" s="941">
        <v>500000</v>
      </c>
      <c r="E49" s="942">
        <v>14600000</v>
      </c>
      <c r="F49" s="942">
        <v>0</v>
      </c>
      <c r="G49" s="942">
        <v>0</v>
      </c>
      <c r="H49" s="1072">
        <v>500000</v>
      </c>
      <c r="I49" s="1099"/>
      <c r="J49" s="1106"/>
      <c r="K49" s="1106"/>
      <c r="L49" s="1093"/>
      <c r="M49" s="1093"/>
      <c r="N49" s="1093"/>
      <c r="O49" s="1093"/>
      <c r="P49" s="1093"/>
      <c r="Q49" s="1093"/>
      <c r="R49" s="1093"/>
      <c r="S49" s="1093"/>
      <c r="T49" s="1093"/>
      <c r="U49" s="1094"/>
      <c r="V49" s="1094"/>
      <c r="W49" s="939"/>
      <c r="X49" s="940">
        <f>+H49</f>
        <v>500000</v>
      </c>
      <c r="Y49" s="1140">
        <f t="shared" si="3"/>
        <v>0.02564102564102564</v>
      </c>
      <c r="Z49" s="1086"/>
    </row>
    <row r="50" spans="1:26" s="925" customFormat="1" ht="14.25">
      <c r="A50" s="939" t="s">
        <v>76</v>
      </c>
      <c r="B50" s="1091">
        <v>20</v>
      </c>
      <c r="C50" s="1123" t="s">
        <v>75</v>
      </c>
      <c r="D50" s="941">
        <v>1000000</v>
      </c>
      <c r="E50" s="928"/>
      <c r="F50" s="942">
        <v>39635579</v>
      </c>
      <c r="G50" s="942">
        <f>+E50*$N$10</f>
        <v>0</v>
      </c>
      <c r="H50" s="1073">
        <v>2000000</v>
      </c>
      <c r="I50" s="928"/>
      <c r="J50" s="1106"/>
      <c r="K50" s="1106"/>
      <c r="L50" s="1093"/>
      <c r="M50" s="1093"/>
      <c r="N50" s="1093"/>
      <c r="O50" s="1093"/>
      <c r="P50" s="1093"/>
      <c r="Q50" s="1093"/>
      <c r="R50" s="1093"/>
      <c r="S50" s="1093"/>
      <c r="T50" s="1093"/>
      <c r="U50" s="1094"/>
      <c r="V50" s="1094"/>
      <c r="W50" s="939"/>
      <c r="X50" s="940">
        <f>+H50</f>
        <v>2000000</v>
      </c>
      <c r="Y50" s="1140">
        <f t="shared" si="3"/>
        <v>0.10256410256410256</v>
      </c>
      <c r="Z50" s="1086"/>
    </row>
    <row r="51" spans="1:26" s="925" customFormat="1" ht="14.25">
      <c r="A51" s="939" t="s">
        <v>516</v>
      </c>
      <c r="B51" s="1091">
        <v>20</v>
      </c>
      <c r="C51" s="1123" t="s">
        <v>515</v>
      </c>
      <c r="D51" s="941">
        <v>200000</v>
      </c>
      <c r="E51" s="928"/>
      <c r="F51" s="928">
        <v>0</v>
      </c>
      <c r="G51" s="928"/>
      <c r="H51" s="1073">
        <v>500000</v>
      </c>
      <c r="I51" s="928">
        <f>+H51</f>
        <v>500000</v>
      </c>
      <c r="J51" s="1106"/>
      <c r="K51" s="1106"/>
      <c r="L51" s="1093"/>
      <c r="M51" s="1093"/>
      <c r="N51" s="1093"/>
      <c r="O51" s="1093"/>
      <c r="P51" s="1093"/>
      <c r="Q51" s="1093"/>
      <c r="R51" s="1093"/>
      <c r="S51" s="1093"/>
      <c r="T51" s="1093"/>
      <c r="U51" s="1094"/>
      <c r="V51" s="1094"/>
      <c r="W51" s="939"/>
      <c r="X51" s="939"/>
      <c r="Y51" s="1140">
        <f t="shared" si="3"/>
        <v>0.02564102564102564</v>
      </c>
      <c r="Z51" s="1086"/>
    </row>
    <row r="52" spans="1:26" s="962" customFormat="1" ht="15">
      <c r="A52" s="936" t="s">
        <v>74</v>
      </c>
      <c r="B52" s="1092"/>
      <c r="C52" s="1125" t="s">
        <v>73</v>
      </c>
      <c r="D52" s="937">
        <f>SUM(D53:D54)</f>
        <v>26500000</v>
      </c>
      <c r="E52" s="937">
        <f>SUM(E53:E54)</f>
        <v>21050027</v>
      </c>
      <c r="F52" s="937">
        <f>SUM(F53:F54)</f>
        <v>62964192</v>
      </c>
      <c r="G52" s="937">
        <f>SUM(G53:G54)</f>
        <v>25296168</v>
      </c>
      <c r="H52" s="938">
        <f>SUM(H53:H54)</f>
        <v>30000000</v>
      </c>
      <c r="I52" s="937"/>
      <c r="J52" s="1105"/>
      <c r="K52" s="1105"/>
      <c r="L52" s="1103"/>
      <c r="M52" s="1103"/>
      <c r="N52" s="1103"/>
      <c r="O52" s="1103"/>
      <c r="P52" s="1103"/>
      <c r="Q52" s="1103"/>
      <c r="R52" s="1103"/>
      <c r="S52" s="1103"/>
      <c r="T52" s="1103"/>
      <c r="U52" s="1104"/>
      <c r="V52" s="1104"/>
      <c r="W52" s="936"/>
      <c r="X52" s="936"/>
      <c r="Y52" s="1122">
        <f>+H52/H34</f>
        <v>0.008165973965241805</v>
      </c>
      <c r="Z52" s="1088"/>
    </row>
    <row r="53" spans="1:26" s="925" customFormat="1" ht="14.25">
      <c r="A53" s="939" t="s">
        <v>72</v>
      </c>
      <c r="B53" s="1091">
        <v>20</v>
      </c>
      <c r="C53" s="1123" t="s">
        <v>71</v>
      </c>
      <c r="D53" s="941">
        <v>20000000</v>
      </c>
      <c r="E53" s="942">
        <v>4150092</v>
      </c>
      <c r="F53" s="942">
        <v>24845097</v>
      </c>
      <c r="G53" s="942">
        <v>13667008</v>
      </c>
      <c r="H53" s="1072">
        <v>15000000</v>
      </c>
      <c r="I53" s="1099"/>
      <c r="J53" s="1106"/>
      <c r="K53" s="1106"/>
      <c r="L53" s="1093"/>
      <c r="M53" s="1093"/>
      <c r="N53" s="1093"/>
      <c r="O53" s="1093"/>
      <c r="P53" s="1093"/>
      <c r="Q53" s="1093"/>
      <c r="R53" s="1093"/>
      <c r="S53" s="1093"/>
      <c r="T53" s="1093"/>
      <c r="U53" s="1094"/>
      <c r="V53" s="1094"/>
      <c r="W53" s="939"/>
      <c r="X53" s="940">
        <f>+H53</f>
        <v>15000000</v>
      </c>
      <c r="Y53" s="1140">
        <f>+H53/$H$52</f>
        <v>0.5</v>
      </c>
      <c r="Z53" s="1086"/>
    </row>
    <row r="54" spans="1:26" s="925" customFormat="1" ht="14.25">
      <c r="A54" s="939" t="s">
        <v>70</v>
      </c>
      <c r="B54" s="1091">
        <v>20</v>
      </c>
      <c r="C54" s="1123" t="s">
        <v>69</v>
      </c>
      <c r="D54" s="941">
        <v>6500000</v>
      </c>
      <c r="E54" s="942">
        <v>16899935</v>
      </c>
      <c r="F54" s="942">
        <v>38119095</v>
      </c>
      <c r="G54" s="942">
        <v>11629160</v>
      </c>
      <c r="H54" s="1072">
        <v>15000000</v>
      </c>
      <c r="I54" s="1099"/>
      <c r="J54" s="1106"/>
      <c r="K54" s="1106"/>
      <c r="L54" s="1093"/>
      <c r="M54" s="1093"/>
      <c r="N54" s="1093"/>
      <c r="O54" s="1093"/>
      <c r="P54" s="1093"/>
      <c r="Q54" s="1093"/>
      <c r="R54" s="1093"/>
      <c r="S54" s="1093"/>
      <c r="T54" s="1093"/>
      <c r="U54" s="1094"/>
      <c r="V54" s="1094"/>
      <c r="W54" s="939"/>
      <c r="X54" s="940">
        <f>+H54</f>
        <v>15000000</v>
      </c>
      <c r="Y54" s="1140">
        <f>+H54/$H$52</f>
        <v>0.5</v>
      </c>
      <c r="Z54" s="1086"/>
    </row>
    <row r="55" spans="1:26" s="925" customFormat="1" ht="15" hidden="1">
      <c r="A55" s="939" t="s">
        <v>68</v>
      </c>
      <c r="B55" s="1091">
        <v>40</v>
      </c>
      <c r="C55" s="1123" t="s">
        <v>607</v>
      </c>
      <c r="D55" s="941">
        <v>156000000000</v>
      </c>
      <c r="E55" s="928">
        <v>28024426319</v>
      </c>
      <c r="F55" s="928">
        <v>9000000000</v>
      </c>
      <c r="G55" s="928"/>
      <c r="H55" s="1073"/>
      <c r="I55" s="928"/>
      <c r="J55" s="1106"/>
      <c r="K55" s="1106"/>
      <c r="L55" s="1093"/>
      <c r="M55" s="1093"/>
      <c r="N55" s="1093"/>
      <c r="O55" s="1093"/>
      <c r="P55" s="1093"/>
      <c r="Q55" s="1093"/>
      <c r="R55" s="1093"/>
      <c r="S55" s="1093"/>
      <c r="T55" s="1093"/>
      <c r="U55" s="1094"/>
      <c r="V55" s="1094"/>
      <c r="W55" s="939"/>
      <c r="X55" s="939"/>
      <c r="Y55" s="1122">
        <f>+H55/H54</f>
        <v>0</v>
      </c>
      <c r="Z55" s="1086"/>
    </row>
    <row r="56" spans="1:26" s="925" customFormat="1" ht="15" hidden="1">
      <c r="A56" s="939" t="s">
        <v>518</v>
      </c>
      <c r="B56" s="1091">
        <v>25</v>
      </c>
      <c r="C56" s="1123" t="s">
        <v>517</v>
      </c>
      <c r="D56" s="941">
        <v>2000000</v>
      </c>
      <c r="E56" s="928">
        <v>4974195</v>
      </c>
      <c r="F56" s="942">
        <v>2704332</v>
      </c>
      <c r="G56" s="942"/>
      <c r="H56" s="928"/>
      <c r="I56" s="928"/>
      <c r="J56" s="1106"/>
      <c r="K56" s="1106"/>
      <c r="L56" s="1093"/>
      <c r="M56" s="1093"/>
      <c r="N56" s="1093"/>
      <c r="O56" s="1093"/>
      <c r="P56" s="1093"/>
      <c r="Q56" s="1093"/>
      <c r="R56" s="1093"/>
      <c r="S56" s="1093"/>
      <c r="T56" s="1093"/>
      <c r="U56" s="1094"/>
      <c r="V56" s="1094"/>
      <c r="W56" s="939"/>
      <c r="X56" s="939"/>
      <c r="Y56" s="1122" t="e">
        <f>+H56/H55</f>
        <v>#DIV/0!</v>
      </c>
      <c r="Z56" s="1086"/>
    </row>
    <row r="57" spans="1:26" s="962" customFormat="1" ht="15" hidden="1">
      <c r="A57" s="936"/>
      <c r="B57" s="1092"/>
      <c r="C57" s="1123" t="s">
        <v>614</v>
      </c>
      <c r="D57" s="937"/>
      <c r="E57" s="938"/>
      <c r="F57" s="964"/>
      <c r="G57" s="964"/>
      <c r="H57" s="938"/>
      <c r="I57" s="938"/>
      <c r="J57" s="1105"/>
      <c r="K57" s="1105"/>
      <c r="L57" s="1103"/>
      <c r="M57" s="1103"/>
      <c r="N57" s="1103"/>
      <c r="O57" s="1103"/>
      <c r="P57" s="1103"/>
      <c r="Q57" s="1103"/>
      <c r="R57" s="1103"/>
      <c r="S57" s="1103"/>
      <c r="T57" s="1103"/>
      <c r="U57" s="1104"/>
      <c r="V57" s="1104"/>
      <c r="W57" s="936"/>
      <c r="X57" s="936"/>
      <c r="Y57" s="1122" t="e">
        <f>+H57/H56</f>
        <v>#DIV/0!</v>
      </c>
      <c r="Z57" s="1088"/>
    </row>
    <row r="58" spans="1:26" s="962" customFormat="1" ht="15">
      <c r="A58" s="936" t="s">
        <v>65</v>
      </c>
      <c r="B58" s="1092"/>
      <c r="C58" s="1125" t="s">
        <v>59</v>
      </c>
      <c r="D58" s="937">
        <f>SUM(D59:D61)</f>
        <v>3500000</v>
      </c>
      <c r="E58" s="937">
        <f>SUM(E59:E61)</f>
        <v>9183922</v>
      </c>
      <c r="F58" s="937">
        <f>SUM(F59:F61)</f>
        <v>14822450</v>
      </c>
      <c r="G58" s="937">
        <f>SUM(G59:G61)</f>
        <v>14426470</v>
      </c>
      <c r="H58" s="938">
        <f>SUM(H59:H61)</f>
        <v>10797000</v>
      </c>
      <c r="I58" s="937"/>
      <c r="J58" s="1105"/>
      <c r="K58" s="1105"/>
      <c r="L58" s="1103"/>
      <c r="M58" s="1103"/>
      <c r="N58" s="1103"/>
      <c r="O58" s="1103"/>
      <c r="P58" s="1103"/>
      <c r="Q58" s="1103"/>
      <c r="R58" s="1103"/>
      <c r="S58" s="1103"/>
      <c r="T58" s="1103"/>
      <c r="U58" s="1104"/>
      <c r="V58" s="1104"/>
      <c r="W58" s="936"/>
      <c r="X58" s="936"/>
      <c r="Y58" s="1139">
        <f>+H58/H34</f>
        <v>0.0029389340300905254</v>
      </c>
      <c r="Z58" s="1088"/>
    </row>
    <row r="59" spans="1:26" s="925" customFormat="1" ht="14.25">
      <c r="A59" s="939" t="s">
        <v>64</v>
      </c>
      <c r="B59" s="1091">
        <v>20</v>
      </c>
      <c r="C59" s="1123" t="s">
        <v>63</v>
      </c>
      <c r="D59" s="941">
        <v>1000000</v>
      </c>
      <c r="E59" s="942">
        <v>1340445</v>
      </c>
      <c r="F59" s="942">
        <v>1650000</v>
      </c>
      <c r="G59" s="942">
        <v>1940000</v>
      </c>
      <c r="H59" s="1072">
        <v>1527000</v>
      </c>
      <c r="I59" s="1099"/>
      <c r="J59" s="1106"/>
      <c r="K59" s="1106"/>
      <c r="L59" s="1093"/>
      <c r="M59" s="1093"/>
      <c r="N59" s="1093"/>
      <c r="O59" s="1093"/>
      <c r="P59" s="1093"/>
      <c r="Q59" s="1093"/>
      <c r="R59" s="1093"/>
      <c r="S59" s="1093"/>
      <c r="T59" s="1093"/>
      <c r="U59" s="1094"/>
      <c r="V59" s="1094"/>
      <c r="W59" s="939"/>
      <c r="X59" s="940">
        <f>+H59</f>
        <v>1527000</v>
      </c>
      <c r="Y59" s="1140">
        <f>+H59/$H$58</f>
        <v>0.1414281744929147</v>
      </c>
      <c r="Z59" s="1086"/>
    </row>
    <row r="60" spans="1:26" s="925" customFormat="1" ht="14.25">
      <c r="A60" s="939" t="s">
        <v>62</v>
      </c>
      <c r="B60" s="1091">
        <v>20</v>
      </c>
      <c r="C60" s="1123" t="s">
        <v>61</v>
      </c>
      <c r="D60" s="941">
        <v>2000000</v>
      </c>
      <c r="E60" s="942">
        <v>7489477</v>
      </c>
      <c r="F60" s="942">
        <v>11137710</v>
      </c>
      <c r="G60" s="942">
        <v>5303462</v>
      </c>
      <c r="H60" s="1072">
        <v>6677000</v>
      </c>
      <c r="I60" s="1099"/>
      <c r="J60" s="1106"/>
      <c r="K60" s="1106"/>
      <c r="L60" s="1093"/>
      <c r="M60" s="1093"/>
      <c r="N60" s="1093"/>
      <c r="O60" s="1093"/>
      <c r="P60" s="1093"/>
      <c r="Q60" s="1093"/>
      <c r="R60" s="1093"/>
      <c r="S60" s="1093"/>
      <c r="T60" s="1093"/>
      <c r="U60" s="1094"/>
      <c r="V60" s="1094"/>
      <c r="W60" s="939"/>
      <c r="X60" s="940">
        <f>+H60</f>
        <v>6677000</v>
      </c>
      <c r="Y60" s="1140">
        <f>+H60/$H$58</f>
        <v>0.6184125219968509</v>
      </c>
      <c r="Z60" s="1086"/>
    </row>
    <row r="61" spans="1:26" s="925" customFormat="1" ht="14.25">
      <c r="A61" s="939" t="s">
        <v>60</v>
      </c>
      <c r="B61" s="1091">
        <v>20</v>
      </c>
      <c r="C61" s="1123" t="s">
        <v>59</v>
      </c>
      <c r="D61" s="941">
        <v>500000</v>
      </c>
      <c r="E61" s="942">
        <v>354000</v>
      </c>
      <c r="F61" s="942">
        <v>2034740</v>
      </c>
      <c r="G61" s="942">
        <v>7183008</v>
      </c>
      <c r="H61" s="1072">
        <v>2593000</v>
      </c>
      <c r="I61" s="1099"/>
      <c r="J61" s="1106"/>
      <c r="K61" s="1106"/>
      <c r="L61" s="1093"/>
      <c r="M61" s="1093"/>
      <c r="N61" s="1093"/>
      <c r="O61" s="1093"/>
      <c r="P61" s="1093"/>
      <c r="Q61" s="1093"/>
      <c r="R61" s="1093"/>
      <c r="S61" s="1093"/>
      <c r="T61" s="1093"/>
      <c r="U61" s="1094"/>
      <c r="V61" s="1094"/>
      <c r="W61" s="939"/>
      <c r="X61" s="940">
        <f>+H61</f>
        <v>2593000</v>
      </c>
      <c r="Y61" s="1140">
        <f>+H61/$H$58</f>
        <v>0.24015930351023432</v>
      </c>
      <c r="Z61" s="1086"/>
    </row>
    <row r="62" spans="1:26" s="925" customFormat="1" ht="15">
      <c r="A62" s="936" t="s">
        <v>58</v>
      </c>
      <c r="B62" s="1092"/>
      <c r="C62" s="1125" t="s">
        <v>57</v>
      </c>
      <c r="D62" s="937">
        <f>+D63+D65+D66++D78+D79+D74</f>
        <v>5145502144</v>
      </c>
      <c r="E62" s="937">
        <f>+E63+E64+E65+E66+E74+E78+E79</f>
        <v>5573017315.1</v>
      </c>
      <c r="F62" s="937">
        <f>+F63+F64+F65+F66+F74+F78+F79</f>
        <v>6399548337</v>
      </c>
      <c r="G62" s="937">
        <f>+G63+G64+G65+G66+G74+G78+G79</f>
        <v>6467134670</v>
      </c>
      <c r="H62" s="938">
        <f>+H63+H64+H65+H66+H74+H78+H79</f>
        <v>6531390334.09</v>
      </c>
      <c r="I62" s="937"/>
      <c r="J62" s="1106"/>
      <c r="K62" s="1106"/>
      <c r="L62" s="1093"/>
      <c r="M62" s="1093"/>
      <c r="N62" s="1093"/>
      <c r="O62" s="1093"/>
      <c r="P62" s="1093"/>
      <c r="Q62" s="1093"/>
      <c r="R62" s="1093"/>
      <c r="S62" s="1093"/>
      <c r="T62" s="1093"/>
      <c r="U62" s="1094"/>
      <c r="V62" s="1094"/>
      <c r="W62" s="939"/>
      <c r="X62" s="939"/>
      <c r="Y62" s="1122">
        <f>+H62/H7</f>
        <v>0.157491632757926</v>
      </c>
      <c r="Z62" s="1086"/>
    </row>
    <row r="63" spans="1:26" s="925" customFormat="1" ht="14.25">
      <c r="A63" s="939" t="s">
        <v>56</v>
      </c>
      <c r="B63" s="1091">
        <v>80</v>
      </c>
      <c r="C63" s="1123" t="s">
        <v>55</v>
      </c>
      <c r="D63" s="941">
        <v>954853272</v>
      </c>
      <c r="E63" s="942">
        <v>682419150</v>
      </c>
      <c r="F63" s="942">
        <v>750089526</v>
      </c>
      <c r="G63" s="942">
        <v>844780936</v>
      </c>
      <c r="H63" s="1072">
        <v>844780936</v>
      </c>
      <c r="I63" s="928">
        <f>+H63</f>
        <v>844780936</v>
      </c>
      <c r="J63" s="1106"/>
      <c r="K63" s="1106"/>
      <c r="L63" s="1093"/>
      <c r="M63" s="1093"/>
      <c r="N63" s="1093"/>
      <c r="O63" s="1093"/>
      <c r="P63" s="1093"/>
      <c r="Q63" s="1093"/>
      <c r="R63" s="1093"/>
      <c r="S63" s="1093"/>
      <c r="T63" s="1093"/>
      <c r="U63" s="1094"/>
      <c r="V63" s="1094"/>
      <c r="W63" s="939"/>
      <c r="X63" s="939"/>
      <c r="Y63" s="1140">
        <f>+H63/$H$62</f>
        <v>0.12934167042363742</v>
      </c>
      <c r="Z63" s="1086"/>
    </row>
    <row r="64" spans="1:26" s="925" customFormat="1" ht="14.25">
      <c r="A64" s="939"/>
      <c r="B64" s="1091">
        <v>300</v>
      </c>
      <c r="C64" s="1123" t="s">
        <v>584</v>
      </c>
      <c r="D64" s="941"/>
      <c r="E64" s="942">
        <v>215845000</v>
      </c>
      <c r="F64" s="942">
        <v>518628000</v>
      </c>
      <c r="G64" s="942">
        <v>550036000</v>
      </c>
      <c r="H64" s="1072">
        <v>550036000</v>
      </c>
      <c r="I64" s="928">
        <f>+H64</f>
        <v>550036000</v>
      </c>
      <c r="J64" s="1106"/>
      <c r="K64" s="1106"/>
      <c r="L64" s="1093"/>
      <c r="M64" s="1093"/>
      <c r="N64" s="1093"/>
      <c r="O64" s="1093"/>
      <c r="P64" s="1093"/>
      <c r="Q64" s="1093"/>
      <c r="R64" s="1093"/>
      <c r="S64" s="1093"/>
      <c r="T64" s="1093"/>
      <c r="U64" s="1094"/>
      <c r="V64" s="1094"/>
      <c r="W64" s="939"/>
      <c r="X64" s="939"/>
      <c r="Y64" s="1140">
        <f>+H64/$H$62</f>
        <v>0.0842142288034964</v>
      </c>
      <c r="Z64" s="1086"/>
    </row>
    <row r="65" spans="1:26" s="925" customFormat="1" ht="14.25">
      <c r="A65" s="939" t="s">
        <v>54</v>
      </c>
      <c r="B65" s="1091">
        <v>90</v>
      </c>
      <c r="C65" s="1123" t="s">
        <v>53</v>
      </c>
      <c r="D65" s="941">
        <v>1147770906</v>
      </c>
      <c r="E65" s="942">
        <v>1334858724</v>
      </c>
      <c r="F65" s="942">
        <v>1554155792</v>
      </c>
      <c r="G65" s="942">
        <v>1600780471</v>
      </c>
      <c r="H65" s="1072">
        <v>1524413636</v>
      </c>
      <c r="I65" s="1099"/>
      <c r="J65" s="1106"/>
      <c r="K65" s="1106"/>
      <c r="L65" s="1093"/>
      <c r="M65" s="1093"/>
      <c r="N65" s="1093"/>
      <c r="O65" s="1093"/>
      <c r="P65" s="1093"/>
      <c r="Q65" s="1093"/>
      <c r="R65" s="1093"/>
      <c r="S65" s="1093"/>
      <c r="T65" s="1093"/>
      <c r="U65" s="1094"/>
      <c r="V65" s="1094"/>
      <c r="W65" s="939"/>
      <c r="X65" s="940">
        <f>+H65</f>
        <v>1524413636</v>
      </c>
      <c r="Y65" s="1140">
        <f>+H65/$H$62</f>
        <v>0.23339802982581842</v>
      </c>
      <c r="Z65" s="1086"/>
    </row>
    <row r="66" spans="1:26" s="925" customFormat="1" ht="15">
      <c r="A66" s="936" t="s">
        <v>52</v>
      </c>
      <c r="B66" s="1092"/>
      <c r="C66" s="1125" t="s">
        <v>51</v>
      </c>
      <c r="D66" s="937">
        <f>SUM(D67:D73)</f>
        <v>2831877966</v>
      </c>
      <c r="E66" s="937">
        <f>SUM(E67:E73)</f>
        <v>2885224206</v>
      </c>
      <c r="F66" s="937">
        <f>SUM(F67:F73)</f>
        <v>3175325007</v>
      </c>
      <c r="G66" s="937">
        <f>SUM(G67:G73)</f>
        <v>3203704479</v>
      </c>
      <c r="H66" s="938">
        <f>SUM(H67:H73)</f>
        <v>3248659762.09</v>
      </c>
      <c r="I66" s="937"/>
      <c r="J66" s="1105"/>
      <c r="K66" s="1105"/>
      <c r="L66" s="1103"/>
      <c r="M66" s="1103"/>
      <c r="N66" s="1103"/>
      <c r="O66" s="1103"/>
      <c r="P66" s="1103"/>
      <c r="Q66" s="1103"/>
      <c r="R66" s="1103"/>
      <c r="S66" s="1103"/>
      <c r="T66" s="1103"/>
      <c r="U66" s="1094"/>
      <c r="V66" s="1094"/>
      <c r="W66" s="939"/>
      <c r="X66" s="939"/>
      <c r="Y66" s="1122">
        <f>+H66/H7</f>
        <v>0.07833504109164752</v>
      </c>
      <c r="Z66" s="1086"/>
    </row>
    <row r="67" spans="1:26" s="925" customFormat="1" ht="14.25">
      <c r="A67" s="939" t="s">
        <v>50</v>
      </c>
      <c r="B67" s="1091">
        <v>91</v>
      </c>
      <c r="C67" s="1123" t="s">
        <v>49</v>
      </c>
      <c r="D67" s="941">
        <v>94774098</v>
      </c>
      <c r="E67" s="942">
        <v>97539764</v>
      </c>
      <c r="F67" s="942">
        <v>100779706</v>
      </c>
      <c r="G67" s="942">
        <v>104519208</v>
      </c>
      <c r="H67" s="1072">
        <v>104519208</v>
      </c>
      <c r="I67" s="928">
        <f aca="true" t="shared" si="4" ref="I67:I72">+H67</f>
        <v>104519208</v>
      </c>
      <c r="J67" s="1105"/>
      <c r="K67" s="1105"/>
      <c r="L67" s="1103"/>
      <c r="M67" s="1103"/>
      <c r="N67" s="1103"/>
      <c r="O67" s="1103"/>
      <c r="P67" s="1103"/>
      <c r="Q67" s="1103"/>
      <c r="R67" s="1103"/>
      <c r="S67" s="1103"/>
      <c r="T67" s="1103"/>
      <c r="U67" s="1094"/>
      <c r="V67" s="1094"/>
      <c r="W67" s="939"/>
      <c r="X67" s="939"/>
      <c r="Y67" s="1140">
        <f aca="true" t="shared" si="5" ref="Y67:Y72">+H67/$H$66</f>
        <v>0.03217302384807401</v>
      </c>
      <c r="Z67" s="1086"/>
    </row>
    <row r="68" spans="1:26" s="925" customFormat="1" ht="14.25">
      <c r="A68" s="939" t="s">
        <v>48</v>
      </c>
      <c r="B68" s="1091">
        <v>92</v>
      </c>
      <c r="C68" s="1123" t="s">
        <v>47</v>
      </c>
      <c r="D68" s="941">
        <v>71080574</v>
      </c>
      <c r="E68" s="942">
        <v>73154822</v>
      </c>
      <c r="F68" s="942">
        <v>75584786</v>
      </c>
      <c r="G68" s="942">
        <v>78389407</v>
      </c>
      <c r="H68" s="1072">
        <v>78389407</v>
      </c>
      <c r="I68" s="928">
        <f t="shared" si="4"/>
        <v>78389407</v>
      </c>
      <c r="J68" s="1105"/>
      <c r="K68" s="1105"/>
      <c r="L68" s="1103"/>
      <c r="M68" s="1103"/>
      <c r="N68" s="1103"/>
      <c r="O68" s="1103"/>
      <c r="P68" s="1103"/>
      <c r="Q68" s="1103"/>
      <c r="R68" s="1103"/>
      <c r="S68" s="1103"/>
      <c r="T68" s="1103"/>
      <c r="U68" s="1094"/>
      <c r="V68" s="1094"/>
      <c r="W68" s="939"/>
      <c r="X68" s="939"/>
      <c r="Y68" s="1140">
        <f t="shared" si="5"/>
        <v>0.02412976819387475</v>
      </c>
      <c r="Z68" s="1086"/>
    </row>
    <row r="69" spans="1:26" s="925" customFormat="1" ht="14.25">
      <c r="A69" s="939" t="s">
        <v>46</v>
      </c>
      <c r="B69" s="1091">
        <v>93</v>
      </c>
      <c r="C69" s="1123" t="s">
        <v>45</v>
      </c>
      <c r="D69" s="941">
        <v>824546466</v>
      </c>
      <c r="E69" s="942">
        <v>874618288</v>
      </c>
      <c r="F69" s="942">
        <v>930363592</v>
      </c>
      <c r="G69" s="942">
        <v>927633659</v>
      </c>
      <c r="H69" s="1072">
        <v>927633659</v>
      </c>
      <c r="I69" s="928">
        <f t="shared" si="4"/>
        <v>927633659</v>
      </c>
      <c r="J69" s="1106"/>
      <c r="K69" s="1106"/>
      <c r="L69" s="1093"/>
      <c r="M69" s="1093"/>
      <c r="N69" s="1093"/>
      <c r="O69" s="1093"/>
      <c r="P69" s="1093"/>
      <c r="Q69" s="1093"/>
      <c r="R69" s="1093"/>
      <c r="S69" s="1093"/>
      <c r="T69" s="1093"/>
      <c r="U69" s="1094"/>
      <c r="V69" s="1094"/>
      <c r="W69" s="939"/>
      <c r="X69" s="939"/>
      <c r="Y69" s="1140">
        <f t="shared" si="5"/>
        <v>0.2855434939124601</v>
      </c>
      <c r="Z69" s="1086"/>
    </row>
    <row r="70" spans="1:26" s="925" customFormat="1" ht="14.25">
      <c r="A70" s="939" t="s">
        <v>44</v>
      </c>
      <c r="B70" s="1091">
        <v>94</v>
      </c>
      <c r="C70" s="1123" t="s">
        <v>43</v>
      </c>
      <c r="D70" s="941">
        <v>1480702866</v>
      </c>
      <c r="E70" s="942">
        <v>1675013341</v>
      </c>
      <c r="F70" s="942">
        <v>1857146728</v>
      </c>
      <c r="G70" s="942">
        <v>1875368503</v>
      </c>
      <c r="H70" s="1072">
        <f>+G70*$O$10</f>
        <v>1931629558.0900002</v>
      </c>
      <c r="I70" s="928">
        <f t="shared" si="4"/>
        <v>1931629558.0900002</v>
      </c>
      <c r="J70" s="1106"/>
      <c r="K70" s="1106"/>
      <c r="L70" s="1093"/>
      <c r="M70" s="1093"/>
      <c r="N70" s="1093"/>
      <c r="O70" s="1093"/>
      <c r="P70" s="1093"/>
      <c r="Q70" s="1093"/>
      <c r="R70" s="1093"/>
      <c r="S70" s="1093"/>
      <c r="T70" s="1093"/>
      <c r="U70" s="1094"/>
      <c r="V70" s="1094"/>
      <c r="W70" s="939"/>
      <c r="X70" s="939"/>
      <c r="Y70" s="1140">
        <f t="shared" si="5"/>
        <v>0.5945927550280923</v>
      </c>
      <c r="Z70" s="1086"/>
    </row>
    <row r="71" spans="1:26" s="925" customFormat="1" ht="14.25" hidden="1">
      <c r="A71" s="939" t="s">
        <v>42</v>
      </c>
      <c r="B71" s="1091">
        <v>99</v>
      </c>
      <c r="C71" s="1123" t="s">
        <v>41</v>
      </c>
      <c r="D71" s="941">
        <v>100000000</v>
      </c>
      <c r="E71" s="928"/>
      <c r="F71" s="928">
        <v>0</v>
      </c>
      <c r="G71" s="942">
        <f>+F71*$N$10</f>
        <v>0</v>
      </c>
      <c r="H71" s="1073"/>
      <c r="I71" s="928">
        <f t="shared" si="4"/>
        <v>0</v>
      </c>
      <c r="J71" s="1106"/>
      <c r="K71" s="1106"/>
      <c r="L71" s="1093"/>
      <c r="M71" s="1093"/>
      <c r="N71" s="1093"/>
      <c r="O71" s="1093"/>
      <c r="P71" s="1093"/>
      <c r="Q71" s="1093"/>
      <c r="R71" s="1093"/>
      <c r="S71" s="1093"/>
      <c r="T71" s="1093"/>
      <c r="U71" s="1094"/>
      <c r="V71" s="1094"/>
      <c r="W71" s="939"/>
      <c r="X71" s="939"/>
      <c r="Y71" s="1140">
        <f t="shared" si="5"/>
        <v>0</v>
      </c>
      <c r="Z71" s="1086"/>
    </row>
    <row r="72" spans="1:26" s="925" customFormat="1" ht="14.25">
      <c r="A72" s="939" t="s">
        <v>512</v>
      </c>
      <c r="B72" s="1091">
        <v>95</v>
      </c>
      <c r="C72" s="1123" t="s">
        <v>513</v>
      </c>
      <c r="D72" s="941">
        <v>183946062</v>
      </c>
      <c r="E72" s="942">
        <v>164897991</v>
      </c>
      <c r="F72" s="942">
        <v>211450195</v>
      </c>
      <c r="G72" s="942">
        <v>217793702</v>
      </c>
      <c r="H72" s="1072">
        <v>206487930</v>
      </c>
      <c r="I72" s="928">
        <f t="shared" si="4"/>
        <v>206487930</v>
      </c>
      <c r="J72" s="1106"/>
      <c r="K72" s="1106"/>
      <c r="L72" s="1093"/>
      <c r="M72" s="1093"/>
      <c r="N72" s="1093"/>
      <c r="O72" s="1093"/>
      <c r="P72" s="1093"/>
      <c r="Q72" s="1093"/>
      <c r="R72" s="1093"/>
      <c r="S72" s="1093"/>
      <c r="T72" s="1093"/>
      <c r="U72" s="1094"/>
      <c r="V72" s="1094"/>
      <c r="W72" s="939"/>
      <c r="X72" s="939"/>
      <c r="Y72" s="1140">
        <f t="shared" si="5"/>
        <v>0.06356095901749884</v>
      </c>
      <c r="Z72" s="1086"/>
    </row>
    <row r="73" spans="1:26" s="925" customFormat="1" ht="15" hidden="1">
      <c r="A73" s="939" t="s">
        <v>520</v>
      </c>
      <c r="B73" s="1091">
        <v>90</v>
      </c>
      <c r="C73" s="1123" t="s">
        <v>519</v>
      </c>
      <c r="D73" s="941">
        <v>76827900</v>
      </c>
      <c r="E73" s="928"/>
      <c r="F73" s="928"/>
      <c r="G73" s="942">
        <f>+E73*$N$10</f>
        <v>0</v>
      </c>
      <c r="H73" s="928"/>
      <c r="I73" s="928"/>
      <c r="J73" s="1106"/>
      <c r="K73" s="1106"/>
      <c r="L73" s="1093"/>
      <c r="M73" s="1093"/>
      <c r="N73" s="1093"/>
      <c r="O73" s="1093"/>
      <c r="P73" s="1093"/>
      <c r="Q73" s="1093"/>
      <c r="R73" s="1093"/>
      <c r="S73" s="1093"/>
      <c r="T73" s="1093"/>
      <c r="U73" s="1094"/>
      <c r="V73" s="1094"/>
      <c r="W73" s="939"/>
      <c r="X73" s="939"/>
      <c r="Y73" s="1122"/>
      <c r="Z73" s="1086"/>
    </row>
    <row r="74" spans="1:26" s="962" customFormat="1" ht="15">
      <c r="A74" s="936" t="s">
        <v>522</v>
      </c>
      <c r="B74" s="1092"/>
      <c r="C74" s="1125" t="s">
        <v>521</v>
      </c>
      <c r="D74" s="937">
        <f>+D75+D76+D77</f>
        <v>11000000</v>
      </c>
      <c r="E74" s="937">
        <f>+E75+E76+E77</f>
        <v>6812393</v>
      </c>
      <c r="F74" s="937">
        <f>+F75+F76+F77</f>
        <v>7704377</v>
      </c>
      <c r="G74" s="937">
        <f>+G75+G76+G77</f>
        <v>6530000</v>
      </c>
      <c r="H74" s="938">
        <f>+H75+H76+H77</f>
        <v>15500000</v>
      </c>
      <c r="I74" s="937"/>
      <c r="J74" s="1105"/>
      <c r="K74" s="1105"/>
      <c r="L74" s="1103"/>
      <c r="M74" s="1103"/>
      <c r="N74" s="1103"/>
      <c r="O74" s="1103"/>
      <c r="P74" s="1103"/>
      <c r="Q74" s="1103"/>
      <c r="R74" s="1103"/>
      <c r="S74" s="1103"/>
      <c r="T74" s="1103"/>
      <c r="U74" s="1104"/>
      <c r="V74" s="1104"/>
      <c r="W74" s="936"/>
      <c r="X74" s="936"/>
      <c r="Y74" s="1139">
        <f>+H74/H7</f>
        <v>0.0003737520164744475</v>
      </c>
      <c r="Z74" s="1088"/>
    </row>
    <row r="75" spans="1:26" s="925" customFormat="1" ht="14.25">
      <c r="A75" s="939" t="s">
        <v>524</v>
      </c>
      <c r="B75" s="1091">
        <v>97</v>
      </c>
      <c r="C75" s="1123" t="s">
        <v>1630</v>
      </c>
      <c r="D75" s="941">
        <v>1000000</v>
      </c>
      <c r="E75" s="942">
        <v>4869249</v>
      </c>
      <c r="F75" s="942">
        <v>7562377</v>
      </c>
      <c r="G75" s="942">
        <v>0</v>
      </c>
      <c r="H75" s="1072">
        <v>7500000</v>
      </c>
      <c r="I75" s="928">
        <f>+H75</f>
        <v>7500000</v>
      </c>
      <c r="J75" s="1106"/>
      <c r="K75" s="1106"/>
      <c r="L75" s="1093"/>
      <c r="M75" s="1093"/>
      <c r="N75" s="1093"/>
      <c r="O75" s="1093"/>
      <c r="P75" s="1093"/>
      <c r="Q75" s="1093"/>
      <c r="R75" s="1093"/>
      <c r="S75" s="1093"/>
      <c r="T75" s="1093"/>
      <c r="U75" s="1094"/>
      <c r="V75" s="1094"/>
      <c r="W75" s="939"/>
      <c r="X75" s="939"/>
      <c r="Y75" s="1140">
        <f>+H75/$H$74</f>
        <v>0.4838709677419355</v>
      </c>
      <c r="Z75" s="1086"/>
    </row>
    <row r="76" spans="1:26" s="925" customFormat="1" ht="14.25">
      <c r="A76" s="939"/>
      <c r="B76" s="1091">
        <v>300</v>
      </c>
      <c r="C76" s="1123" t="s">
        <v>1625</v>
      </c>
      <c r="D76" s="941">
        <v>10000000</v>
      </c>
      <c r="E76" s="942">
        <v>1943144</v>
      </c>
      <c r="F76" s="942">
        <v>142000</v>
      </c>
      <c r="G76" s="942">
        <v>30000</v>
      </c>
      <c r="H76" s="1072">
        <v>2000000</v>
      </c>
      <c r="I76" s="1099"/>
      <c r="J76" s="1106"/>
      <c r="K76" s="1106"/>
      <c r="L76" s="1093"/>
      <c r="M76" s="1093"/>
      <c r="N76" s="1093"/>
      <c r="O76" s="1093"/>
      <c r="P76" s="1093"/>
      <c r="Q76" s="1093"/>
      <c r="R76" s="1093"/>
      <c r="S76" s="1093"/>
      <c r="T76" s="1093"/>
      <c r="U76" s="1094"/>
      <c r="V76" s="1094"/>
      <c r="W76" s="939"/>
      <c r="X76" s="940">
        <f>+H76</f>
        <v>2000000</v>
      </c>
      <c r="Y76" s="1140">
        <f>+H76/$H$74</f>
        <v>0.12903225806451613</v>
      </c>
      <c r="Z76" s="1086"/>
    </row>
    <row r="77" spans="1:32" s="925" customFormat="1" ht="15">
      <c r="A77" s="939"/>
      <c r="B77" s="1091">
        <v>300</v>
      </c>
      <c r="C77" s="1123" t="s">
        <v>1628</v>
      </c>
      <c r="D77" s="941"/>
      <c r="E77" s="942"/>
      <c r="F77" s="942"/>
      <c r="G77" s="942">
        <v>6500000</v>
      </c>
      <c r="H77" s="1072">
        <v>6000000</v>
      </c>
      <c r="I77" s="1099"/>
      <c r="J77" s="1106"/>
      <c r="K77" s="1106"/>
      <c r="L77" s="1093"/>
      <c r="M77" s="1093"/>
      <c r="N77" s="1093"/>
      <c r="O77" s="1093"/>
      <c r="P77" s="1093"/>
      <c r="Q77" s="1093"/>
      <c r="R77" s="1093"/>
      <c r="S77" s="1093"/>
      <c r="T77" s="1093"/>
      <c r="U77" s="1094"/>
      <c r="V77" s="1094"/>
      <c r="W77" s="939"/>
      <c r="X77" s="940">
        <f>+H77</f>
        <v>6000000</v>
      </c>
      <c r="Y77" s="1140">
        <f>+H77/$H$74</f>
        <v>0.3870967741935484</v>
      </c>
      <c r="Z77" s="1086"/>
      <c r="AC77" s="1142">
        <v>6662871158</v>
      </c>
      <c r="AD77" s="1142">
        <v>9805925317</v>
      </c>
      <c r="AE77" s="1086">
        <f>+AD77/AC77</f>
        <v>1.4717266902611776</v>
      </c>
      <c r="AF77" s="925">
        <v>1</v>
      </c>
    </row>
    <row r="78" spans="1:26" s="925" customFormat="1" ht="14.25">
      <c r="A78" s="939" t="s">
        <v>40</v>
      </c>
      <c r="B78" s="1091">
        <v>20</v>
      </c>
      <c r="C78" s="1123" t="s">
        <v>39</v>
      </c>
      <c r="D78" s="941">
        <v>20000000</v>
      </c>
      <c r="E78" s="942">
        <v>44785779.25</v>
      </c>
      <c r="F78" s="942">
        <v>39364565</v>
      </c>
      <c r="G78" s="942">
        <v>26130278</v>
      </c>
      <c r="H78" s="1072">
        <v>34800000</v>
      </c>
      <c r="I78" s="928">
        <f>+H78</f>
        <v>34800000</v>
      </c>
      <c r="J78" s="1106"/>
      <c r="K78" s="1106"/>
      <c r="L78" s="1093"/>
      <c r="M78" s="1093"/>
      <c r="N78" s="1093"/>
      <c r="O78" s="1093"/>
      <c r="P78" s="1093"/>
      <c r="Q78" s="1093"/>
      <c r="R78" s="1093"/>
      <c r="S78" s="1093"/>
      <c r="T78" s="1093"/>
      <c r="U78" s="1094"/>
      <c r="V78" s="1094"/>
      <c r="W78" s="939"/>
      <c r="X78" s="939"/>
      <c r="Y78" s="1140">
        <f>+H78/H62</f>
        <v>0.005328115182209299</v>
      </c>
      <c r="Z78" s="1086"/>
    </row>
    <row r="79" spans="1:26" s="925" customFormat="1" ht="14.25">
      <c r="A79" s="939" t="s">
        <v>38</v>
      </c>
      <c r="B79" s="1091">
        <v>96</v>
      </c>
      <c r="C79" s="1123" t="s">
        <v>37</v>
      </c>
      <c r="D79" s="941">
        <v>180000000</v>
      </c>
      <c r="E79" s="942">
        <v>403072062.85</v>
      </c>
      <c r="F79" s="942">
        <v>354281070</v>
      </c>
      <c r="G79" s="942">
        <v>235172506</v>
      </c>
      <c r="H79" s="1072">
        <v>313200000</v>
      </c>
      <c r="I79" s="928">
        <f>+H79</f>
        <v>313200000</v>
      </c>
      <c r="J79" s="1106"/>
      <c r="K79" s="1106"/>
      <c r="L79" s="1093"/>
      <c r="M79" s="1093"/>
      <c r="N79" s="1093"/>
      <c r="O79" s="1093"/>
      <c r="P79" s="1093"/>
      <c r="Q79" s="1093"/>
      <c r="R79" s="1093"/>
      <c r="S79" s="1093"/>
      <c r="T79" s="1093"/>
      <c r="U79" s="1094"/>
      <c r="V79" s="1094"/>
      <c r="W79" s="939"/>
      <c r="X79" s="939"/>
      <c r="Y79" s="1140">
        <f>+H79/H62</f>
        <v>0.0479530366398837</v>
      </c>
      <c r="Z79" s="1086"/>
    </row>
    <row r="80" spans="1:26" s="925" customFormat="1" ht="15">
      <c r="A80" s="936" t="s">
        <v>36</v>
      </c>
      <c r="B80" s="1092"/>
      <c r="C80" s="1125" t="s">
        <v>35</v>
      </c>
      <c r="D80" s="937">
        <f>+D81+D83+D96</f>
        <v>40457886088</v>
      </c>
      <c r="E80" s="938">
        <f>+E81+E83+E96</f>
        <v>33454076558.78</v>
      </c>
      <c r="F80" s="938">
        <f>+F81+F83+F96</f>
        <v>814021036</v>
      </c>
      <c r="G80" s="938">
        <f>+G81+G83+G96</f>
        <v>401660728</v>
      </c>
      <c r="H80" s="938">
        <f>+H81+H83+H96</f>
        <v>150000000</v>
      </c>
      <c r="I80" s="1107"/>
      <c r="J80" s="1106"/>
      <c r="K80" s="1106"/>
      <c r="L80" s="1093"/>
      <c r="M80" s="1093"/>
      <c r="N80" s="1093"/>
      <c r="O80" s="1093"/>
      <c r="P80" s="1093"/>
      <c r="Q80" s="1093"/>
      <c r="R80" s="1093"/>
      <c r="S80" s="1093"/>
      <c r="T80" s="1093"/>
      <c r="U80" s="1094"/>
      <c r="V80" s="1094"/>
      <c r="W80" s="939"/>
      <c r="X80" s="939"/>
      <c r="Y80" s="1139">
        <f>+H80/H7</f>
        <v>0.0036169549981398146</v>
      </c>
      <c r="Z80" s="1086"/>
    </row>
    <row r="81" spans="1:26" s="925" customFormat="1" ht="15">
      <c r="A81" s="939" t="s">
        <v>34</v>
      </c>
      <c r="B81" s="1091">
        <v>220</v>
      </c>
      <c r="C81" s="1123" t="s">
        <v>597</v>
      </c>
      <c r="D81" s="941">
        <v>10000000</v>
      </c>
      <c r="E81" s="942">
        <v>168314904.11</v>
      </c>
      <c r="F81" s="942">
        <v>225323161</v>
      </c>
      <c r="G81" s="942">
        <v>166034929</v>
      </c>
      <c r="H81" s="1072">
        <v>150000000</v>
      </c>
      <c r="I81" s="928">
        <f>+H81</f>
        <v>150000000</v>
      </c>
      <c r="J81" s="1106"/>
      <c r="K81" s="1106"/>
      <c r="L81" s="1093"/>
      <c r="M81" s="1093"/>
      <c r="N81" s="1093"/>
      <c r="O81" s="1093"/>
      <c r="P81" s="1093"/>
      <c r="Q81" s="1093"/>
      <c r="R81" s="1093"/>
      <c r="S81" s="1093"/>
      <c r="T81" s="1093"/>
      <c r="U81" s="1094"/>
      <c r="V81" s="1094"/>
      <c r="W81" s="939"/>
      <c r="X81" s="939"/>
      <c r="Y81" s="1122">
        <f>+H81/H80</f>
        <v>1</v>
      </c>
      <c r="Z81" s="1086"/>
    </row>
    <row r="82" spans="1:26" s="925" customFormat="1" ht="15" hidden="1">
      <c r="A82" s="939"/>
      <c r="B82" s="1091"/>
      <c r="C82" s="1123" t="s">
        <v>511</v>
      </c>
      <c r="D82" s="941"/>
      <c r="E82" s="928"/>
      <c r="F82" s="928"/>
      <c r="G82" s="928"/>
      <c r="H82" s="928"/>
      <c r="I82" s="928"/>
      <c r="J82" s="1106"/>
      <c r="K82" s="1106"/>
      <c r="L82" s="1093"/>
      <c r="M82" s="1093"/>
      <c r="N82" s="1093"/>
      <c r="O82" s="1093"/>
      <c r="P82" s="1093"/>
      <c r="Q82" s="1093"/>
      <c r="R82" s="1093"/>
      <c r="S82" s="1093"/>
      <c r="T82" s="1093"/>
      <c r="U82" s="1094"/>
      <c r="V82" s="1094"/>
      <c r="W82" s="939"/>
      <c r="X82" s="939"/>
      <c r="Y82" s="1122"/>
      <c r="Z82" s="1086"/>
    </row>
    <row r="83" spans="1:26" s="925" customFormat="1" ht="15" hidden="1">
      <c r="A83" s="936" t="s">
        <v>33</v>
      </c>
      <c r="B83" s="1092"/>
      <c r="C83" s="1125" t="s">
        <v>32</v>
      </c>
      <c r="D83" s="937">
        <f>SUM(D84:D95)</f>
        <v>428400000</v>
      </c>
      <c r="E83" s="938">
        <f>SUM(E84:E95)</f>
        <v>1821922601.67</v>
      </c>
      <c r="F83" s="938">
        <f>SUM(F84:F95)</f>
        <v>588697875</v>
      </c>
      <c r="G83" s="938">
        <f>SUM(G84:G95)</f>
        <v>235625799</v>
      </c>
      <c r="H83" s="938">
        <f>SUM(H84:H95)</f>
        <v>0</v>
      </c>
      <c r="I83" s="938"/>
      <c r="J83" s="1106"/>
      <c r="K83" s="1106"/>
      <c r="L83" s="1093"/>
      <c r="M83" s="1093"/>
      <c r="N83" s="1093"/>
      <c r="O83" s="1093"/>
      <c r="P83" s="1093"/>
      <c r="Q83" s="1093"/>
      <c r="R83" s="1093"/>
      <c r="S83" s="1093"/>
      <c r="T83" s="1093"/>
      <c r="U83" s="1094"/>
      <c r="V83" s="1094"/>
      <c r="W83" s="939"/>
      <c r="X83" s="939"/>
      <c r="Y83" s="1122"/>
      <c r="Z83" s="1086"/>
    </row>
    <row r="84" spans="1:26" s="925" customFormat="1" ht="15" hidden="1">
      <c r="A84" s="939" t="s">
        <v>31</v>
      </c>
      <c r="B84" s="1091">
        <v>101</v>
      </c>
      <c r="C84" s="1123" t="s">
        <v>30</v>
      </c>
      <c r="D84" s="941">
        <v>150000000</v>
      </c>
      <c r="E84" s="942">
        <f>1226235491+382578321</f>
        <v>1608813812</v>
      </c>
      <c r="F84" s="942">
        <v>492182835</v>
      </c>
      <c r="G84" s="942"/>
      <c r="H84" s="943"/>
      <c r="I84" s="1099"/>
      <c r="J84" s="1106"/>
      <c r="K84" s="1106"/>
      <c r="L84" s="1093"/>
      <c r="M84" s="1093"/>
      <c r="N84" s="1093"/>
      <c r="O84" s="1093"/>
      <c r="P84" s="1093"/>
      <c r="Q84" s="1093"/>
      <c r="R84" s="1093"/>
      <c r="S84" s="1093"/>
      <c r="T84" s="1093"/>
      <c r="U84" s="1094"/>
      <c r="V84" s="1094"/>
      <c r="W84" s="939"/>
      <c r="X84" s="939"/>
      <c r="Y84" s="1122"/>
      <c r="Z84" s="1086"/>
    </row>
    <row r="85" spans="1:26" s="925" customFormat="1" ht="15" hidden="1">
      <c r="A85" s="939" t="s">
        <v>29</v>
      </c>
      <c r="B85" s="1091">
        <v>102</v>
      </c>
      <c r="C85" s="1123" t="s">
        <v>28</v>
      </c>
      <c r="D85" s="941">
        <v>60000000</v>
      </c>
      <c r="E85" s="942">
        <v>81115752.67</v>
      </c>
      <c r="F85" s="942">
        <v>94488767</v>
      </c>
      <c r="G85" s="942">
        <v>113085547</v>
      </c>
      <c r="H85" s="943"/>
      <c r="I85" s="1099"/>
      <c r="J85" s="1106"/>
      <c r="K85" s="1106"/>
      <c r="L85" s="1093"/>
      <c r="M85" s="1093"/>
      <c r="N85" s="1093"/>
      <c r="O85" s="1093"/>
      <c r="P85" s="1093"/>
      <c r="Q85" s="1093"/>
      <c r="R85" s="1093"/>
      <c r="S85" s="1093"/>
      <c r="T85" s="1093"/>
      <c r="U85" s="1094"/>
      <c r="V85" s="1094"/>
      <c r="W85" s="939"/>
      <c r="X85" s="939"/>
      <c r="Y85" s="1122"/>
      <c r="Z85" s="1086"/>
    </row>
    <row r="86" spans="1:26" s="925" customFormat="1" ht="15" hidden="1">
      <c r="A86" s="939" t="s">
        <v>27</v>
      </c>
      <c r="B86" s="1091">
        <v>103</v>
      </c>
      <c r="C86" s="1123" t="s">
        <v>6</v>
      </c>
      <c r="D86" s="941">
        <v>2500000</v>
      </c>
      <c r="E86" s="942">
        <v>4383315</v>
      </c>
      <c r="F86" s="942">
        <v>2026273</v>
      </c>
      <c r="G86" s="942">
        <v>55193848</v>
      </c>
      <c r="H86" s="943"/>
      <c r="I86" s="1099"/>
      <c r="J86" s="1106"/>
      <c r="K86" s="1106"/>
      <c r="L86" s="1093"/>
      <c r="M86" s="1093"/>
      <c r="N86" s="1093"/>
      <c r="O86" s="1093"/>
      <c r="P86" s="1093"/>
      <c r="Q86" s="1093"/>
      <c r="R86" s="1093"/>
      <c r="S86" s="1093"/>
      <c r="T86" s="1093"/>
      <c r="U86" s="1094"/>
      <c r="V86" s="1094"/>
      <c r="W86" s="939"/>
      <c r="X86" s="939"/>
      <c r="Y86" s="1122"/>
      <c r="Z86" s="1086"/>
    </row>
    <row r="87" spans="1:26" s="925" customFormat="1" ht="15" hidden="1">
      <c r="A87" s="939" t="s">
        <v>26</v>
      </c>
      <c r="B87" s="1091">
        <v>105</v>
      </c>
      <c r="C87" s="1123" t="s">
        <v>25</v>
      </c>
      <c r="D87" s="941">
        <v>500000</v>
      </c>
      <c r="E87" s="942">
        <v>1060627</v>
      </c>
      <c r="F87" s="942"/>
      <c r="G87" s="942">
        <v>1119856</v>
      </c>
      <c r="H87" s="943"/>
      <c r="I87" s="1099"/>
      <c r="J87" s="1106"/>
      <c r="K87" s="1106"/>
      <c r="L87" s="1093"/>
      <c r="M87" s="1093"/>
      <c r="N87" s="1093"/>
      <c r="O87" s="1093"/>
      <c r="P87" s="1093"/>
      <c r="Q87" s="1093"/>
      <c r="R87" s="1093"/>
      <c r="S87" s="1093"/>
      <c r="T87" s="1093"/>
      <c r="U87" s="1094"/>
      <c r="V87" s="1094"/>
      <c r="W87" s="939"/>
      <c r="X87" s="939"/>
      <c r="Y87" s="1122"/>
      <c r="Z87" s="1086"/>
    </row>
    <row r="88" spans="1:26" s="925" customFormat="1" ht="15" hidden="1">
      <c r="A88" s="939" t="s">
        <v>24</v>
      </c>
      <c r="B88" s="1091">
        <v>106</v>
      </c>
      <c r="C88" s="1123" t="s">
        <v>23</v>
      </c>
      <c r="D88" s="941">
        <v>3000000</v>
      </c>
      <c r="E88" s="942">
        <v>18198106</v>
      </c>
      <c r="F88" s="942"/>
      <c r="G88" s="942">
        <v>13916986</v>
      </c>
      <c r="H88" s="943"/>
      <c r="I88" s="1099"/>
      <c r="J88" s="1106"/>
      <c r="K88" s="1106"/>
      <c r="L88" s="1093"/>
      <c r="M88" s="1093"/>
      <c r="N88" s="1093"/>
      <c r="O88" s="1093"/>
      <c r="P88" s="1093"/>
      <c r="Q88" s="1093"/>
      <c r="R88" s="1093"/>
      <c r="S88" s="1093"/>
      <c r="T88" s="1093"/>
      <c r="U88" s="1094"/>
      <c r="V88" s="1094"/>
      <c r="W88" s="939"/>
      <c r="X88" s="939"/>
      <c r="Y88" s="1122"/>
      <c r="Z88" s="1086"/>
    </row>
    <row r="89" spans="1:26" s="925" customFormat="1" ht="15" hidden="1">
      <c r="A89" s="939" t="s">
        <v>22</v>
      </c>
      <c r="B89" s="1091">
        <v>107</v>
      </c>
      <c r="C89" s="1123" t="s">
        <v>21</v>
      </c>
      <c r="D89" s="941">
        <v>5000000</v>
      </c>
      <c r="E89" s="942">
        <v>22432992</v>
      </c>
      <c r="F89" s="942"/>
      <c r="G89" s="942">
        <v>18024204</v>
      </c>
      <c r="H89" s="943"/>
      <c r="I89" s="1099"/>
      <c r="J89" s="1106"/>
      <c r="K89" s="1106"/>
      <c r="L89" s="1093"/>
      <c r="M89" s="1093"/>
      <c r="N89" s="1093"/>
      <c r="O89" s="1093"/>
      <c r="P89" s="1093"/>
      <c r="Q89" s="1093"/>
      <c r="R89" s="1093"/>
      <c r="S89" s="1093"/>
      <c r="T89" s="1093"/>
      <c r="U89" s="1094"/>
      <c r="V89" s="1094"/>
      <c r="W89" s="939"/>
      <c r="X89" s="939"/>
      <c r="Y89" s="1122"/>
      <c r="Z89" s="1086"/>
    </row>
    <row r="90" spans="1:26" s="925" customFormat="1" ht="15" hidden="1">
      <c r="A90" s="939"/>
      <c r="B90" s="1091">
        <v>300</v>
      </c>
      <c r="C90" s="1123" t="s">
        <v>1522</v>
      </c>
      <c r="D90" s="941"/>
      <c r="E90" s="942"/>
      <c r="F90" s="942"/>
      <c r="G90" s="942">
        <v>30140198</v>
      </c>
      <c r="H90" s="943"/>
      <c r="I90" s="1099"/>
      <c r="J90" s="1106"/>
      <c r="K90" s="1106"/>
      <c r="L90" s="1093"/>
      <c r="M90" s="1093"/>
      <c r="N90" s="1093"/>
      <c r="O90" s="1093"/>
      <c r="P90" s="1093"/>
      <c r="Q90" s="1093"/>
      <c r="R90" s="1093"/>
      <c r="S90" s="1093"/>
      <c r="T90" s="1093"/>
      <c r="U90" s="1094"/>
      <c r="V90" s="1094"/>
      <c r="W90" s="939"/>
      <c r="X90" s="939"/>
      <c r="Y90" s="1122"/>
      <c r="Z90" s="1086"/>
    </row>
    <row r="91" spans="1:26" s="925" customFormat="1" ht="15" hidden="1">
      <c r="A91" s="939" t="s">
        <v>20</v>
      </c>
      <c r="B91" s="1091">
        <v>108</v>
      </c>
      <c r="C91" s="1123" t="s">
        <v>19</v>
      </c>
      <c r="D91" s="941">
        <v>5000000</v>
      </c>
      <c r="E91" s="942">
        <v>6524311</v>
      </c>
      <c r="F91" s="942"/>
      <c r="G91" s="942">
        <v>1040336</v>
      </c>
      <c r="H91" s="943"/>
      <c r="I91" s="1099"/>
      <c r="J91" s="1106"/>
      <c r="K91" s="1106"/>
      <c r="L91" s="1093"/>
      <c r="M91" s="1093"/>
      <c r="N91" s="1093"/>
      <c r="O91" s="1093"/>
      <c r="P91" s="1093"/>
      <c r="Q91" s="1093"/>
      <c r="R91" s="1093"/>
      <c r="S91" s="1093"/>
      <c r="T91" s="1093"/>
      <c r="U91" s="1094"/>
      <c r="V91" s="1094"/>
      <c r="W91" s="939"/>
      <c r="X91" s="939"/>
      <c r="Y91" s="1122"/>
      <c r="Z91" s="1086"/>
    </row>
    <row r="92" spans="1:26" s="925" customFormat="1" ht="15" hidden="1">
      <c r="A92" s="939" t="s">
        <v>18</v>
      </c>
      <c r="B92" s="1091">
        <v>109</v>
      </c>
      <c r="C92" s="1123" t="s">
        <v>17</v>
      </c>
      <c r="D92" s="941">
        <v>2000000</v>
      </c>
      <c r="E92" s="928"/>
      <c r="F92" s="928"/>
      <c r="G92" s="928">
        <v>1956021</v>
      </c>
      <c r="H92" s="928"/>
      <c r="I92" s="928"/>
      <c r="J92" s="1093"/>
      <c r="K92" s="1093"/>
      <c r="L92" s="1093"/>
      <c r="M92" s="1093"/>
      <c r="N92" s="1093"/>
      <c r="O92" s="1093"/>
      <c r="P92" s="1093"/>
      <c r="Q92" s="1093"/>
      <c r="R92" s="1093"/>
      <c r="S92" s="1093"/>
      <c r="T92" s="1093"/>
      <c r="U92" s="1094"/>
      <c r="V92" s="1094"/>
      <c r="W92" s="939"/>
      <c r="X92" s="939"/>
      <c r="Y92" s="1122"/>
      <c r="Z92" s="1086"/>
    </row>
    <row r="93" spans="1:26" s="925" customFormat="1" ht="15" hidden="1">
      <c r="A93" s="939"/>
      <c r="B93" s="1091">
        <v>300</v>
      </c>
      <c r="C93" s="1123" t="s">
        <v>1629</v>
      </c>
      <c r="D93" s="941"/>
      <c r="E93" s="928"/>
      <c r="F93" s="928"/>
      <c r="G93" s="928">
        <v>1148803</v>
      </c>
      <c r="H93" s="928"/>
      <c r="I93" s="928"/>
      <c r="J93" s="1093"/>
      <c r="K93" s="1093"/>
      <c r="L93" s="1093"/>
      <c r="M93" s="1093"/>
      <c r="N93" s="1093"/>
      <c r="O93" s="1093"/>
      <c r="P93" s="1093"/>
      <c r="Q93" s="1093"/>
      <c r="R93" s="1093"/>
      <c r="S93" s="1093"/>
      <c r="T93" s="1093"/>
      <c r="U93" s="1094"/>
      <c r="V93" s="1094"/>
      <c r="W93" s="939"/>
      <c r="X93" s="939"/>
      <c r="Y93" s="1122"/>
      <c r="Z93" s="1086"/>
    </row>
    <row r="94" spans="1:26" s="925" customFormat="1" ht="15" hidden="1">
      <c r="A94" s="939" t="s">
        <v>16</v>
      </c>
      <c r="B94" s="1091"/>
      <c r="C94" s="1123" t="s">
        <v>15</v>
      </c>
      <c r="D94" s="941">
        <v>200000000</v>
      </c>
      <c r="E94" s="941"/>
      <c r="F94" s="942"/>
      <c r="G94" s="942"/>
      <c r="H94" s="928"/>
      <c r="I94" s="941"/>
      <c r="J94" s="1093"/>
      <c r="K94" s="1093"/>
      <c r="L94" s="1093"/>
      <c r="M94" s="1093"/>
      <c r="N94" s="1093"/>
      <c r="O94" s="1093"/>
      <c r="P94" s="1093"/>
      <c r="Q94" s="1093"/>
      <c r="R94" s="1093"/>
      <c r="S94" s="1093"/>
      <c r="T94" s="1093"/>
      <c r="U94" s="1094"/>
      <c r="V94" s="1094"/>
      <c r="W94" s="939"/>
      <c r="X94" s="939"/>
      <c r="Y94" s="1122"/>
      <c r="Z94" s="1086"/>
    </row>
    <row r="95" spans="1:26" s="925" customFormat="1" ht="15" hidden="1">
      <c r="A95" s="939"/>
      <c r="B95" s="1091"/>
      <c r="C95" s="1123" t="s">
        <v>525</v>
      </c>
      <c r="D95" s="941">
        <v>400000</v>
      </c>
      <c r="E95" s="928">
        <f>109506+78161207+1122973</f>
        <v>79393686</v>
      </c>
      <c r="F95" s="942"/>
      <c r="G95" s="942"/>
      <c r="H95" s="928"/>
      <c r="I95" s="928"/>
      <c r="J95" s="1093"/>
      <c r="K95" s="1093"/>
      <c r="L95" s="1093"/>
      <c r="M95" s="1093"/>
      <c r="N95" s="1093"/>
      <c r="O95" s="1093"/>
      <c r="P95" s="1093"/>
      <c r="Q95" s="1093"/>
      <c r="R95" s="1093"/>
      <c r="S95" s="1093"/>
      <c r="T95" s="1093"/>
      <c r="U95" s="1094"/>
      <c r="V95" s="1094"/>
      <c r="W95" s="939"/>
      <c r="X95" s="939"/>
      <c r="Y95" s="1122"/>
      <c r="Z95" s="1086"/>
    </row>
    <row r="96" spans="1:26" s="925" customFormat="1" ht="15" hidden="1">
      <c r="A96" s="936" t="s">
        <v>526</v>
      </c>
      <c r="B96" s="1092"/>
      <c r="C96" s="1125" t="s">
        <v>528</v>
      </c>
      <c r="D96" s="937">
        <f>+D97+D101+D112+D116+D122+D124+D125</f>
        <v>40019486088</v>
      </c>
      <c r="E96" s="937">
        <f>+E97+E101+E112+E116+E122+E125+E124</f>
        <v>31463839053</v>
      </c>
      <c r="F96" s="937">
        <f>+F97+F101+F112+F116+F122+F125+F124</f>
        <v>0</v>
      </c>
      <c r="G96" s="937">
        <f>+G97+G101+G112+G116+G122+G125+G124</f>
        <v>0</v>
      </c>
      <c r="H96" s="938"/>
      <c r="I96" s="937"/>
      <c r="J96" s="1093"/>
      <c r="K96" s="1093"/>
      <c r="L96" s="1093"/>
      <c r="M96" s="1093"/>
      <c r="N96" s="1093"/>
      <c r="O96" s="1093"/>
      <c r="P96" s="1093"/>
      <c r="Q96" s="1093"/>
      <c r="R96" s="1093"/>
      <c r="S96" s="1093"/>
      <c r="T96" s="1093"/>
      <c r="U96" s="1094"/>
      <c r="V96" s="1094"/>
      <c r="W96" s="939"/>
      <c r="X96" s="939"/>
      <c r="Y96" s="1122"/>
      <c r="Z96" s="1086"/>
    </row>
    <row r="97" spans="1:26" s="925" customFormat="1" ht="26.25" hidden="1">
      <c r="A97" s="936" t="s">
        <v>529</v>
      </c>
      <c r="B97" s="1092"/>
      <c r="C97" s="1125" t="s">
        <v>527</v>
      </c>
      <c r="D97" s="937">
        <f>SUM(D98:D100)</f>
        <v>27286414024</v>
      </c>
      <c r="E97" s="937">
        <f>SUM(E98:E100)</f>
        <v>12196161595</v>
      </c>
      <c r="F97" s="937">
        <f>SUM(F98:F100)</f>
        <v>0</v>
      </c>
      <c r="G97" s="937">
        <f>SUM(G98:G100)</f>
        <v>0</v>
      </c>
      <c r="H97" s="938"/>
      <c r="I97" s="937"/>
      <c r="J97" s="1093"/>
      <c r="K97" s="1093"/>
      <c r="L97" s="1093"/>
      <c r="M97" s="1093"/>
      <c r="N97" s="1093"/>
      <c r="O97" s="1093"/>
      <c r="P97" s="1093"/>
      <c r="Q97" s="1093"/>
      <c r="R97" s="1093"/>
      <c r="S97" s="1093"/>
      <c r="T97" s="1093"/>
      <c r="U97" s="1094"/>
      <c r="V97" s="1094"/>
      <c r="W97" s="939"/>
      <c r="X97" s="939"/>
      <c r="Y97" s="1122"/>
      <c r="Z97" s="1086"/>
    </row>
    <row r="98" spans="1:26" s="925" customFormat="1" ht="26.25" hidden="1">
      <c r="A98" s="939" t="s">
        <v>530</v>
      </c>
      <c r="B98" s="1092"/>
      <c r="C98" s="1123" t="s">
        <v>531</v>
      </c>
      <c r="D98" s="941">
        <v>7659981657</v>
      </c>
      <c r="E98" s="942">
        <f>4219119066+5029000+1373+48902</f>
        <v>4224198341</v>
      </c>
      <c r="F98" s="942"/>
      <c r="G98" s="942"/>
      <c r="H98" s="943"/>
      <c r="I98" s="1099"/>
      <c r="J98" s="1093"/>
      <c r="K98" s="1093"/>
      <c r="L98" s="1093"/>
      <c r="M98" s="1093"/>
      <c r="N98" s="1093"/>
      <c r="O98" s="1093"/>
      <c r="P98" s="1093"/>
      <c r="Q98" s="1093"/>
      <c r="R98" s="1093"/>
      <c r="S98" s="1093"/>
      <c r="T98" s="1093"/>
      <c r="U98" s="1094"/>
      <c r="V98" s="1094"/>
      <c r="W98" s="939"/>
      <c r="X98" s="939"/>
      <c r="Y98" s="1122"/>
      <c r="Z98" s="1086"/>
    </row>
    <row r="99" spans="1:26" s="925" customFormat="1" ht="26.25" hidden="1">
      <c r="A99" s="936"/>
      <c r="B99" s="1092"/>
      <c r="C99" s="1123" t="s">
        <v>605</v>
      </c>
      <c r="D99" s="941">
        <v>19626432367</v>
      </c>
      <c r="E99" s="928"/>
      <c r="F99" s="928"/>
      <c r="G99" s="928"/>
      <c r="H99" s="928"/>
      <c r="I99" s="928"/>
      <c r="J99" s="1093"/>
      <c r="K99" s="1093"/>
      <c r="L99" s="1093"/>
      <c r="M99" s="1093"/>
      <c r="N99" s="1093"/>
      <c r="O99" s="1093"/>
      <c r="P99" s="1093"/>
      <c r="Q99" s="1093"/>
      <c r="R99" s="1093"/>
      <c r="S99" s="1093"/>
      <c r="T99" s="1093"/>
      <c r="U99" s="1094"/>
      <c r="V99" s="1094"/>
      <c r="W99" s="939"/>
      <c r="X99" s="939"/>
      <c r="Y99" s="1122"/>
      <c r="Z99" s="1086"/>
    </row>
    <row r="100" spans="1:26" s="925" customFormat="1" ht="26.25" hidden="1">
      <c r="A100" s="939" t="s">
        <v>532</v>
      </c>
      <c r="B100" s="1091"/>
      <c r="C100" s="1123" t="s">
        <v>606</v>
      </c>
      <c r="D100" s="941"/>
      <c r="E100" s="942">
        <v>7971963254</v>
      </c>
      <c r="F100" s="942"/>
      <c r="G100" s="942"/>
      <c r="H100" s="943"/>
      <c r="I100" s="1099"/>
      <c r="J100" s="1093"/>
      <c r="K100" s="1093"/>
      <c r="L100" s="1093"/>
      <c r="M100" s="1093"/>
      <c r="N100" s="1093"/>
      <c r="O100" s="1093"/>
      <c r="P100" s="1093"/>
      <c r="Q100" s="1093"/>
      <c r="R100" s="1093"/>
      <c r="S100" s="1093"/>
      <c r="T100" s="1093"/>
      <c r="U100" s="1094"/>
      <c r="V100" s="1094"/>
      <c r="W100" s="939"/>
      <c r="X100" s="939"/>
      <c r="Y100" s="1122"/>
      <c r="Z100" s="1086"/>
    </row>
    <row r="101" spans="1:26" s="925" customFormat="1" ht="15" hidden="1">
      <c r="A101" s="936" t="s">
        <v>534</v>
      </c>
      <c r="B101" s="1092"/>
      <c r="C101" s="1125" t="s">
        <v>535</v>
      </c>
      <c r="D101" s="937">
        <f>SUM(D102:D111)</f>
        <v>4586292005</v>
      </c>
      <c r="E101" s="937">
        <f>SUM(E102:E111)</f>
        <v>7225373123</v>
      </c>
      <c r="F101" s="937">
        <f>SUM(F102:F111)</f>
        <v>0</v>
      </c>
      <c r="G101" s="937">
        <f>SUM(G102:G111)</f>
        <v>0</v>
      </c>
      <c r="H101" s="938"/>
      <c r="I101" s="937"/>
      <c r="J101" s="1093"/>
      <c r="K101" s="1093"/>
      <c r="L101" s="1093"/>
      <c r="M101" s="1093"/>
      <c r="N101" s="1093"/>
      <c r="O101" s="1093"/>
      <c r="P101" s="1093"/>
      <c r="Q101" s="1093"/>
      <c r="R101" s="1093"/>
      <c r="S101" s="1093"/>
      <c r="T101" s="1093"/>
      <c r="U101" s="1094"/>
      <c r="V101" s="1094"/>
      <c r="W101" s="939"/>
      <c r="X101" s="939"/>
      <c r="Y101" s="1122"/>
      <c r="Z101" s="1086"/>
    </row>
    <row r="102" spans="1:26" s="925" customFormat="1" ht="15" hidden="1">
      <c r="A102" s="939" t="s">
        <v>536</v>
      </c>
      <c r="B102" s="1091"/>
      <c r="C102" s="1123" t="s">
        <v>537</v>
      </c>
      <c r="D102" s="941">
        <v>348200446</v>
      </c>
      <c r="E102" s="942">
        <f>819636119+18731000</f>
        <v>838367119</v>
      </c>
      <c r="F102" s="942"/>
      <c r="G102" s="942"/>
      <c r="H102" s="943"/>
      <c r="I102" s="1099"/>
      <c r="J102" s="1093"/>
      <c r="K102" s="1093"/>
      <c r="L102" s="1093"/>
      <c r="M102" s="1093"/>
      <c r="N102" s="1093"/>
      <c r="O102" s="1093"/>
      <c r="P102" s="1093"/>
      <c r="Q102" s="1093"/>
      <c r="R102" s="1093"/>
      <c r="S102" s="1093"/>
      <c r="T102" s="1093"/>
      <c r="U102" s="1094"/>
      <c r="V102" s="1094"/>
      <c r="W102" s="939"/>
      <c r="X102" s="939"/>
      <c r="Y102" s="1122"/>
      <c r="Z102" s="1086"/>
    </row>
    <row r="103" spans="1:26" s="925" customFormat="1" ht="15" hidden="1">
      <c r="A103" s="939" t="s">
        <v>538</v>
      </c>
      <c r="B103" s="1091"/>
      <c r="C103" s="1123" t="s">
        <v>539</v>
      </c>
      <c r="D103" s="941">
        <v>102074165</v>
      </c>
      <c r="E103" s="942">
        <v>140536531</v>
      </c>
      <c r="F103" s="942"/>
      <c r="G103" s="942"/>
      <c r="H103" s="943"/>
      <c r="I103" s="1099"/>
      <c r="J103" s="1093"/>
      <c r="K103" s="1093"/>
      <c r="L103" s="1093"/>
      <c r="M103" s="1093"/>
      <c r="N103" s="1093"/>
      <c r="O103" s="1093"/>
      <c r="P103" s="1093"/>
      <c r="Q103" s="1093"/>
      <c r="R103" s="1093"/>
      <c r="S103" s="1093"/>
      <c r="T103" s="1093"/>
      <c r="U103" s="1094"/>
      <c r="V103" s="1094"/>
      <c r="W103" s="939"/>
      <c r="X103" s="939"/>
      <c r="Y103" s="1122"/>
      <c r="Z103" s="1086"/>
    </row>
    <row r="104" spans="1:26" s="925" customFormat="1" ht="26.25" hidden="1">
      <c r="A104" s="939" t="s">
        <v>540</v>
      </c>
      <c r="B104" s="1091"/>
      <c r="C104" s="1123" t="s">
        <v>541</v>
      </c>
      <c r="D104" s="941">
        <v>731002165</v>
      </c>
      <c r="E104" s="928">
        <v>929292937</v>
      </c>
      <c r="F104" s="942"/>
      <c r="G104" s="942"/>
      <c r="H104" s="928"/>
      <c r="I104" s="928"/>
      <c r="J104" s="1093"/>
      <c r="K104" s="1093"/>
      <c r="L104" s="1093"/>
      <c r="M104" s="1093"/>
      <c r="N104" s="1093"/>
      <c r="O104" s="1093"/>
      <c r="P104" s="1093"/>
      <c r="Q104" s="1093"/>
      <c r="R104" s="1093"/>
      <c r="S104" s="1093"/>
      <c r="T104" s="1093"/>
      <c r="U104" s="1094"/>
      <c r="V104" s="1094"/>
      <c r="W104" s="939"/>
      <c r="X104" s="939"/>
      <c r="Y104" s="1122"/>
      <c r="Z104" s="1086"/>
    </row>
    <row r="105" spans="1:26" s="925" customFormat="1" ht="15" hidden="1">
      <c r="A105" s="939" t="s">
        <v>542</v>
      </c>
      <c r="B105" s="1091"/>
      <c r="C105" s="1123" t="s">
        <v>543</v>
      </c>
      <c r="D105" s="941">
        <v>1007664469</v>
      </c>
      <c r="E105" s="942">
        <v>1605108990</v>
      </c>
      <c r="F105" s="942"/>
      <c r="G105" s="942"/>
      <c r="H105" s="943"/>
      <c r="I105" s="1099"/>
      <c r="J105" s="1093"/>
      <c r="K105" s="1093"/>
      <c r="L105" s="1093"/>
      <c r="M105" s="1093"/>
      <c r="N105" s="1093"/>
      <c r="O105" s="1093"/>
      <c r="P105" s="1093"/>
      <c r="Q105" s="1093"/>
      <c r="R105" s="1093"/>
      <c r="S105" s="1093"/>
      <c r="T105" s="1093"/>
      <c r="U105" s="1094"/>
      <c r="V105" s="1094"/>
      <c r="W105" s="939"/>
      <c r="X105" s="939"/>
      <c r="Y105" s="1122"/>
      <c r="Z105" s="1086"/>
    </row>
    <row r="106" spans="1:26" s="925" customFormat="1" ht="15" hidden="1">
      <c r="A106" s="939" t="s">
        <v>544</v>
      </c>
      <c r="B106" s="1091"/>
      <c r="C106" s="1123" t="s">
        <v>545</v>
      </c>
      <c r="D106" s="941">
        <v>5447748</v>
      </c>
      <c r="E106" s="942">
        <v>23948972</v>
      </c>
      <c r="F106" s="942"/>
      <c r="G106" s="942"/>
      <c r="H106" s="943"/>
      <c r="I106" s="1099"/>
      <c r="J106" s="1093"/>
      <c r="K106" s="1093"/>
      <c r="L106" s="1093"/>
      <c r="M106" s="1093"/>
      <c r="N106" s="1093"/>
      <c r="O106" s="1093"/>
      <c r="P106" s="1093"/>
      <c r="Q106" s="1093"/>
      <c r="R106" s="1093"/>
      <c r="S106" s="1093"/>
      <c r="T106" s="1093"/>
      <c r="U106" s="1094"/>
      <c r="V106" s="1094"/>
      <c r="W106" s="939"/>
      <c r="X106" s="939"/>
      <c r="Y106" s="1122"/>
      <c r="Z106" s="1086"/>
    </row>
    <row r="107" spans="1:26" s="925" customFormat="1" ht="15" hidden="1">
      <c r="A107" s="939" t="s">
        <v>546</v>
      </c>
      <c r="B107" s="1091"/>
      <c r="C107" s="1123" t="s">
        <v>547</v>
      </c>
      <c r="D107" s="941">
        <v>69017992</v>
      </c>
      <c r="E107" s="942">
        <v>252964054</v>
      </c>
      <c r="F107" s="942"/>
      <c r="G107" s="942"/>
      <c r="H107" s="943"/>
      <c r="I107" s="1099"/>
      <c r="J107" s="1093"/>
      <c r="K107" s="1093"/>
      <c r="L107" s="1093"/>
      <c r="M107" s="1093"/>
      <c r="N107" s="1093"/>
      <c r="O107" s="1093"/>
      <c r="P107" s="1093"/>
      <c r="Q107" s="1093"/>
      <c r="R107" s="1093"/>
      <c r="S107" s="1093"/>
      <c r="T107" s="1093"/>
      <c r="U107" s="1094"/>
      <c r="V107" s="1094"/>
      <c r="W107" s="939"/>
      <c r="X107" s="939"/>
      <c r="Y107" s="1122"/>
      <c r="Z107" s="1086"/>
    </row>
    <row r="108" spans="1:26" s="925" customFormat="1" ht="15" hidden="1">
      <c r="A108" s="939" t="s">
        <v>548</v>
      </c>
      <c r="B108" s="1091"/>
      <c r="C108" s="1123" t="s">
        <v>549</v>
      </c>
      <c r="D108" s="941">
        <v>2258074308</v>
      </c>
      <c r="E108" s="928">
        <v>3367780022</v>
      </c>
      <c r="F108" s="942"/>
      <c r="G108" s="942"/>
      <c r="H108" s="928"/>
      <c r="I108" s="928"/>
      <c r="J108" s="1093"/>
      <c r="K108" s="1093"/>
      <c r="L108" s="1093"/>
      <c r="M108" s="1093"/>
      <c r="N108" s="1093"/>
      <c r="O108" s="1093"/>
      <c r="P108" s="1093"/>
      <c r="Q108" s="1093"/>
      <c r="R108" s="1093"/>
      <c r="S108" s="1093"/>
      <c r="T108" s="1093"/>
      <c r="U108" s="1094"/>
      <c r="V108" s="1094"/>
      <c r="W108" s="939"/>
      <c r="X108" s="939"/>
      <c r="Y108" s="1122"/>
      <c r="Z108" s="1086"/>
    </row>
    <row r="109" spans="1:26" s="925" customFormat="1" ht="15" hidden="1">
      <c r="A109" s="939" t="s">
        <v>550</v>
      </c>
      <c r="B109" s="1091"/>
      <c r="C109" s="1123" t="s">
        <v>551</v>
      </c>
      <c r="D109" s="941">
        <v>19841526</v>
      </c>
      <c r="E109" s="928">
        <v>21190975</v>
      </c>
      <c r="F109" s="928"/>
      <c r="G109" s="928"/>
      <c r="H109" s="928"/>
      <c r="I109" s="928"/>
      <c r="J109" s="1093"/>
      <c r="K109" s="1093"/>
      <c r="L109" s="1093"/>
      <c r="M109" s="1093"/>
      <c r="N109" s="1093"/>
      <c r="O109" s="1093"/>
      <c r="P109" s="1093"/>
      <c r="Q109" s="1093"/>
      <c r="R109" s="1093"/>
      <c r="S109" s="1093"/>
      <c r="T109" s="1093"/>
      <c r="U109" s="1094"/>
      <c r="V109" s="1094"/>
      <c r="W109" s="939"/>
      <c r="X109" s="939"/>
      <c r="Y109" s="1122"/>
      <c r="Z109" s="1086"/>
    </row>
    <row r="110" spans="1:26" s="925" customFormat="1" ht="15" hidden="1">
      <c r="A110" s="939" t="s">
        <v>552</v>
      </c>
      <c r="B110" s="1091"/>
      <c r="C110" s="1123" t="s">
        <v>553</v>
      </c>
      <c r="D110" s="941">
        <v>37417350</v>
      </c>
      <c r="E110" s="928">
        <v>38545635</v>
      </c>
      <c r="F110" s="942"/>
      <c r="G110" s="942"/>
      <c r="H110" s="928"/>
      <c r="I110" s="928"/>
      <c r="J110" s="1093"/>
      <c r="K110" s="1093"/>
      <c r="L110" s="1093"/>
      <c r="M110" s="1093"/>
      <c r="N110" s="1093"/>
      <c r="O110" s="1093"/>
      <c r="P110" s="1093"/>
      <c r="Q110" s="1093"/>
      <c r="R110" s="1093"/>
      <c r="S110" s="1093"/>
      <c r="T110" s="1093"/>
      <c r="U110" s="1094"/>
      <c r="V110" s="1094"/>
      <c r="W110" s="939"/>
      <c r="X110" s="939"/>
      <c r="Y110" s="1122"/>
      <c r="Z110" s="1086"/>
    </row>
    <row r="111" spans="1:26" s="925" customFormat="1" ht="15" hidden="1">
      <c r="A111" s="939" t="s">
        <v>554</v>
      </c>
      <c r="B111" s="1091"/>
      <c r="C111" s="1123" t="s">
        <v>555</v>
      </c>
      <c r="D111" s="941">
        <v>7551836</v>
      </c>
      <c r="E111" s="942">
        <v>7637888</v>
      </c>
      <c r="F111" s="942"/>
      <c r="G111" s="942"/>
      <c r="H111" s="943"/>
      <c r="I111" s="1099"/>
      <c r="J111" s="1093"/>
      <c r="K111" s="1093"/>
      <c r="L111" s="1093"/>
      <c r="M111" s="1093"/>
      <c r="N111" s="1093"/>
      <c r="O111" s="1093"/>
      <c r="P111" s="1093"/>
      <c r="Q111" s="1093"/>
      <c r="R111" s="1093"/>
      <c r="S111" s="1093"/>
      <c r="T111" s="1093"/>
      <c r="U111" s="1094"/>
      <c r="V111" s="1094"/>
      <c r="W111" s="939"/>
      <c r="X111" s="939"/>
      <c r="Y111" s="1122"/>
      <c r="Z111" s="1086"/>
    </row>
    <row r="112" spans="1:26" s="925" customFormat="1" ht="15" hidden="1">
      <c r="A112" s="936" t="s">
        <v>557</v>
      </c>
      <c r="B112" s="1092"/>
      <c r="C112" s="1125" t="s">
        <v>556</v>
      </c>
      <c r="D112" s="937">
        <f>SUM(D113:D115)</f>
        <v>1122006458</v>
      </c>
      <c r="E112" s="937">
        <f>SUM(E113:E115)</f>
        <v>0</v>
      </c>
      <c r="F112" s="937">
        <f>SUM(F113:F115)</f>
        <v>0</v>
      </c>
      <c r="G112" s="937">
        <f>SUM(G113:G115)</f>
        <v>0</v>
      </c>
      <c r="H112" s="938"/>
      <c r="I112" s="937"/>
      <c r="J112" s="1093"/>
      <c r="K112" s="1093"/>
      <c r="L112" s="1093"/>
      <c r="M112" s="1093"/>
      <c r="N112" s="1093"/>
      <c r="O112" s="1093"/>
      <c r="P112" s="1093"/>
      <c r="Q112" s="1093"/>
      <c r="R112" s="1093"/>
      <c r="S112" s="1093"/>
      <c r="T112" s="1093"/>
      <c r="U112" s="1094"/>
      <c r="V112" s="1094"/>
      <c r="W112" s="939"/>
      <c r="X112" s="939"/>
      <c r="Y112" s="1122"/>
      <c r="Z112" s="1086"/>
    </row>
    <row r="113" spans="1:26" s="925" customFormat="1" ht="15" hidden="1">
      <c r="A113" s="939" t="s">
        <v>558</v>
      </c>
      <c r="B113" s="1091"/>
      <c r="C113" s="1123" t="s">
        <v>559</v>
      </c>
      <c r="D113" s="941">
        <v>114806458</v>
      </c>
      <c r="E113" s="928"/>
      <c r="F113" s="928"/>
      <c r="G113" s="928"/>
      <c r="H113" s="928"/>
      <c r="I113" s="928"/>
      <c r="J113" s="1093"/>
      <c r="K113" s="1093"/>
      <c r="L113" s="1093"/>
      <c r="M113" s="1093"/>
      <c r="N113" s="1093"/>
      <c r="O113" s="1093"/>
      <c r="P113" s="1093"/>
      <c r="Q113" s="1093"/>
      <c r="R113" s="1093"/>
      <c r="S113" s="1093"/>
      <c r="T113" s="1093"/>
      <c r="U113" s="1094"/>
      <c r="V113" s="1094"/>
      <c r="W113" s="939"/>
      <c r="X113" s="939"/>
      <c r="Y113" s="1122"/>
      <c r="Z113" s="1086"/>
    </row>
    <row r="114" spans="1:26" s="925" customFormat="1" ht="15" hidden="1">
      <c r="A114" s="939" t="s">
        <v>560</v>
      </c>
      <c r="B114" s="1091"/>
      <c r="C114" s="1123" t="s">
        <v>561</v>
      </c>
      <c r="D114" s="941">
        <v>7200000</v>
      </c>
      <c r="E114" s="928"/>
      <c r="F114" s="928"/>
      <c r="G114" s="928"/>
      <c r="H114" s="928"/>
      <c r="I114" s="928"/>
      <c r="J114" s="1093"/>
      <c r="K114" s="1093"/>
      <c r="L114" s="1093"/>
      <c r="M114" s="1093"/>
      <c r="N114" s="1093"/>
      <c r="O114" s="1093"/>
      <c r="P114" s="1093"/>
      <c r="Q114" s="1093"/>
      <c r="R114" s="1093"/>
      <c r="S114" s="1093"/>
      <c r="T114" s="1093"/>
      <c r="U114" s="1094"/>
      <c r="V114" s="1094"/>
      <c r="W114" s="939"/>
      <c r="X114" s="939"/>
      <c r="Y114" s="1122"/>
      <c r="Z114" s="1086"/>
    </row>
    <row r="115" spans="1:26" s="925" customFormat="1" ht="15" hidden="1">
      <c r="A115" s="939" t="s">
        <v>562</v>
      </c>
      <c r="B115" s="1091"/>
      <c r="C115" s="1123" t="s">
        <v>563</v>
      </c>
      <c r="D115" s="941">
        <v>1000000000</v>
      </c>
      <c r="E115" s="928"/>
      <c r="F115" s="928"/>
      <c r="G115" s="928"/>
      <c r="H115" s="928"/>
      <c r="I115" s="928"/>
      <c r="J115" s="1093"/>
      <c r="K115" s="1093"/>
      <c r="L115" s="1093"/>
      <c r="M115" s="1093"/>
      <c r="N115" s="1093"/>
      <c r="O115" s="1093"/>
      <c r="P115" s="1093"/>
      <c r="Q115" s="1093"/>
      <c r="R115" s="1093"/>
      <c r="S115" s="1093"/>
      <c r="T115" s="1093"/>
      <c r="U115" s="1094"/>
      <c r="V115" s="1094"/>
      <c r="W115" s="939"/>
      <c r="X115" s="939"/>
      <c r="Y115" s="1122"/>
      <c r="Z115" s="1086"/>
    </row>
    <row r="116" spans="1:26" s="925" customFormat="1" ht="15" hidden="1">
      <c r="A116" s="936" t="s">
        <v>564</v>
      </c>
      <c r="B116" s="1092"/>
      <c r="C116" s="1125" t="s">
        <v>565</v>
      </c>
      <c r="D116" s="937">
        <f>SUM(D117:D121)</f>
        <v>6659632656</v>
      </c>
      <c r="E116" s="937">
        <f>SUM(E117:E121)</f>
        <v>11923971319</v>
      </c>
      <c r="F116" s="937">
        <f>SUM(F117:F121)</f>
        <v>0</v>
      </c>
      <c r="G116" s="937">
        <f>SUM(G117:G121)</f>
        <v>0</v>
      </c>
      <c r="H116" s="938"/>
      <c r="I116" s="937"/>
      <c r="J116" s="1093"/>
      <c r="K116" s="1093"/>
      <c r="L116" s="1093"/>
      <c r="M116" s="1093"/>
      <c r="N116" s="1093"/>
      <c r="O116" s="1093"/>
      <c r="P116" s="1093"/>
      <c r="Q116" s="1093"/>
      <c r="R116" s="1093"/>
      <c r="S116" s="1093"/>
      <c r="T116" s="1093"/>
      <c r="U116" s="1094"/>
      <c r="V116" s="1094"/>
      <c r="W116" s="939"/>
      <c r="X116" s="939"/>
      <c r="Y116" s="1122"/>
      <c r="Z116" s="1086"/>
    </row>
    <row r="117" spans="1:26" s="925" customFormat="1" ht="15" hidden="1">
      <c r="A117" s="939" t="s">
        <v>566</v>
      </c>
      <c r="B117" s="1091"/>
      <c r="C117" s="1123" t="s">
        <v>567</v>
      </c>
      <c r="D117" s="941">
        <v>5266125325</v>
      </c>
      <c r="E117" s="942">
        <f>8471314233+23006667</f>
        <v>8494320900</v>
      </c>
      <c r="F117" s="942"/>
      <c r="G117" s="942"/>
      <c r="H117" s="943"/>
      <c r="I117" s="1099"/>
      <c r="J117" s="1093"/>
      <c r="K117" s="1093"/>
      <c r="L117" s="1093"/>
      <c r="M117" s="1093"/>
      <c r="N117" s="1093"/>
      <c r="O117" s="1093"/>
      <c r="P117" s="1093"/>
      <c r="Q117" s="1093"/>
      <c r="R117" s="1093"/>
      <c r="S117" s="1093"/>
      <c r="T117" s="1093"/>
      <c r="U117" s="1094"/>
      <c r="V117" s="1094"/>
      <c r="W117" s="939"/>
      <c r="X117" s="940"/>
      <c r="Y117" s="1122"/>
      <c r="Z117" s="1086"/>
    </row>
    <row r="118" spans="1:26" s="925" customFormat="1" ht="15" hidden="1">
      <c r="A118" s="939" t="s">
        <v>568</v>
      </c>
      <c r="B118" s="1091"/>
      <c r="C118" s="1123" t="s">
        <v>569</v>
      </c>
      <c r="D118" s="941">
        <v>510782959</v>
      </c>
      <c r="E118" s="942">
        <v>1779265529</v>
      </c>
      <c r="F118" s="942"/>
      <c r="G118" s="942"/>
      <c r="H118" s="943"/>
      <c r="I118" s="1099"/>
      <c r="J118" s="1093"/>
      <c r="K118" s="1093"/>
      <c r="L118" s="1093"/>
      <c r="M118" s="1093"/>
      <c r="N118" s="1093"/>
      <c r="O118" s="1093"/>
      <c r="P118" s="1093"/>
      <c r="Q118" s="1093"/>
      <c r="R118" s="1093"/>
      <c r="S118" s="1093"/>
      <c r="T118" s="1093"/>
      <c r="U118" s="1094"/>
      <c r="V118" s="1094"/>
      <c r="W118" s="939"/>
      <c r="X118" s="940"/>
      <c r="Y118" s="1122"/>
      <c r="Z118" s="1086"/>
    </row>
    <row r="119" spans="1:26" s="925" customFormat="1" ht="26.25" hidden="1">
      <c r="A119" s="939" t="s">
        <v>570</v>
      </c>
      <c r="B119" s="1091"/>
      <c r="C119" s="1123" t="s">
        <v>573</v>
      </c>
      <c r="D119" s="941">
        <v>342242001</v>
      </c>
      <c r="E119" s="942">
        <v>1079527709</v>
      </c>
      <c r="F119" s="942"/>
      <c r="G119" s="942"/>
      <c r="H119" s="943"/>
      <c r="I119" s="1099"/>
      <c r="J119" s="1093"/>
      <c r="K119" s="1093"/>
      <c r="L119" s="1093"/>
      <c r="M119" s="1093"/>
      <c r="N119" s="1093"/>
      <c r="O119" s="1093"/>
      <c r="P119" s="1093"/>
      <c r="Q119" s="1093"/>
      <c r="R119" s="1093"/>
      <c r="S119" s="1093"/>
      <c r="T119" s="1093"/>
      <c r="U119" s="1094"/>
      <c r="V119" s="1094"/>
      <c r="W119" s="939"/>
      <c r="X119" s="940"/>
      <c r="Y119" s="1122"/>
      <c r="Z119" s="1086"/>
    </row>
    <row r="120" spans="1:26" s="925" customFormat="1" ht="15" hidden="1">
      <c r="A120" s="939" t="s">
        <v>571</v>
      </c>
      <c r="B120" s="1091"/>
      <c r="C120" s="1123" t="s">
        <v>572</v>
      </c>
      <c r="D120" s="941">
        <v>319460960</v>
      </c>
      <c r="E120" s="942">
        <v>250898646</v>
      </c>
      <c r="F120" s="942"/>
      <c r="G120" s="942"/>
      <c r="H120" s="943"/>
      <c r="I120" s="1099"/>
      <c r="J120" s="1093"/>
      <c r="K120" s="1093"/>
      <c r="L120" s="1093"/>
      <c r="M120" s="1093"/>
      <c r="N120" s="1093"/>
      <c r="O120" s="1093"/>
      <c r="P120" s="1093"/>
      <c r="Q120" s="1093"/>
      <c r="R120" s="1093"/>
      <c r="S120" s="1093"/>
      <c r="T120" s="1093"/>
      <c r="U120" s="1094"/>
      <c r="V120" s="1094"/>
      <c r="W120" s="939"/>
      <c r="X120" s="940"/>
      <c r="Y120" s="1122"/>
      <c r="Z120" s="1086"/>
    </row>
    <row r="121" spans="1:26" s="925" customFormat="1" ht="15" hidden="1">
      <c r="A121" s="939" t="s">
        <v>574</v>
      </c>
      <c r="B121" s="1091"/>
      <c r="C121" s="1123" t="s">
        <v>575</v>
      </c>
      <c r="D121" s="941">
        <v>221021411</v>
      </c>
      <c r="E121" s="942">
        <v>319958535</v>
      </c>
      <c r="F121" s="942"/>
      <c r="G121" s="942"/>
      <c r="H121" s="943"/>
      <c r="I121" s="1099"/>
      <c r="J121" s="1093"/>
      <c r="K121" s="1093"/>
      <c r="L121" s="1093"/>
      <c r="M121" s="1093"/>
      <c r="N121" s="1093"/>
      <c r="O121" s="1093"/>
      <c r="P121" s="1093"/>
      <c r="Q121" s="1093"/>
      <c r="R121" s="1093"/>
      <c r="S121" s="1093"/>
      <c r="T121" s="1093"/>
      <c r="U121" s="1094"/>
      <c r="V121" s="1094"/>
      <c r="W121" s="939"/>
      <c r="X121" s="940"/>
      <c r="Y121" s="1122"/>
      <c r="Z121" s="1086"/>
    </row>
    <row r="122" spans="1:26" s="925" customFormat="1" ht="15" hidden="1">
      <c r="A122" s="936" t="s">
        <v>576</v>
      </c>
      <c r="B122" s="1092"/>
      <c r="C122" s="1125" t="s">
        <v>577</v>
      </c>
      <c r="D122" s="937">
        <f>SUM(D123)</f>
        <v>20405619</v>
      </c>
      <c r="E122" s="937">
        <f>SUM(E123)</f>
        <v>0</v>
      </c>
      <c r="F122" s="937">
        <f>SUM(F123)</f>
        <v>0</v>
      </c>
      <c r="G122" s="937">
        <f>SUM(G123)</f>
        <v>0</v>
      </c>
      <c r="H122" s="938"/>
      <c r="I122" s="937"/>
      <c r="J122" s="1093"/>
      <c r="K122" s="1093"/>
      <c r="L122" s="1093"/>
      <c r="M122" s="1093"/>
      <c r="N122" s="1093"/>
      <c r="O122" s="1093"/>
      <c r="P122" s="1093"/>
      <c r="Q122" s="1093"/>
      <c r="R122" s="1093"/>
      <c r="S122" s="1093"/>
      <c r="T122" s="1093"/>
      <c r="U122" s="1094"/>
      <c r="V122" s="1094"/>
      <c r="W122" s="939"/>
      <c r="X122" s="940"/>
      <c r="Y122" s="1122"/>
      <c r="Z122" s="1086"/>
    </row>
    <row r="123" spans="1:26" s="925" customFormat="1" ht="15" hidden="1">
      <c r="A123" s="939" t="s">
        <v>578</v>
      </c>
      <c r="B123" s="1091"/>
      <c r="C123" s="1123" t="s">
        <v>579</v>
      </c>
      <c r="D123" s="941">
        <v>20405619</v>
      </c>
      <c r="E123" s="928"/>
      <c r="F123" s="928"/>
      <c r="G123" s="928"/>
      <c r="H123" s="928"/>
      <c r="I123" s="928"/>
      <c r="J123" s="1093"/>
      <c r="K123" s="1093"/>
      <c r="L123" s="1093"/>
      <c r="M123" s="1093"/>
      <c r="N123" s="1093"/>
      <c r="O123" s="1093"/>
      <c r="P123" s="1093"/>
      <c r="Q123" s="1093"/>
      <c r="R123" s="1093"/>
      <c r="S123" s="1093"/>
      <c r="T123" s="1093"/>
      <c r="U123" s="1094"/>
      <c r="V123" s="1094"/>
      <c r="W123" s="939"/>
      <c r="X123" s="940"/>
      <c r="Y123" s="1122"/>
      <c r="Z123" s="1086"/>
    </row>
    <row r="124" spans="1:26" s="925" customFormat="1" ht="15" hidden="1">
      <c r="A124" s="936" t="s">
        <v>580</v>
      </c>
      <c r="B124" s="1092"/>
      <c r="C124" s="1125" t="s">
        <v>581</v>
      </c>
      <c r="D124" s="937">
        <v>105092505</v>
      </c>
      <c r="E124" s="942">
        <v>118333016</v>
      </c>
      <c r="F124" s="942"/>
      <c r="G124" s="942"/>
      <c r="H124" s="943"/>
      <c r="I124" s="1099"/>
      <c r="J124" s="1093"/>
      <c r="K124" s="1093"/>
      <c r="L124" s="1093"/>
      <c r="M124" s="1093"/>
      <c r="N124" s="1093"/>
      <c r="O124" s="1093"/>
      <c r="P124" s="1093"/>
      <c r="Q124" s="1093"/>
      <c r="R124" s="1093"/>
      <c r="S124" s="1093"/>
      <c r="T124" s="1093"/>
      <c r="U124" s="1094"/>
      <c r="V124" s="1094"/>
      <c r="W124" s="939"/>
      <c r="X124" s="940"/>
      <c r="Y124" s="1122"/>
      <c r="Z124" s="1086"/>
    </row>
    <row r="125" spans="1:26" s="925" customFormat="1" ht="15" hidden="1">
      <c r="A125" s="939" t="s">
        <v>582</v>
      </c>
      <c r="B125" s="1091"/>
      <c r="C125" s="1125" t="s">
        <v>583</v>
      </c>
      <c r="D125" s="937">
        <v>239642821</v>
      </c>
      <c r="E125" s="938"/>
      <c r="F125" s="938"/>
      <c r="G125" s="938"/>
      <c r="H125" s="938"/>
      <c r="I125" s="938"/>
      <c r="J125" s="1093"/>
      <c r="K125" s="1093"/>
      <c r="L125" s="1093"/>
      <c r="M125" s="1093"/>
      <c r="N125" s="1093"/>
      <c r="O125" s="1093"/>
      <c r="P125" s="1093"/>
      <c r="Q125" s="1093"/>
      <c r="R125" s="1093"/>
      <c r="S125" s="1093"/>
      <c r="T125" s="1093"/>
      <c r="U125" s="1094"/>
      <c r="V125" s="1094"/>
      <c r="W125" s="939"/>
      <c r="X125" s="940"/>
      <c r="Y125" s="1122"/>
      <c r="Z125" s="1086"/>
    </row>
    <row r="126" spans="1:26" s="925" customFormat="1" ht="15" hidden="1">
      <c r="A126" s="939"/>
      <c r="B126" s="1091"/>
      <c r="C126" s="1125"/>
      <c r="D126" s="937"/>
      <c r="E126" s="928"/>
      <c r="F126" s="928"/>
      <c r="G126" s="928"/>
      <c r="H126" s="928"/>
      <c r="I126" s="928"/>
      <c r="J126" s="1093"/>
      <c r="K126" s="1093"/>
      <c r="L126" s="1093"/>
      <c r="M126" s="1093"/>
      <c r="N126" s="1093"/>
      <c r="O126" s="1093"/>
      <c r="P126" s="1093"/>
      <c r="Q126" s="1093"/>
      <c r="R126" s="1093"/>
      <c r="S126" s="1093"/>
      <c r="T126" s="1093"/>
      <c r="U126" s="1094"/>
      <c r="V126" s="1094"/>
      <c r="W126" s="939"/>
      <c r="X126" s="940"/>
      <c r="Y126" s="1122"/>
      <c r="Z126" s="1086"/>
    </row>
    <row r="127" spans="1:26" s="927" customFormat="1" ht="15">
      <c r="A127" s="936" t="s">
        <v>14</v>
      </c>
      <c r="B127" s="1092"/>
      <c r="C127" s="1125" t="s">
        <v>13</v>
      </c>
      <c r="D127" s="937">
        <f aca="true" t="shared" si="6" ref="D127:H128">+D128</f>
        <v>5182278255</v>
      </c>
      <c r="E127" s="937">
        <f t="shared" si="6"/>
        <v>4737480050.83</v>
      </c>
      <c r="F127" s="937">
        <f t="shared" si="6"/>
        <v>7611991247</v>
      </c>
      <c r="G127" s="937">
        <f t="shared" si="6"/>
        <v>9910608968</v>
      </c>
      <c r="H127" s="938">
        <f t="shared" si="6"/>
        <v>10214915000</v>
      </c>
      <c r="I127" s="937"/>
      <c r="J127" s="1093"/>
      <c r="K127" s="1093"/>
      <c r="L127" s="1093"/>
      <c r="M127" s="1093"/>
      <c r="N127" s="1093"/>
      <c r="O127" s="1093"/>
      <c r="P127" s="1093"/>
      <c r="Q127" s="1093"/>
      <c r="R127" s="1093"/>
      <c r="S127" s="1093"/>
      <c r="T127" s="1093"/>
      <c r="U127" s="1108"/>
      <c r="V127" s="1108"/>
      <c r="W127" s="928"/>
      <c r="X127" s="1109"/>
      <c r="Y127" s="1122">
        <f>+H127/H7</f>
        <v>0.2463125857654891</v>
      </c>
      <c r="Z127" s="1089"/>
    </row>
    <row r="128" spans="1:25" s="927" customFormat="1" ht="12.75" hidden="1">
      <c r="A128" s="936" t="s">
        <v>12</v>
      </c>
      <c r="B128" s="1092"/>
      <c r="C128" s="1127" t="s">
        <v>11</v>
      </c>
      <c r="D128" s="937">
        <f t="shared" si="6"/>
        <v>5182278255</v>
      </c>
      <c r="E128" s="937">
        <f t="shared" si="6"/>
        <v>4737480050.83</v>
      </c>
      <c r="F128" s="937">
        <f t="shared" si="6"/>
        <v>7611991247</v>
      </c>
      <c r="G128" s="937">
        <f t="shared" si="6"/>
        <v>9910608968</v>
      </c>
      <c r="H128" s="938">
        <f t="shared" si="6"/>
        <v>10214915000</v>
      </c>
      <c r="I128" s="937"/>
      <c r="J128" s="1093"/>
      <c r="K128" s="1093"/>
      <c r="L128" s="1093"/>
      <c r="M128" s="1093"/>
      <c r="N128" s="1093"/>
      <c r="O128" s="1093"/>
      <c r="P128" s="1093"/>
      <c r="Q128" s="1093"/>
      <c r="R128" s="1093"/>
      <c r="S128" s="1093"/>
      <c r="T128" s="1093"/>
      <c r="U128" s="1108"/>
      <c r="V128" s="1108"/>
      <c r="W128" s="928"/>
      <c r="X128" s="1109"/>
      <c r="Y128" s="1128"/>
    </row>
    <row r="129" spans="1:25" s="927" customFormat="1" ht="12.75">
      <c r="A129" s="936" t="s">
        <v>10</v>
      </c>
      <c r="B129" s="1092"/>
      <c r="C129" s="1125" t="s">
        <v>9</v>
      </c>
      <c r="D129" s="937">
        <f>SUM(D130:D136)</f>
        <v>5182278255</v>
      </c>
      <c r="E129" s="937">
        <f>SUM(E130:E136)</f>
        <v>4737480050.83</v>
      </c>
      <c r="F129" s="937">
        <f>SUM(F130:F136)</f>
        <v>7611991247</v>
      </c>
      <c r="G129" s="937">
        <f>SUM(G130:G136)</f>
        <v>9910608968</v>
      </c>
      <c r="H129" s="938">
        <f>SUM(H130:H136)</f>
        <v>10214915000</v>
      </c>
      <c r="I129" s="937"/>
      <c r="J129" s="1093"/>
      <c r="K129" s="1093"/>
      <c r="L129" s="1093"/>
      <c r="M129" s="1093"/>
      <c r="N129" s="1093"/>
      <c r="O129" s="1093"/>
      <c r="P129" s="1093"/>
      <c r="Q129" s="1093"/>
      <c r="R129" s="1093"/>
      <c r="S129" s="1093"/>
      <c r="T129" s="1093"/>
      <c r="U129" s="1108"/>
      <c r="V129" s="1108"/>
      <c r="W129" s="928"/>
      <c r="X129" s="1109"/>
      <c r="Y129" s="1128"/>
    </row>
    <row r="130" spans="1:25" s="927" customFormat="1" ht="12.75" hidden="1">
      <c r="A130" s="939" t="s">
        <v>8</v>
      </c>
      <c r="B130" s="1091">
        <v>70</v>
      </c>
      <c r="C130" s="1123" t="s">
        <v>585</v>
      </c>
      <c r="D130" s="941">
        <v>2779404662</v>
      </c>
      <c r="E130" s="942">
        <v>2804647566.93</v>
      </c>
      <c r="F130" s="942">
        <v>3092789182</v>
      </c>
      <c r="G130" s="942">
        <v>4276508898</v>
      </c>
      <c r="H130" s="1071">
        <v>4400000000</v>
      </c>
      <c r="I130" s="928">
        <f>+H130</f>
        <v>4400000000</v>
      </c>
      <c r="J130" s="1093"/>
      <c r="K130" s="1093"/>
      <c r="L130" s="1093"/>
      <c r="M130" s="1093"/>
      <c r="N130" s="1093"/>
      <c r="O130" s="1093"/>
      <c r="P130" s="1093"/>
      <c r="Q130" s="1093"/>
      <c r="R130" s="1093"/>
      <c r="S130" s="1093"/>
      <c r="T130" s="1093"/>
      <c r="U130" s="1108"/>
      <c r="V130" s="1108"/>
      <c r="W130" s="928"/>
      <c r="X130" s="1109"/>
      <c r="Y130" s="1128"/>
    </row>
    <row r="131" spans="1:25" s="927" customFormat="1" ht="12.75" hidden="1">
      <c r="A131" s="939"/>
      <c r="B131" s="1091"/>
      <c r="C131" s="1123" t="s">
        <v>586</v>
      </c>
      <c r="D131" s="941"/>
      <c r="E131" s="928"/>
      <c r="F131" s="928"/>
      <c r="G131" s="928"/>
      <c r="H131" s="928"/>
      <c r="I131" s="928"/>
      <c r="J131" s="1093"/>
      <c r="K131" s="1093"/>
      <c r="L131" s="1093"/>
      <c r="M131" s="1093"/>
      <c r="N131" s="1093"/>
      <c r="O131" s="1093"/>
      <c r="P131" s="1093"/>
      <c r="Q131" s="1093"/>
      <c r="R131" s="1093"/>
      <c r="S131" s="1093"/>
      <c r="T131" s="1093"/>
      <c r="U131" s="1108"/>
      <c r="V131" s="1108"/>
      <c r="W131" s="928"/>
      <c r="X131" s="1109"/>
      <c r="Y131" s="1128"/>
    </row>
    <row r="132" spans="1:25" s="927" customFormat="1" ht="12.75" hidden="1">
      <c r="A132" s="939" t="s">
        <v>7</v>
      </c>
      <c r="B132" s="1091">
        <v>71</v>
      </c>
      <c r="C132" s="1123" t="s">
        <v>6</v>
      </c>
      <c r="D132" s="941">
        <v>245873593</v>
      </c>
      <c r="E132" s="942">
        <v>280602027</v>
      </c>
      <c r="F132" s="942">
        <v>307953082</v>
      </c>
      <c r="G132" s="942">
        <v>295063973</v>
      </c>
      <c r="H132" s="1071">
        <v>303915000</v>
      </c>
      <c r="I132" s="928">
        <f>+H132</f>
        <v>303915000</v>
      </c>
      <c r="J132" s="1093"/>
      <c r="K132" s="1093"/>
      <c r="L132" s="1093"/>
      <c r="M132" s="1093"/>
      <c r="N132" s="1093"/>
      <c r="O132" s="1093"/>
      <c r="P132" s="1093"/>
      <c r="Q132" s="1093"/>
      <c r="R132" s="1093"/>
      <c r="S132" s="1093"/>
      <c r="T132" s="1093"/>
      <c r="U132" s="1108"/>
      <c r="V132" s="1108"/>
      <c r="W132" s="928"/>
      <c r="X132" s="1109"/>
      <c r="Y132" s="1128"/>
    </row>
    <row r="133" spans="1:25" s="927" customFormat="1" ht="12.75" hidden="1">
      <c r="A133" s="939" t="s">
        <v>5</v>
      </c>
      <c r="B133" s="1091">
        <v>51</v>
      </c>
      <c r="C133" s="1123" t="s">
        <v>4</v>
      </c>
      <c r="D133" s="941">
        <v>2000000000</v>
      </c>
      <c r="E133" s="942">
        <v>1503311415.97</v>
      </c>
      <c r="F133" s="942">
        <v>3906801834</v>
      </c>
      <c r="G133" s="942">
        <v>5057378879</v>
      </c>
      <c r="H133" s="1071">
        <v>5200000000</v>
      </c>
      <c r="I133" s="928">
        <f>+H133</f>
        <v>5200000000</v>
      </c>
      <c r="J133" s="1093"/>
      <c r="K133" s="1093"/>
      <c r="L133" s="1093"/>
      <c r="M133" s="1093"/>
      <c r="N133" s="1093"/>
      <c r="O133" s="1093"/>
      <c r="P133" s="1093"/>
      <c r="Q133" s="1093"/>
      <c r="R133" s="1093"/>
      <c r="S133" s="1093"/>
      <c r="T133" s="1093"/>
      <c r="U133" s="1108"/>
      <c r="V133" s="1108"/>
      <c r="W133" s="928"/>
      <c r="X133" s="1109"/>
      <c r="Y133" s="1128"/>
    </row>
    <row r="134" spans="1:25" s="927" customFormat="1" ht="12.75" hidden="1">
      <c r="A134" s="939" t="s">
        <v>3</v>
      </c>
      <c r="B134" s="1091">
        <v>50</v>
      </c>
      <c r="C134" s="1123" t="s">
        <v>2</v>
      </c>
      <c r="D134" s="941">
        <v>50000000</v>
      </c>
      <c r="E134" s="942">
        <v>51626685.08</v>
      </c>
      <c r="F134" s="942">
        <v>51012993</v>
      </c>
      <c r="G134" s="942">
        <v>54444397</v>
      </c>
      <c r="H134" s="1071">
        <v>55000000</v>
      </c>
      <c r="I134" s="928">
        <f>+H134</f>
        <v>55000000</v>
      </c>
      <c r="J134" s="1093"/>
      <c r="K134" s="1093"/>
      <c r="L134" s="1093"/>
      <c r="M134" s="1093"/>
      <c r="N134" s="1093"/>
      <c r="O134" s="1093"/>
      <c r="P134" s="1093"/>
      <c r="Q134" s="1093"/>
      <c r="R134" s="1093"/>
      <c r="S134" s="1093"/>
      <c r="T134" s="1093"/>
      <c r="U134" s="1108"/>
      <c r="V134" s="1108"/>
      <c r="W134" s="928"/>
      <c r="X134" s="1109"/>
      <c r="Y134" s="1128"/>
    </row>
    <row r="135" spans="1:25" s="927" customFormat="1" ht="12.75" hidden="1">
      <c r="A135" s="939"/>
      <c r="B135" s="1091">
        <v>300</v>
      </c>
      <c r="C135" s="1123" t="s">
        <v>1627</v>
      </c>
      <c r="D135" s="941"/>
      <c r="E135" s="942"/>
      <c r="F135" s="942">
        <v>220961623</v>
      </c>
      <c r="G135" s="942">
        <v>226353086</v>
      </c>
      <c r="H135" s="1071">
        <v>226000000</v>
      </c>
      <c r="I135" s="928">
        <f>+H135</f>
        <v>226000000</v>
      </c>
      <c r="J135" s="1093"/>
      <c r="K135" s="1093"/>
      <c r="L135" s="1093"/>
      <c r="M135" s="1093"/>
      <c r="N135" s="1093"/>
      <c r="O135" s="1093"/>
      <c r="P135" s="1093"/>
      <c r="Q135" s="1093"/>
      <c r="R135" s="1093"/>
      <c r="S135" s="1093"/>
      <c r="T135" s="1093"/>
      <c r="U135" s="1108"/>
      <c r="V135" s="1108"/>
      <c r="W135" s="928"/>
      <c r="X135" s="1109"/>
      <c r="Y135" s="1128"/>
    </row>
    <row r="136" spans="1:25" s="927" customFormat="1" ht="12.75" hidden="1">
      <c r="A136" s="939" t="s">
        <v>1</v>
      </c>
      <c r="B136" s="1091">
        <v>98</v>
      </c>
      <c r="C136" s="1123" t="s">
        <v>0</v>
      </c>
      <c r="D136" s="941">
        <v>107000000</v>
      </c>
      <c r="E136" s="942">
        <v>97292355.85</v>
      </c>
      <c r="F136" s="942">
        <v>32472533</v>
      </c>
      <c r="G136" s="942">
        <v>859735</v>
      </c>
      <c r="H136" s="1071">
        <v>30000000</v>
      </c>
      <c r="I136" s="928">
        <f>+H136</f>
        <v>30000000</v>
      </c>
      <c r="J136" s="1093"/>
      <c r="K136" s="1093"/>
      <c r="L136" s="1093"/>
      <c r="M136" s="1093"/>
      <c r="N136" s="1093"/>
      <c r="O136" s="1093"/>
      <c r="P136" s="1093"/>
      <c r="Q136" s="1093"/>
      <c r="R136" s="1093"/>
      <c r="S136" s="1093"/>
      <c r="T136" s="1093"/>
      <c r="U136" s="1108"/>
      <c r="V136" s="1108"/>
      <c r="W136" s="928"/>
      <c r="X136" s="1109"/>
      <c r="Y136" s="1128"/>
    </row>
    <row r="137" spans="1:25" s="925" customFormat="1" ht="13.5" thickBot="1">
      <c r="A137" s="925" t="s">
        <v>378</v>
      </c>
      <c r="C137" s="1129"/>
      <c r="D137" s="1130"/>
      <c r="E137" s="1130"/>
      <c r="F137" s="1130"/>
      <c r="G137" s="1130"/>
      <c r="H137" s="1134" t="s">
        <v>252</v>
      </c>
      <c r="I137" s="1130">
        <f>SUM(I1:I136)</f>
        <v>24901846698.09</v>
      </c>
      <c r="J137" s="1131"/>
      <c r="K137" s="1131"/>
      <c r="L137" s="1131"/>
      <c r="M137" s="1131"/>
      <c r="N137" s="1131"/>
      <c r="O137" s="1131"/>
      <c r="P137" s="1131"/>
      <c r="Q137" s="1131"/>
      <c r="R137" s="1131"/>
      <c r="S137" s="1131"/>
      <c r="T137" s="1131"/>
      <c r="U137" s="1132"/>
      <c r="V137" s="1132"/>
      <c r="W137" s="1133"/>
      <c r="X137" s="1130">
        <f>SUM(X1:X136)</f>
        <v>16569501460</v>
      </c>
      <c r="Y137" s="1135">
        <v>1</v>
      </c>
    </row>
    <row r="138" spans="3:24" s="925" customFormat="1" ht="12.75">
      <c r="C138" s="926"/>
      <c r="D138" s="927"/>
      <c r="E138" s="927"/>
      <c r="F138" s="950"/>
      <c r="G138" s="950"/>
      <c r="H138" s="927"/>
      <c r="I138" s="927">
        <f>+H7-I137</f>
        <v>16569501459.999996</v>
      </c>
      <c r="J138" s="922"/>
      <c r="K138" s="922"/>
      <c r="L138" s="922"/>
      <c r="M138" s="922"/>
      <c r="N138" s="922"/>
      <c r="O138" s="922"/>
      <c r="P138" s="922"/>
      <c r="Q138" s="922"/>
      <c r="R138" s="922"/>
      <c r="S138" s="922"/>
      <c r="T138" s="922"/>
      <c r="U138" s="930"/>
      <c r="V138" s="930"/>
      <c r="X138" s="926">
        <f>+'ICLD 2014'!E8</f>
        <v>16362801260</v>
      </c>
    </row>
    <row r="139" spans="3:24" s="925" customFormat="1" ht="12.75">
      <c r="C139" s="926"/>
      <c r="D139" s="927"/>
      <c r="E139" s="927"/>
      <c r="F139" s="950"/>
      <c r="G139" s="950"/>
      <c r="H139" s="927"/>
      <c r="I139" s="927"/>
      <c r="J139" s="922"/>
      <c r="K139" s="922"/>
      <c r="L139" s="922"/>
      <c r="M139" s="922"/>
      <c r="N139" s="922"/>
      <c r="O139" s="922"/>
      <c r="P139" s="922"/>
      <c r="Q139" s="922"/>
      <c r="R139" s="922"/>
      <c r="S139" s="922"/>
      <c r="T139" s="922"/>
      <c r="U139" s="930"/>
      <c r="V139" s="930"/>
      <c r="X139" s="926">
        <f>+X138-X137</f>
        <v>-206700200</v>
      </c>
    </row>
    <row r="140" spans="3:24" s="925" customFormat="1" ht="12.75">
      <c r="C140" s="926"/>
      <c r="D140" s="927"/>
      <c r="E140" s="927"/>
      <c r="F140" s="950"/>
      <c r="G140" s="950"/>
      <c r="H140" s="927"/>
      <c r="I140" s="927"/>
      <c r="J140" s="922"/>
      <c r="K140" s="922"/>
      <c r="L140" s="922"/>
      <c r="M140" s="922"/>
      <c r="N140" s="922"/>
      <c r="O140" s="922"/>
      <c r="P140" s="922"/>
      <c r="Q140" s="922"/>
      <c r="R140" s="922"/>
      <c r="S140" s="922"/>
      <c r="T140" s="922"/>
      <c r="U140" s="930"/>
      <c r="V140" s="930"/>
      <c r="X140" s="926"/>
    </row>
    <row r="141" spans="3:24" s="925" customFormat="1" ht="12.75">
      <c r="C141" s="926"/>
      <c r="D141" s="927"/>
      <c r="E141" s="927"/>
      <c r="F141" s="950"/>
      <c r="G141" s="950"/>
      <c r="H141" s="927"/>
      <c r="I141" s="927"/>
      <c r="J141" s="922"/>
      <c r="K141" s="922"/>
      <c r="L141" s="922"/>
      <c r="M141" s="922"/>
      <c r="N141" s="922"/>
      <c r="O141" s="922"/>
      <c r="P141" s="922"/>
      <c r="Q141" s="922"/>
      <c r="R141" s="922"/>
      <c r="S141" s="922"/>
      <c r="T141" s="922"/>
      <c r="U141" s="930"/>
      <c r="V141" s="930"/>
      <c r="X141" s="926"/>
    </row>
    <row r="142" spans="3:24" s="925" customFormat="1" ht="12.75">
      <c r="C142" s="926"/>
      <c r="D142" s="927"/>
      <c r="E142" s="927"/>
      <c r="F142" s="950"/>
      <c r="G142" s="950"/>
      <c r="H142" s="927"/>
      <c r="I142" s="927"/>
      <c r="J142" s="922"/>
      <c r="K142" s="922"/>
      <c r="L142" s="922"/>
      <c r="M142" s="922"/>
      <c r="N142" s="922"/>
      <c r="O142" s="922"/>
      <c r="P142" s="922"/>
      <c r="Q142" s="922"/>
      <c r="R142" s="922"/>
      <c r="S142" s="922"/>
      <c r="T142" s="922"/>
      <c r="U142" s="930"/>
      <c r="V142" s="930"/>
      <c r="X142" s="926"/>
    </row>
    <row r="143" spans="3:24" s="925" customFormat="1" ht="12.75">
      <c r="C143" s="926"/>
      <c r="D143" s="927"/>
      <c r="E143" s="927"/>
      <c r="F143" s="950"/>
      <c r="G143" s="950"/>
      <c r="H143" s="927"/>
      <c r="I143" s="927"/>
      <c r="J143" s="922"/>
      <c r="K143" s="922"/>
      <c r="L143" s="922"/>
      <c r="M143" s="922"/>
      <c r="N143" s="922"/>
      <c r="O143" s="922"/>
      <c r="P143" s="922"/>
      <c r="Q143" s="922"/>
      <c r="R143" s="922"/>
      <c r="S143" s="922"/>
      <c r="T143" s="922"/>
      <c r="U143" s="930"/>
      <c r="V143" s="930"/>
      <c r="X143" s="926"/>
    </row>
    <row r="144" spans="3:24" s="925" customFormat="1" ht="12.75">
      <c r="C144" s="926"/>
      <c r="D144" s="927"/>
      <c r="E144" s="927"/>
      <c r="F144" s="950"/>
      <c r="G144" s="950"/>
      <c r="H144" s="927"/>
      <c r="I144" s="927"/>
      <c r="J144" s="922"/>
      <c r="K144" s="922"/>
      <c r="L144" s="922"/>
      <c r="M144" s="922"/>
      <c r="N144" s="922"/>
      <c r="O144" s="922"/>
      <c r="P144" s="922"/>
      <c r="Q144" s="922"/>
      <c r="R144" s="922"/>
      <c r="S144" s="922"/>
      <c r="T144" s="922"/>
      <c r="U144" s="930"/>
      <c r="V144" s="930"/>
      <c r="X144" s="926"/>
    </row>
    <row r="145" spans="3:24" s="925" customFormat="1" ht="12.75">
      <c r="C145" s="926"/>
      <c r="D145" s="927"/>
      <c r="E145" s="927"/>
      <c r="F145" s="950"/>
      <c r="G145" s="950"/>
      <c r="H145" s="927"/>
      <c r="I145" s="927"/>
      <c r="J145" s="922"/>
      <c r="K145" s="922"/>
      <c r="L145" s="922"/>
      <c r="M145" s="922"/>
      <c r="N145" s="922"/>
      <c r="O145" s="922"/>
      <c r="P145" s="922"/>
      <c r="Q145" s="922"/>
      <c r="R145" s="922"/>
      <c r="S145" s="922"/>
      <c r="T145" s="922"/>
      <c r="U145" s="930"/>
      <c r="V145" s="930"/>
      <c r="X145" s="926"/>
    </row>
    <row r="146" spans="3:24" s="925" customFormat="1" ht="12.75">
      <c r="C146" s="926"/>
      <c r="D146" s="927"/>
      <c r="E146" s="927"/>
      <c r="F146" s="950"/>
      <c r="G146" s="950"/>
      <c r="H146" s="927"/>
      <c r="I146" s="927"/>
      <c r="J146" s="922"/>
      <c r="K146" s="922"/>
      <c r="L146" s="922"/>
      <c r="M146" s="922"/>
      <c r="N146" s="922"/>
      <c r="O146" s="922"/>
      <c r="P146" s="922"/>
      <c r="Q146" s="922"/>
      <c r="R146" s="922"/>
      <c r="S146" s="922"/>
      <c r="T146" s="922"/>
      <c r="U146" s="930"/>
      <c r="V146" s="930"/>
      <c r="X146" s="926"/>
    </row>
    <row r="147" spans="3:24" s="925" customFormat="1" ht="12.75">
      <c r="C147" s="926"/>
      <c r="D147" s="927"/>
      <c r="E147" s="927"/>
      <c r="F147" s="950"/>
      <c r="G147" s="950"/>
      <c r="H147" s="927"/>
      <c r="I147" s="927"/>
      <c r="J147" s="922"/>
      <c r="K147" s="922"/>
      <c r="L147" s="922"/>
      <c r="M147" s="922"/>
      <c r="N147" s="922"/>
      <c r="O147" s="922"/>
      <c r="P147" s="922"/>
      <c r="Q147" s="922"/>
      <c r="R147" s="922"/>
      <c r="S147" s="922"/>
      <c r="T147" s="922"/>
      <c r="U147" s="930"/>
      <c r="V147" s="930"/>
      <c r="X147" s="926"/>
    </row>
    <row r="148" spans="3:24" s="925" customFormat="1" ht="12.75">
      <c r="C148" s="926"/>
      <c r="D148" s="927"/>
      <c r="E148" s="927"/>
      <c r="F148" s="950"/>
      <c r="G148" s="950"/>
      <c r="H148" s="927"/>
      <c r="I148" s="927"/>
      <c r="J148" s="922"/>
      <c r="K148" s="922"/>
      <c r="L148" s="922"/>
      <c r="M148" s="922"/>
      <c r="N148" s="922"/>
      <c r="O148" s="922"/>
      <c r="P148" s="922"/>
      <c r="Q148" s="922"/>
      <c r="R148" s="922"/>
      <c r="S148" s="922"/>
      <c r="T148" s="922"/>
      <c r="U148" s="930"/>
      <c r="V148" s="930"/>
      <c r="X148" s="926"/>
    </row>
    <row r="149" spans="3:24" s="925" customFormat="1" ht="12.75">
      <c r="C149" s="926"/>
      <c r="D149" s="927"/>
      <c r="E149" s="927"/>
      <c r="F149" s="950"/>
      <c r="G149" s="950"/>
      <c r="H149" s="927"/>
      <c r="I149" s="927"/>
      <c r="J149" s="922"/>
      <c r="K149" s="922"/>
      <c r="L149" s="922"/>
      <c r="M149" s="922"/>
      <c r="N149" s="922"/>
      <c r="O149" s="922"/>
      <c r="P149" s="922"/>
      <c r="Q149" s="922"/>
      <c r="R149" s="922"/>
      <c r="S149" s="922"/>
      <c r="T149" s="922"/>
      <c r="U149" s="930"/>
      <c r="V149" s="930"/>
      <c r="X149" s="926"/>
    </row>
    <row r="150" spans="6:7" s="925" customFormat="1" ht="12.75">
      <c r="F150" s="950"/>
      <c r="G150" s="950"/>
    </row>
    <row r="151" spans="6:7" s="925" customFormat="1" ht="12.75">
      <c r="F151" s="950"/>
      <c r="G151" s="950"/>
    </row>
    <row r="152" spans="6:7" s="925" customFormat="1" ht="12.75">
      <c r="F152" s="950"/>
      <c r="G152" s="950"/>
    </row>
    <row r="153" spans="6:7" s="925" customFormat="1" ht="12.75">
      <c r="F153" s="950"/>
      <c r="G153" s="950"/>
    </row>
    <row r="154" spans="6:7" s="925" customFormat="1" ht="12.75">
      <c r="F154" s="950"/>
      <c r="G154" s="950"/>
    </row>
    <row r="155" spans="6:7" s="925" customFormat="1" ht="12.75">
      <c r="F155" s="950"/>
      <c r="G155" s="950"/>
    </row>
    <row r="156" spans="6:7" s="925" customFormat="1" ht="12.75">
      <c r="F156" s="950"/>
      <c r="G156" s="950"/>
    </row>
    <row r="157" spans="6:7" s="925" customFormat="1" ht="12.75">
      <c r="F157" s="950"/>
      <c r="G157" s="950"/>
    </row>
    <row r="158" spans="6:7" s="925" customFormat="1" ht="12.75">
      <c r="F158" s="950"/>
      <c r="G158" s="950"/>
    </row>
    <row r="159" spans="6:7" s="925" customFormat="1" ht="12.75">
      <c r="F159" s="950"/>
      <c r="G159" s="950"/>
    </row>
    <row r="160" spans="6:7" s="925" customFormat="1" ht="12.75">
      <c r="F160" s="950"/>
      <c r="G160" s="950"/>
    </row>
    <row r="161" spans="6:7" s="925" customFormat="1" ht="12.75">
      <c r="F161" s="950"/>
      <c r="G161" s="950"/>
    </row>
    <row r="162" spans="6:7" s="925" customFormat="1" ht="12.75">
      <c r="F162" s="950"/>
      <c r="G162" s="950"/>
    </row>
    <row r="163" spans="6:7" s="925" customFormat="1" ht="12.75">
      <c r="F163" s="950"/>
      <c r="G163" s="950"/>
    </row>
    <row r="164" spans="6:7" s="925" customFormat="1" ht="12.75">
      <c r="F164" s="950"/>
      <c r="G164" s="950"/>
    </row>
    <row r="165" spans="6:7" s="925" customFormat="1" ht="12.75">
      <c r="F165" s="950"/>
      <c r="G165" s="950"/>
    </row>
    <row r="166" spans="6:7" s="925" customFormat="1" ht="12.75">
      <c r="F166" s="950"/>
      <c r="G166" s="950"/>
    </row>
    <row r="167" spans="6:7" s="925" customFormat="1" ht="12.75">
      <c r="F167" s="950"/>
      <c r="G167" s="950"/>
    </row>
    <row r="168" spans="6:7" s="925" customFormat="1" ht="12.75">
      <c r="F168" s="950"/>
      <c r="G168" s="950"/>
    </row>
    <row r="169" spans="6:7" s="925" customFormat="1" ht="12.75">
      <c r="F169" s="950"/>
      <c r="G169" s="950"/>
    </row>
    <row r="170" spans="6:7" s="925" customFormat="1" ht="12.75">
      <c r="F170" s="950"/>
      <c r="G170" s="950"/>
    </row>
    <row r="171" spans="6:7" s="925" customFormat="1" ht="12.75">
      <c r="F171" s="950"/>
      <c r="G171" s="950"/>
    </row>
    <row r="172" spans="6:7" s="925" customFormat="1" ht="12.75">
      <c r="F172" s="950"/>
      <c r="G172" s="950"/>
    </row>
    <row r="173" spans="6:7" s="925" customFormat="1" ht="12.75">
      <c r="F173" s="950"/>
      <c r="G173" s="950"/>
    </row>
    <row r="174" spans="6:7" s="925" customFormat="1" ht="12.75">
      <c r="F174" s="950"/>
      <c r="G174" s="950"/>
    </row>
    <row r="175" spans="6:7" s="925" customFormat="1" ht="12.75">
      <c r="F175" s="950"/>
      <c r="G175" s="950"/>
    </row>
    <row r="176" spans="3:24" ht="12.75">
      <c r="C176" s="1056"/>
      <c r="D176" s="1056"/>
      <c r="E176" s="1056"/>
      <c r="H176" s="1056"/>
      <c r="I176" s="1056"/>
      <c r="J176" s="1056"/>
      <c r="K176" s="1056"/>
      <c r="L176" s="1056"/>
      <c r="M176" s="1056"/>
      <c r="N176" s="1056"/>
      <c r="O176" s="1056"/>
      <c r="P176" s="1056"/>
      <c r="Q176" s="1056"/>
      <c r="R176" s="1056"/>
      <c r="S176" s="1056"/>
      <c r="T176" s="1056"/>
      <c r="U176" s="1056"/>
      <c r="V176" s="1056"/>
      <c r="X176" s="1056"/>
    </row>
    <row r="189" ht="12.75"/>
    <row r="190" ht="12.75"/>
    <row r="191" ht="12.75"/>
    <row r="192" ht="12.75"/>
  </sheetData>
  <sheetProtection/>
  <autoFilter ref="A8:H125"/>
  <mergeCells count="6">
    <mergeCell ref="A1:E1"/>
    <mergeCell ref="A2:E2"/>
    <mergeCell ref="A3:E3"/>
    <mergeCell ref="A4:E4"/>
    <mergeCell ref="A6:A7"/>
    <mergeCell ref="B6:B7"/>
  </mergeCells>
  <printOptions/>
  <pageMargins left="0.45" right="0.45" top="0.75" bottom="0.75" header="0.3" footer="0.3"/>
  <pageSetup horizontalDpi="300" verticalDpi="300" orientation="portrait" paperSize="9" scale="65" r:id="rId3"/>
  <legacyDrawing r:id="rId2"/>
</worksheet>
</file>

<file path=xl/worksheets/sheet3.xml><?xml version="1.0" encoding="utf-8"?>
<worksheet xmlns="http://schemas.openxmlformats.org/spreadsheetml/2006/main" xmlns:r="http://schemas.openxmlformats.org/officeDocument/2006/relationships">
  <dimension ref="A1:BC63"/>
  <sheetViews>
    <sheetView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E8" sqref="E8"/>
    </sheetView>
  </sheetViews>
  <sheetFormatPr defaultColWidth="11.421875" defaultRowHeight="15"/>
  <cols>
    <col min="1" max="1" width="17.421875" style="983" customWidth="1"/>
    <col min="2" max="2" width="38.140625" style="1000" customWidth="1"/>
    <col min="3" max="3" width="16.7109375" style="299" hidden="1" customWidth="1"/>
    <col min="4" max="4" width="17.28125" style="349" hidden="1" customWidth="1"/>
    <col min="5" max="5" width="17.57421875" style="349" customWidth="1"/>
    <col min="6" max="17" width="17.28125" style="349" customWidth="1"/>
    <col min="18" max="18" width="32.8515625" style="1008" customWidth="1"/>
    <col min="19" max="19" width="15.421875" style="1008" customWidth="1"/>
    <col min="20" max="20" width="11.8515625" style="1008" customWidth="1"/>
    <col min="21" max="21" width="15.421875" style="1008" customWidth="1"/>
    <col min="22" max="22" width="20.140625" style="1008" customWidth="1"/>
    <col min="23" max="23" width="24.7109375" style="1006" customWidth="1"/>
    <col min="24" max="24" width="16.8515625" style="1006" customWidth="1"/>
    <col min="25" max="25" width="11.421875" style="1006" customWidth="1"/>
    <col min="26" max="26" width="15.57421875" style="1006" customWidth="1"/>
    <col min="27" max="27" width="38.00390625" style="1006" customWidth="1"/>
    <col min="28" max="30" width="11.421875" style="1006" customWidth="1"/>
    <col min="31" max="31" width="11.421875" style="1028" customWidth="1"/>
    <col min="32" max="39" width="11.57421875" style="1029" customWidth="1"/>
    <col min="40" max="42" width="11.57421875" style="999" customWidth="1"/>
    <col min="43" max="44" width="11.57421875" style="987" customWidth="1"/>
    <col min="45" max="55" width="11.421875" style="983" customWidth="1"/>
    <col min="56" max="16384" width="11.421875" style="252" customWidth="1"/>
  </cols>
  <sheetData>
    <row r="1" spans="1:55" s="17" customFormat="1" ht="15">
      <c r="A1" s="1190" t="s">
        <v>256</v>
      </c>
      <c r="B1" s="1190"/>
      <c r="C1" s="1190"/>
      <c r="D1" s="1190"/>
      <c r="E1" s="1190"/>
      <c r="F1" s="1190"/>
      <c r="G1" s="1190"/>
      <c r="H1" s="1190"/>
      <c r="I1" s="1190"/>
      <c r="J1" s="1190"/>
      <c r="K1" s="1190"/>
      <c r="L1" s="1190"/>
      <c r="M1" s="1190"/>
      <c r="N1" s="1190"/>
      <c r="O1" s="1190"/>
      <c r="P1" s="1191"/>
      <c r="Q1" s="1030"/>
      <c r="R1" s="1003" t="s">
        <v>611</v>
      </c>
      <c r="S1" s="1004">
        <v>589500</v>
      </c>
      <c r="T1" s="1004"/>
      <c r="U1" s="1004"/>
      <c r="V1" s="1004"/>
      <c r="W1" s="1004"/>
      <c r="X1" s="1004"/>
      <c r="Y1" s="1004"/>
      <c r="Z1" s="1014">
        <f>+'FUNCIONAMIENTO 2014'!F7</f>
        <v>8330953105.513254</v>
      </c>
      <c r="AA1" s="1006" t="s">
        <v>250</v>
      </c>
      <c r="AB1" s="1004"/>
      <c r="AC1" s="1004"/>
      <c r="AD1" s="1004"/>
      <c r="AE1" s="1004"/>
      <c r="AF1" s="1015"/>
      <c r="AG1" s="1015"/>
      <c r="AH1" s="1015"/>
      <c r="AI1" s="1015"/>
      <c r="AJ1" s="1015"/>
      <c r="AK1" s="1015"/>
      <c r="AL1" s="1015"/>
      <c r="AM1" s="1015"/>
      <c r="AN1" s="980"/>
      <c r="AO1" s="980"/>
      <c r="AP1" s="980"/>
      <c r="AQ1" s="980"/>
      <c r="AR1" s="980"/>
      <c r="AS1" s="979"/>
      <c r="AT1" s="979"/>
      <c r="AU1" s="979"/>
      <c r="AV1" s="979"/>
      <c r="AW1" s="979"/>
      <c r="AX1" s="979"/>
      <c r="AY1" s="979"/>
      <c r="AZ1" s="979"/>
      <c r="BA1" s="979"/>
      <c r="BB1" s="979"/>
      <c r="BC1" s="979"/>
    </row>
    <row r="2" spans="1:55" s="17" customFormat="1" ht="15">
      <c r="A2" s="1190" t="s">
        <v>396</v>
      </c>
      <c r="B2" s="1190"/>
      <c r="C2" s="1190"/>
      <c r="D2" s="1190"/>
      <c r="E2" s="1190"/>
      <c r="F2" s="1190"/>
      <c r="G2" s="1190"/>
      <c r="H2" s="1190"/>
      <c r="I2" s="1190"/>
      <c r="J2" s="1190"/>
      <c r="K2" s="1190"/>
      <c r="L2" s="1190"/>
      <c r="M2" s="1190"/>
      <c r="N2" s="1190"/>
      <c r="O2" s="1190"/>
      <c r="P2" s="1191"/>
      <c r="Q2" s="1030"/>
      <c r="R2" s="539" t="s">
        <v>1761</v>
      </c>
      <c r="S2" s="1005">
        <v>0.04</v>
      </c>
      <c r="T2" s="1004"/>
      <c r="U2" s="1004"/>
      <c r="V2" s="1004"/>
      <c r="W2" s="1004"/>
      <c r="X2" s="1004"/>
      <c r="Y2" s="1004"/>
      <c r="Z2" s="1006">
        <f>+U9+V9</f>
        <v>430720573.998</v>
      </c>
      <c r="AA2" s="1006" t="s">
        <v>251</v>
      </c>
      <c r="AB2" s="1004"/>
      <c r="AC2" s="1004"/>
      <c r="AD2" s="1004"/>
      <c r="AE2" s="1004"/>
      <c r="AF2" s="1015"/>
      <c r="AG2" s="1015"/>
      <c r="AH2" s="1015"/>
      <c r="AI2" s="1015"/>
      <c r="AJ2" s="1015"/>
      <c r="AK2" s="1015"/>
      <c r="AL2" s="1015"/>
      <c r="AM2" s="1015"/>
      <c r="AN2" s="980"/>
      <c r="AO2" s="980"/>
      <c r="AP2" s="980"/>
      <c r="AQ2" s="980"/>
      <c r="AR2" s="980"/>
      <c r="AS2" s="979"/>
      <c r="AT2" s="979"/>
      <c r="AU2" s="979"/>
      <c r="AV2" s="979"/>
      <c r="AW2" s="979"/>
      <c r="AX2" s="979"/>
      <c r="AY2" s="979"/>
      <c r="AZ2" s="979"/>
      <c r="BA2" s="979"/>
      <c r="BB2" s="979"/>
      <c r="BC2" s="979"/>
    </row>
    <row r="3" spans="1:55" s="17" customFormat="1" ht="18.75" customHeight="1">
      <c r="A3" s="1190" t="s">
        <v>1756</v>
      </c>
      <c r="B3" s="1190"/>
      <c r="C3" s="1190"/>
      <c r="D3" s="1190"/>
      <c r="E3" s="1190"/>
      <c r="F3" s="1190"/>
      <c r="G3" s="1190"/>
      <c r="H3" s="1190"/>
      <c r="I3" s="1190"/>
      <c r="J3" s="1190"/>
      <c r="K3" s="1190"/>
      <c r="L3" s="1190"/>
      <c r="M3" s="1190"/>
      <c r="N3" s="1190"/>
      <c r="O3" s="1190"/>
      <c r="P3" s="1191"/>
      <c r="Q3" s="1030"/>
      <c r="R3" s="1060" t="s">
        <v>612</v>
      </c>
      <c r="S3" s="982">
        <f>+S1*S2+S1</f>
        <v>613080</v>
      </c>
      <c r="T3" s="1004"/>
      <c r="U3" s="1004"/>
      <c r="V3" s="1004"/>
      <c r="W3" s="1004"/>
      <c r="X3" s="1004"/>
      <c r="Y3" s="1004"/>
      <c r="Z3" s="1006">
        <f>+V11</f>
        <v>171662400</v>
      </c>
      <c r="AA3" s="1006" t="s">
        <v>157</v>
      </c>
      <c r="AB3" s="1004"/>
      <c r="AC3" s="1004"/>
      <c r="AD3" s="1004"/>
      <c r="AE3" s="1004"/>
      <c r="AF3" s="1015"/>
      <c r="AG3" s="1015"/>
      <c r="AH3" s="1015"/>
      <c r="AI3" s="1015"/>
      <c r="AJ3" s="1015"/>
      <c r="AK3" s="1015"/>
      <c r="AL3" s="1015"/>
      <c r="AM3" s="1015"/>
      <c r="AN3" s="980"/>
      <c r="AO3" s="980"/>
      <c r="AP3" s="980"/>
      <c r="AQ3" s="980"/>
      <c r="AR3" s="980"/>
      <c r="AS3" s="979"/>
      <c r="AT3" s="979"/>
      <c r="AU3" s="979"/>
      <c r="AV3" s="979"/>
      <c r="AW3" s="979"/>
      <c r="AX3" s="979"/>
      <c r="AY3" s="979"/>
      <c r="AZ3" s="979"/>
      <c r="BA3" s="979"/>
      <c r="BB3" s="979"/>
      <c r="BC3" s="979"/>
    </row>
    <row r="4" spans="1:55" s="17" customFormat="1" ht="18.75" customHeight="1">
      <c r="A4" s="1190" t="s">
        <v>396</v>
      </c>
      <c r="B4" s="1190"/>
      <c r="C4" s="1190"/>
      <c r="D4" s="1190"/>
      <c r="E4" s="1190"/>
      <c r="F4" s="1190"/>
      <c r="G4" s="1190"/>
      <c r="H4" s="1190"/>
      <c r="I4" s="1190"/>
      <c r="J4" s="1190"/>
      <c r="K4" s="1190"/>
      <c r="L4" s="1190"/>
      <c r="M4" s="1190"/>
      <c r="N4" s="1190"/>
      <c r="O4" s="1190"/>
      <c r="P4" s="1191"/>
      <c r="Q4" s="1030"/>
      <c r="R4" s="981"/>
      <c r="S4" s="982"/>
      <c r="T4" s="1004"/>
      <c r="U4" s="1004"/>
      <c r="V4" s="1004"/>
      <c r="W4" s="1004"/>
      <c r="X4" s="1004"/>
      <c r="Y4" s="1004"/>
      <c r="Z4" s="1006"/>
      <c r="AA4" s="1006"/>
      <c r="AB4" s="1004"/>
      <c r="AC4" s="1004"/>
      <c r="AD4" s="1004"/>
      <c r="AE4" s="1004"/>
      <c r="AF4" s="1015"/>
      <c r="AG4" s="1015"/>
      <c r="AH4" s="1015"/>
      <c r="AI4" s="1015"/>
      <c r="AJ4" s="1015"/>
      <c r="AK4" s="1015"/>
      <c r="AL4" s="1015"/>
      <c r="AM4" s="1015"/>
      <c r="AN4" s="980"/>
      <c r="AO4" s="980"/>
      <c r="AP4" s="980"/>
      <c r="AQ4" s="980"/>
      <c r="AR4" s="980"/>
      <c r="AS4" s="979"/>
      <c r="AT4" s="979"/>
      <c r="AU4" s="979"/>
      <c r="AV4" s="979"/>
      <c r="AW4" s="979"/>
      <c r="AX4" s="979"/>
      <c r="AY4" s="979"/>
      <c r="AZ4" s="979"/>
      <c r="BA4" s="979"/>
      <c r="BB4" s="979"/>
      <c r="BC4" s="979"/>
    </row>
    <row r="5" spans="1:55" s="17" customFormat="1" ht="18" customHeight="1">
      <c r="A5" s="983"/>
      <c r="B5" s="983"/>
      <c r="C5" s="983"/>
      <c r="D5" s="983"/>
      <c r="E5" s="983"/>
      <c r="F5" s="983"/>
      <c r="G5" s="983"/>
      <c r="H5" s="983"/>
      <c r="I5" s="983"/>
      <c r="J5" s="983"/>
      <c r="K5" s="983"/>
      <c r="L5" s="983"/>
      <c r="M5" s="983"/>
      <c r="N5" s="983"/>
      <c r="O5" s="983"/>
      <c r="P5" s="983"/>
      <c r="Q5" s="983"/>
      <c r="R5" s="981"/>
      <c r="S5" s="984"/>
      <c r="T5" s="1004"/>
      <c r="U5" s="1004"/>
      <c r="V5" s="1004"/>
      <c r="W5" s="1004"/>
      <c r="X5" s="1004"/>
      <c r="Y5" s="1004"/>
      <c r="Z5" s="1016">
        <f>+'FUNCIONAMIENTO 2014'!F69</f>
        <v>16800000</v>
      </c>
      <c r="AA5" s="1006" t="s">
        <v>398</v>
      </c>
      <c r="AB5" s="1004"/>
      <c r="AC5" s="1004"/>
      <c r="AD5" s="1004"/>
      <c r="AE5" s="1004"/>
      <c r="AF5" s="1015"/>
      <c r="AG5" s="1015"/>
      <c r="AH5" s="1015"/>
      <c r="AI5" s="1015"/>
      <c r="AJ5" s="1015"/>
      <c r="AK5" s="1015"/>
      <c r="AL5" s="1015"/>
      <c r="AM5" s="1015"/>
      <c r="AN5" s="980"/>
      <c r="AO5" s="980"/>
      <c r="AP5" s="980"/>
      <c r="AQ5" s="980"/>
      <c r="AR5" s="980"/>
      <c r="AS5" s="979"/>
      <c r="AT5" s="979"/>
      <c r="AU5" s="979"/>
      <c r="AV5" s="979"/>
      <c r="AW5" s="979"/>
      <c r="AX5" s="979"/>
      <c r="AY5" s="979"/>
      <c r="AZ5" s="979"/>
      <c r="BA5" s="979"/>
      <c r="BB5" s="979"/>
      <c r="BC5" s="979"/>
    </row>
    <row r="6" spans="1:42" ht="15">
      <c r="A6" s="1192" t="s">
        <v>496</v>
      </c>
      <c r="B6" s="260" t="s">
        <v>271</v>
      </c>
      <c r="C6" s="985">
        <v>2012</v>
      </c>
      <c r="D6" s="986">
        <f aca="true" t="shared" si="0" ref="D6:I6">+C6+1</f>
        <v>2013</v>
      </c>
      <c r="E6" s="986">
        <f t="shared" si="0"/>
        <v>2014</v>
      </c>
      <c r="F6" s="986">
        <f t="shared" si="0"/>
        <v>2015</v>
      </c>
      <c r="G6" s="986">
        <f t="shared" si="0"/>
        <v>2016</v>
      </c>
      <c r="H6" s="986">
        <f t="shared" si="0"/>
        <v>2017</v>
      </c>
      <c r="I6" s="986">
        <f t="shared" si="0"/>
        <v>2018</v>
      </c>
      <c r="J6" s="986">
        <f aca="true" t="shared" si="1" ref="J6:O6">+I6+1</f>
        <v>2019</v>
      </c>
      <c r="K6" s="986">
        <f t="shared" si="1"/>
        <v>2020</v>
      </c>
      <c r="L6" s="986">
        <f t="shared" si="1"/>
        <v>2021</v>
      </c>
      <c r="M6" s="986">
        <f t="shared" si="1"/>
        <v>2022</v>
      </c>
      <c r="N6" s="986">
        <f t="shared" si="1"/>
        <v>2023</v>
      </c>
      <c r="O6" s="986">
        <f t="shared" si="1"/>
        <v>2024</v>
      </c>
      <c r="P6" s="986" t="s">
        <v>497</v>
      </c>
      <c r="Q6" s="1007"/>
      <c r="Z6" s="1017">
        <f>+'FUNCIONAMIENTO 2014'!F29</f>
        <v>11610000</v>
      </c>
      <c r="AA6" s="1006" t="s">
        <v>399</v>
      </c>
      <c r="AE6" s="981"/>
      <c r="AF6" s="989"/>
      <c r="AG6" s="1015"/>
      <c r="AH6" s="1015"/>
      <c r="AI6" s="1015"/>
      <c r="AJ6" s="1015"/>
      <c r="AK6" s="1015"/>
      <c r="AL6" s="1015"/>
      <c r="AM6" s="1015"/>
      <c r="AN6" s="980"/>
      <c r="AO6" s="980"/>
      <c r="AP6" s="980"/>
    </row>
    <row r="7" spans="1:42" ht="30">
      <c r="A7" s="1192"/>
      <c r="B7" s="1035" t="s">
        <v>283</v>
      </c>
      <c r="C7" s="1036"/>
      <c r="D7" s="1037"/>
      <c r="E7" s="1037">
        <f>+E8-(E8*3%)</f>
        <v>15871917222.2</v>
      </c>
      <c r="F7" s="1037">
        <f>+F8-(F8*3%)</f>
        <v>16348074738.866</v>
      </c>
      <c r="G7" s="1037">
        <f aca="true" t="shared" si="2" ref="G7:O7">+G8-(G8*3%)</f>
        <v>16838516981.03198</v>
      </c>
      <c r="H7" s="1037">
        <f t="shared" si="2"/>
        <v>17343672490.46294</v>
      </c>
      <c r="I7" s="1037">
        <f t="shared" si="2"/>
        <v>17863982665.17683</v>
      </c>
      <c r="J7" s="1037">
        <f t="shared" si="2"/>
        <v>18399902145.132133</v>
      </c>
      <c r="K7" s="1037">
        <f t="shared" si="2"/>
        <v>18451328049.447807</v>
      </c>
      <c r="L7" s="1037">
        <f t="shared" si="2"/>
        <v>19004867890.931248</v>
      </c>
      <c r="M7" s="1037">
        <f t="shared" si="2"/>
        <v>19059425632.819748</v>
      </c>
      <c r="N7" s="1037">
        <f t="shared" si="2"/>
        <v>19631208401.804337</v>
      </c>
      <c r="O7" s="1037">
        <f t="shared" si="2"/>
        <v>19689088710.173847</v>
      </c>
      <c r="P7" s="1037">
        <f>+P8-(P8*3%)</f>
        <v>224504222946.6369</v>
      </c>
      <c r="Q7" s="1007"/>
      <c r="Z7" s="1017"/>
      <c r="AE7" s="981"/>
      <c r="AF7" s="989"/>
      <c r="AG7" s="1015"/>
      <c r="AH7" s="1015"/>
      <c r="AI7" s="1015"/>
      <c r="AJ7" s="1015"/>
      <c r="AK7" s="1015"/>
      <c r="AL7" s="1015"/>
      <c r="AM7" s="1015"/>
      <c r="AN7" s="980"/>
      <c r="AO7" s="980"/>
      <c r="AP7" s="980"/>
    </row>
    <row r="8" spans="1:42" ht="28.5" customHeight="1">
      <c r="A8" s="1192"/>
      <c r="B8" s="260" t="s">
        <v>163</v>
      </c>
      <c r="C8" s="301" t="e">
        <f>+C9+C28+C52</f>
        <v>#REF!</v>
      </c>
      <c r="D8" s="301">
        <f>+D9+D28+D52</f>
        <v>14003245027</v>
      </c>
      <c r="E8" s="301">
        <f>(+E9+E28+E52)</f>
        <v>16362801260</v>
      </c>
      <c r="F8" s="301">
        <f>(+F9+F28+F52)</f>
        <v>16853685297.8</v>
      </c>
      <c r="G8" s="301">
        <f aca="true" t="shared" si="3" ref="G8:P8">(+G9+G28+G52)</f>
        <v>17359295856.734</v>
      </c>
      <c r="H8" s="301">
        <f t="shared" si="3"/>
        <v>17880074732.43602</v>
      </c>
      <c r="I8" s="301">
        <f t="shared" si="3"/>
        <v>18416476974.409103</v>
      </c>
      <c r="J8" s="301">
        <f>(+J9+J28+J52)</f>
        <v>18968971283.641376</v>
      </c>
      <c r="K8" s="301">
        <f t="shared" si="3"/>
        <v>19021987679.8431</v>
      </c>
      <c r="L8" s="301">
        <f t="shared" si="3"/>
        <v>19592647310.2384</v>
      </c>
      <c r="M8" s="301">
        <f t="shared" si="3"/>
        <v>19648892404.96881</v>
      </c>
      <c r="N8" s="301">
        <f t="shared" si="3"/>
        <v>20238359177.117874</v>
      </c>
      <c r="O8" s="301">
        <f t="shared" si="3"/>
        <v>20298029598.117367</v>
      </c>
      <c r="P8" s="301">
        <f t="shared" si="3"/>
        <v>231447652522.3061</v>
      </c>
      <c r="Q8" s="1009"/>
      <c r="R8" s="1009">
        <f>+R9+R28+R52</f>
        <v>840593800</v>
      </c>
      <c r="S8" s="1009" t="e">
        <f>+S9+S28+S52</f>
        <v>#REF!</v>
      </c>
      <c r="T8" s="1010" t="s">
        <v>166</v>
      </c>
      <c r="U8" s="1018" t="s">
        <v>165</v>
      </c>
      <c r="V8" s="1019" t="s">
        <v>613</v>
      </c>
      <c r="W8" s="1006">
        <f>+E8-'PLAN DE ACCIÓN 2014'!AD254-'FUNCIONAMIENTO 2014'!G112</f>
        <v>15691223710.64368</v>
      </c>
      <c r="X8" s="1006">
        <f>+W8*1.5%</f>
        <v>235368355.6596552</v>
      </c>
      <c r="Z8" s="1006">
        <f>+'FUNCIONAMIENTO 2014'!F61</f>
        <v>7350000</v>
      </c>
      <c r="AA8" s="1006" t="s">
        <v>587</v>
      </c>
      <c r="AE8" s="981"/>
      <c r="AF8" s="989"/>
      <c r="AG8" s="1015"/>
      <c r="AH8" s="1015"/>
      <c r="AI8" s="1015"/>
      <c r="AJ8" s="1015"/>
      <c r="AK8" s="1015"/>
      <c r="AL8" s="1015"/>
      <c r="AM8" s="1015"/>
      <c r="AN8" s="980"/>
      <c r="AO8" s="980"/>
      <c r="AP8" s="980"/>
    </row>
    <row r="9" spans="1:42" ht="15">
      <c r="A9" s="262" t="s">
        <v>161</v>
      </c>
      <c r="B9" s="260" t="s">
        <v>160</v>
      </c>
      <c r="C9" s="491" t="e">
        <f>+C10+C11+C12+C15+C18+C21+C22+#REF!+C23+C24+C25+C26</f>
        <v>#REF!</v>
      </c>
      <c r="D9" s="301">
        <f>+D10+D11+D12+D15+D18+D21+D22+D23+D24+D25+D26</f>
        <v>12261252779</v>
      </c>
      <c r="E9" s="301">
        <f>+E10+E11+E12+E15+E18+E21+E22+E23+E24+E25+E26</f>
        <v>14659106624</v>
      </c>
      <c r="F9" s="301">
        <f aca="true" t="shared" si="4" ref="F9:P9">+F10+F11+F12+F15+F18+F21+F22+F23+F24+F25+F26</f>
        <v>15098879822.72</v>
      </c>
      <c r="G9" s="301">
        <f t="shared" si="4"/>
        <v>15551846217.4016</v>
      </c>
      <c r="H9" s="301">
        <f t="shared" si="4"/>
        <v>16018401603.923649</v>
      </c>
      <c r="I9" s="301">
        <f t="shared" si="4"/>
        <v>16498953652.041359</v>
      </c>
      <c r="J9" s="301">
        <f t="shared" si="4"/>
        <v>16993922261.6026</v>
      </c>
      <c r="K9" s="301">
        <f t="shared" si="4"/>
        <v>16993922261.6026</v>
      </c>
      <c r="L9" s="301">
        <f t="shared" si="4"/>
        <v>17503739929.45068</v>
      </c>
      <c r="M9" s="301">
        <f t="shared" si="4"/>
        <v>17503739929.45068</v>
      </c>
      <c r="N9" s="301">
        <f t="shared" si="4"/>
        <v>18028852127.3342</v>
      </c>
      <c r="O9" s="301">
        <f t="shared" si="4"/>
        <v>18028852127.3342</v>
      </c>
      <c r="P9" s="301">
        <f t="shared" si="4"/>
        <v>207686822455.8616</v>
      </c>
      <c r="Q9" s="1009"/>
      <c r="R9" s="1009">
        <f>+R10+R11+R12+R15+R18+R21+R22+R23+R24+R25+R26</f>
        <v>838000800</v>
      </c>
      <c r="S9" s="1009" t="e">
        <f>+S10+S11+S12+S15+S18+S21+S22+S23+S24+S25+S26</f>
        <v>#REF!</v>
      </c>
      <c r="T9" s="1008">
        <f>159623*1.0315</f>
        <v>164651.1245</v>
      </c>
      <c r="U9" s="1008">
        <f>+T9*90*13</f>
        <v>192641815.665</v>
      </c>
      <c r="V9" s="1020">
        <f>+'LEY 617'!G8*1.5%</f>
        <v>238078758.333</v>
      </c>
      <c r="W9" s="1006" t="s">
        <v>162</v>
      </c>
      <c r="Z9" s="1021">
        <f>+Z1-Z2-Z3-Z5-Z6-Z8</f>
        <v>7692810131.515254</v>
      </c>
      <c r="AA9" s="1021" t="s">
        <v>1606</v>
      </c>
      <c r="AE9" s="1004"/>
      <c r="AF9" s="1015"/>
      <c r="AG9" s="1015"/>
      <c r="AH9" s="1015"/>
      <c r="AI9" s="1015"/>
      <c r="AJ9" s="1015"/>
      <c r="AK9" s="1015"/>
      <c r="AL9" s="1015"/>
      <c r="AM9" s="1015"/>
      <c r="AN9" s="980"/>
      <c r="AO9" s="980"/>
      <c r="AP9" s="980"/>
    </row>
    <row r="10" spans="1:42" ht="15">
      <c r="A10" s="990" t="s">
        <v>159</v>
      </c>
      <c r="B10" s="991" t="s">
        <v>158</v>
      </c>
      <c r="C10" s="492">
        <f>(+'INGRESOS PROYECTADOS MARCO FISC'!E9)*80%</f>
        <v>1656416000</v>
      </c>
      <c r="D10" s="321">
        <f>(+'INGRESOS 2014'!G9)*80%</f>
        <v>602040000</v>
      </c>
      <c r="E10" s="321">
        <f>(+'INGRESOS 2014'!H9)*80%</f>
        <v>826800800</v>
      </c>
      <c r="F10" s="321">
        <f>+E10*(1+$AM$12)</f>
        <v>851604824</v>
      </c>
      <c r="G10" s="321">
        <f>+F10*(1+$AN$12)</f>
        <v>877152968.72</v>
      </c>
      <c r="H10" s="321">
        <f>+G10*(1+$AO$12)</f>
        <v>903467557.7816</v>
      </c>
      <c r="I10" s="321">
        <f>+H10*(1+$AP$12)</f>
        <v>930571584.515048</v>
      </c>
      <c r="J10" s="321">
        <f>+I10*(1+$AQ$12)</f>
        <v>958488732.0504994</v>
      </c>
      <c r="K10" s="321">
        <f aca="true" t="shared" si="5" ref="K10:O11">+I10*(1+$AR$12)</f>
        <v>958488732.0504994</v>
      </c>
      <c r="L10" s="321">
        <f t="shared" si="5"/>
        <v>987243394.0120144</v>
      </c>
      <c r="M10" s="321">
        <f t="shared" si="5"/>
        <v>987243394.0120144</v>
      </c>
      <c r="N10" s="321">
        <f t="shared" si="5"/>
        <v>1016860695.8323748</v>
      </c>
      <c r="O10" s="321">
        <f t="shared" si="5"/>
        <v>1016860695.8323748</v>
      </c>
      <c r="P10" s="321">
        <f aca="true" t="shared" si="6" ref="P10:P45">SUM(C10:O10)</f>
        <v>12573239378.806425</v>
      </c>
      <c r="Q10" s="1008"/>
      <c r="Z10" s="1022">
        <f>+Z9/D8</f>
        <v>0.549359103313736</v>
      </c>
      <c r="AA10" s="1023" t="s">
        <v>1607</v>
      </c>
      <c r="AE10" s="981"/>
      <c r="AF10" s="992"/>
      <c r="AG10" s="992"/>
      <c r="AH10" s="992"/>
      <c r="AI10" s="989"/>
      <c r="AJ10" s="1015"/>
      <c r="AK10" s="1015"/>
      <c r="AL10" s="1015"/>
      <c r="AM10" s="1015"/>
      <c r="AN10" s="980"/>
      <c r="AO10" s="980"/>
      <c r="AP10" s="980"/>
    </row>
    <row r="11" spans="1:45" ht="30">
      <c r="A11" s="990" t="s">
        <v>156</v>
      </c>
      <c r="B11" s="991" t="s">
        <v>155</v>
      </c>
      <c r="C11" s="492">
        <f>+'INGRESOS PROYECTADOS MARCO FISC'!E10</f>
        <v>1609000</v>
      </c>
      <c r="D11" s="321">
        <f>+'INGRESOS 2014'!G10</f>
        <v>0</v>
      </c>
      <c r="E11" s="321">
        <f>+'INGRESOS 2014'!H76</f>
        <v>2000000</v>
      </c>
      <c r="F11" s="321">
        <f>+E11*(1+$AM$12)</f>
        <v>2060000</v>
      </c>
      <c r="G11" s="321">
        <f>+F11*(1+$AN$12)</f>
        <v>2121800</v>
      </c>
      <c r="H11" s="321">
        <f>+G11*(1+$AO$12)</f>
        <v>2185454</v>
      </c>
      <c r="I11" s="321">
        <f>+H11*(1+$AP$12)</f>
        <v>2251017.62</v>
      </c>
      <c r="J11" s="321">
        <f>+I11*(1+$AQ$12)</f>
        <v>2318548.1486</v>
      </c>
      <c r="K11" s="321">
        <f t="shared" si="5"/>
        <v>2318548.1486</v>
      </c>
      <c r="L11" s="321">
        <f t="shared" si="5"/>
        <v>2388104.593058</v>
      </c>
      <c r="M11" s="321">
        <f t="shared" si="5"/>
        <v>2388104.593058</v>
      </c>
      <c r="N11" s="321">
        <f t="shared" si="5"/>
        <v>2459747.73084974</v>
      </c>
      <c r="O11" s="321">
        <f t="shared" si="5"/>
        <v>2459747.73084974</v>
      </c>
      <c r="P11" s="321">
        <f t="shared" si="6"/>
        <v>26560072.565015484</v>
      </c>
      <c r="Q11" s="1008"/>
      <c r="R11" s="1008">
        <f>+E10</f>
        <v>826800800</v>
      </c>
      <c r="S11" s="1008">
        <f>+E10-R11</f>
        <v>0</v>
      </c>
      <c r="V11" s="1008">
        <f>+S3*280</f>
        <v>171662400</v>
      </c>
      <c r="W11" s="1006" t="s">
        <v>157</v>
      </c>
      <c r="AE11" s="993"/>
      <c r="AF11" s="994"/>
      <c r="AG11" s="994"/>
      <c r="AH11" s="994"/>
      <c r="AI11" s="994"/>
      <c r="AJ11" s="994"/>
      <c r="AK11" s="994"/>
      <c r="AL11" s="994">
        <v>2013</v>
      </c>
      <c r="AM11" s="994">
        <f aca="true" t="shared" si="7" ref="AM11:AS11">+AL11+1</f>
        <v>2014</v>
      </c>
      <c r="AN11" s="994">
        <f t="shared" si="7"/>
        <v>2015</v>
      </c>
      <c r="AO11" s="994">
        <f t="shared" si="7"/>
        <v>2016</v>
      </c>
      <c r="AP11" s="994">
        <f t="shared" si="7"/>
        <v>2017</v>
      </c>
      <c r="AQ11" s="994">
        <f t="shared" si="7"/>
        <v>2018</v>
      </c>
      <c r="AR11" s="994">
        <f t="shared" si="7"/>
        <v>2019</v>
      </c>
      <c r="AS11" s="994">
        <f t="shared" si="7"/>
        <v>2020</v>
      </c>
    </row>
    <row r="12" spans="1:45" ht="15">
      <c r="A12" s="990" t="s">
        <v>153</v>
      </c>
      <c r="B12" s="270" t="s">
        <v>152</v>
      </c>
      <c r="C12" s="493">
        <f aca="true" t="shared" si="8" ref="C12:L12">SUM(C13:C14)</f>
        <v>216506000</v>
      </c>
      <c r="D12" s="301">
        <f t="shared" si="8"/>
        <v>347450639</v>
      </c>
      <c r="E12" s="301">
        <f>SUM(E13:E14)</f>
        <v>394533355</v>
      </c>
      <c r="F12" s="301">
        <f t="shared" si="8"/>
        <v>406369355.65</v>
      </c>
      <c r="G12" s="301">
        <f>SUM(G13:G14)</f>
        <v>418560436.3195</v>
      </c>
      <c r="H12" s="301">
        <f t="shared" si="8"/>
        <v>431117249.40908504</v>
      </c>
      <c r="I12" s="301">
        <f t="shared" si="8"/>
        <v>444050766.8913576</v>
      </c>
      <c r="J12" s="301">
        <f t="shared" si="8"/>
        <v>457372289.89809835</v>
      </c>
      <c r="K12" s="301">
        <f t="shared" si="8"/>
        <v>457372289.89809835</v>
      </c>
      <c r="L12" s="301">
        <f t="shared" si="8"/>
        <v>471093458.5950414</v>
      </c>
      <c r="M12" s="301">
        <f>SUM(M13:M14)</f>
        <v>471093458.5950414</v>
      </c>
      <c r="N12" s="301">
        <f>SUM(N13:N14)</f>
        <v>485226262.3528926</v>
      </c>
      <c r="O12" s="301">
        <f>SUM(O13:O14)</f>
        <v>485226262.3528926</v>
      </c>
      <c r="P12" s="247">
        <f t="shared" si="6"/>
        <v>5485971823.9620075</v>
      </c>
      <c r="Q12" s="1011"/>
      <c r="R12" s="1008">
        <f>+E11</f>
        <v>2000000</v>
      </c>
      <c r="S12" s="1008">
        <f>+E11-R12</f>
        <v>0</v>
      </c>
      <c r="V12" s="1008">
        <f>+R9-V9-V11</f>
        <v>428259641.66700006</v>
      </c>
      <c r="W12" s="1006" t="s">
        <v>154</v>
      </c>
      <c r="Z12" s="1021"/>
      <c r="AE12" s="1003" t="s">
        <v>272</v>
      </c>
      <c r="AF12" s="995"/>
      <c r="AG12" s="995"/>
      <c r="AH12" s="1024"/>
      <c r="AI12" s="1025"/>
      <c r="AJ12" s="1024"/>
      <c r="AK12" s="1024"/>
      <c r="AL12" s="1024">
        <v>0.03</v>
      </c>
      <c r="AM12" s="1024">
        <v>0.03</v>
      </c>
      <c r="AN12" s="996">
        <v>0.03</v>
      </c>
      <c r="AO12" s="996">
        <v>0.03</v>
      </c>
      <c r="AP12" s="996">
        <v>0.03</v>
      </c>
      <c r="AQ12" s="996">
        <v>0.03</v>
      </c>
      <c r="AR12" s="996">
        <v>0.03</v>
      </c>
      <c r="AS12" s="996">
        <v>0.03</v>
      </c>
    </row>
    <row r="13" spans="1:42" ht="30">
      <c r="A13" s="990" t="s">
        <v>151</v>
      </c>
      <c r="B13" s="991" t="s">
        <v>150</v>
      </c>
      <c r="C13" s="492">
        <f>+'INGRESOS PROYECTADOS MARCO FISC'!E12</f>
        <v>108253000</v>
      </c>
      <c r="D13" s="321">
        <f>+'INGRESOS 2014'!G12</f>
        <v>287800623</v>
      </c>
      <c r="E13" s="321">
        <f>+'INGRESOS 2014'!H12</f>
        <v>315000000</v>
      </c>
      <c r="F13" s="321">
        <f>+E13*(1+$AM$12)</f>
        <v>324450000</v>
      </c>
      <c r="G13" s="321">
        <f>+F13*(1+$AN$12)</f>
        <v>334183500</v>
      </c>
      <c r="H13" s="321">
        <f>+G13*(1+$AO$12)</f>
        <v>344209005</v>
      </c>
      <c r="I13" s="321">
        <f>+H13*(1+$AP$12)</f>
        <v>354535275.15000004</v>
      </c>
      <c r="J13" s="321">
        <f>+I13*(1+$AQ$12)</f>
        <v>365171333.40450007</v>
      </c>
      <c r="K13" s="321">
        <f aca="true" t="shared" si="9" ref="K13:O14">+I13*(1+$AR$12)</f>
        <v>365171333.40450007</v>
      </c>
      <c r="L13" s="321">
        <f t="shared" si="9"/>
        <v>376126473.4066351</v>
      </c>
      <c r="M13" s="321">
        <f t="shared" si="9"/>
        <v>376126473.4066351</v>
      </c>
      <c r="N13" s="321">
        <f t="shared" si="9"/>
        <v>387410267.60883415</v>
      </c>
      <c r="O13" s="321">
        <f t="shared" si="9"/>
        <v>387410267.60883415</v>
      </c>
      <c r="P13" s="321">
        <f t="shared" si="6"/>
        <v>4325847551.989939</v>
      </c>
      <c r="Q13" s="1008"/>
      <c r="R13" s="1012">
        <f>+E12</f>
        <v>394533355</v>
      </c>
      <c r="S13" s="1008">
        <f>+E12-R13</f>
        <v>0</v>
      </c>
      <c r="AE13" s="1004"/>
      <c r="AF13" s="1015"/>
      <c r="AG13" s="1015"/>
      <c r="AH13" s="1024"/>
      <c r="AI13" s="1024"/>
      <c r="AJ13" s="1024"/>
      <c r="AK13" s="1024"/>
      <c r="AL13" s="1024"/>
      <c r="AM13" s="1024"/>
      <c r="AN13" s="996"/>
      <c r="AO13" s="996"/>
      <c r="AP13" s="996"/>
    </row>
    <row r="14" spans="1:42" ht="30">
      <c r="A14" s="990" t="s">
        <v>149</v>
      </c>
      <c r="B14" s="991" t="s">
        <v>148</v>
      </c>
      <c r="C14" s="492">
        <f>+'INGRESOS PROYECTADOS MARCO FISC'!E13</f>
        <v>108253000</v>
      </c>
      <c r="D14" s="321">
        <f>+'INGRESOS 2014'!G13</f>
        <v>59650016</v>
      </c>
      <c r="E14" s="321">
        <f>+'INGRESOS 2014'!H13</f>
        <v>79533355</v>
      </c>
      <c r="F14" s="321">
        <f>+E14*(1+$AM$12)</f>
        <v>81919355.65</v>
      </c>
      <c r="G14" s="321">
        <f>+F14*(1+$AN$12)</f>
        <v>84376936.31950001</v>
      </c>
      <c r="H14" s="321">
        <f>+G14*(1+$AO$12)</f>
        <v>86908244.40908502</v>
      </c>
      <c r="I14" s="321">
        <f>+H14*(1+$AP$12)</f>
        <v>89515491.74135758</v>
      </c>
      <c r="J14" s="321">
        <f>+I14*(1+$AQ$12)</f>
        <v>92200956.49359831</v>
      </c>
      <c r="K14" s="321">
        <f t="shared" si="9"/>
        <v>92200956.49359831</v>
      </c>
      <c r="L14" s="321">
        <f t="shared" si="9"/>
        <v>94966985.18840626</v>
      </c>
      <c r="M14" s="321">
        <f t="shared" si="9"/>
        <v>94966985.18840626</v>
      </c>
      <c r="N14" s="321">
        <f t="shared" si="9"/>
        <v>97815994.74405845</v>
      </c>
      <c r="O14" s="321">
        <f t="shared" si="9"/>
        <v>97815994.74405845</v>
      </c>
      <c r="P14" s="321">
        <f t="shared" si="6"/>
        <v>1160124271.9720688</v>
      </c>
      <c r="Q14" s="1008"/>
      <c r="Z14" s="1026"/>
      <c r="AE14" s="1004"/>
      <c r="AF14" s="1015"/>
      <c r="AG14" s="1015"/>
      <c r="AH14" s="1024"/>
      <c r="AI14" s="1024"/>
      <c r="AJ14" s="1024"/>
      <c r="AK14" s="1024"/>
      <c r="AL14" s="1024"/>
      <c r="AM14" s="1024"/>
      <c r="AN14" s="996"/>
      <c r="AO14" s="996"/>
      <c r="AP14" s="996"/>
    </row>
    <row r="15" spans="1:42" ht="15">
      <c r="A15" s="990" t="s">
        <v>147</v>
      </c>
      <c r="B15" s="270" t="s">
        <v>146</v>
      </c>
      <c r="C15" s="493">
        <f aca="true" t="shared" si="10" ref="C15:L15">SUM(C16:C17)</f>
        <v>10122360000</v>
      </c>
      <c r="D15" s="301">
        <f t="shared" si="10"/>
        <v>10419153854</v>
      </c>
      <c r="E15" s="301">
        <f t="shared" si="10"/>
        <v>12489850000</v>
      </c>
      <c r="F15" s="301">
        <f t="shared" si="10"/>
        <v>12864545500</v>
      </c>
      <c r="G15" s="301">
        <f t="shared" si="10"/>
        <v>13250481865</v>
      </c>
      <c r="H15" s="301">
        <f t="shared" si="10"/>
        <v>13647996320.95</v>
      </c>
      <c r="I15" s="301">
        <f t="shared" si="10"/>
        <v>14057436210.5785</v>
      </c>
      <c r="J15" s="301">
        <f t="shared" si="10"/>
        <v>14479159296.895855</v>
      </c>
      <c r="K15" s="301">
        <f t="shared" si="10"/>
        <v>14479159296.895855</v>
      </c>
      <c r="L15" s="301">
        <f t="shared" si="10"/>
        <v>14913534075.802732</v>
      </c>
      <c r="M15" s="301">
        <f>SUM(M16:M17)</f>
        <v>14913534075.802732</v>
      </c>
      <c r="N15" s="301">
        <f>SUM(N16:N17)</f>
        <v>15360940098.076815</v>
      </c>
      <c r="O15" s="301">
        <f>SUM(O16:O17)</f>
        <v>15360940098.076815</v>
      </c>
      <c r="P15" s="247">
        <f t="shared" si="6"/>
        <v>176359090692.0793</v>
      </c>
      <c r="Q15" s="1011"/>
      <c r="AE15" s="1004"/>
      <c r="AF15" s="1015"/>
      <c r="AG15" s="1015"/>
      <c r="AH15" s="1024"/>
      <c r="AI15" s="1024"/>
      <c r="AJ15" s="1024"/>
      <c r="AK15" s="1024"/>
      <c r="AL15" s="1024"/>
      <c r="AM15" s="1024"/>
      <c r="AN15" s="996"/>
      <c r="AO15" s="996"/>
      <c r="AP15" s="996"/>
    </row>
    <row r="16" spans="1:42" ht="30">
      <c r="A16" s="990" t="s">
        <v>145</v>
      </c>
      <c r="B16" s="991" t="s">
        <v>144</v>
      </c>
      <c r="C16" s="492">
        <f>+'INGRESOS PROYECTADOS MARCO FISC'!E15</f>
        <v>9022320000</v>
      </c>
      <c r="D16" s="321">
        <f>+'INGRESOS 2014'!G15</f>
        <v>10051766008</v>
      </c>
      <c r="E16" s="321">
        <f>+'INGRESOS 2014'!H15</f>
        <v>12000000000</v>
      </c>
      <c r="F16" s="321">
        <f>+E16*(1+$AM$12)</f>
        <v>12360000000</v>
      </c>
      <c r="G16" s="321">
        <f>+F16*(1+$AN$12)</f>
        <v>12730800000</v>
      </c>
      <c r="H16" s="321">
        <f>+G16*(1+$AO$12)</f>
        <v>13112724000</v>
      </c>
      <c r="I16" s="321">
        <f>+H16*(1+$AP$12)</f>
        <v>13506105720</v>
      </c>
      <c r="J16" s="321">
        <f>+I16*(1+$AQ$12)</f>
        <v>13911288891.6</v>
      </c>
      <c r="K16" s="321">
        <f aca="true" t="shared" si="11" ref="K16:O17">+I16*(1+$AR$12)</f>
        <v>13911288891.6</v>
      </c>
      <c r="L16" s="321">
        <f t="shared" si="11"/>
        <v>14328627558.348001</v>
      </c>
      <c r="M16" s="321">
        <f t="shared" si="11"/>
        <v>14328627558.348001</v>
      </c>
      <c r="N16" s="321">
        <f t="shared" si="11"/>
        <v>14758486385.098442</v>
      </c>
      <c r="O16" s="321">
        <f t="shared" si="11"/>
        <v>14758486385.098442</v>
      </c>
      <c r="P16" s="321">
        <f t="shared" si="6"/>
        <v>168780521398.09293</v>
      </c>
      <c r="Q16" s="1008"/>
      <c r="R16" s="1011">
        <f>+E15</f>
        <v>12489850000</v>
      </c>
      <c r="S16" s="1008">
        <f>+E15-R16</f>
        <v>0</v>
      </c>
      <c r="AE16" s="1004"/>
      <c r="AF16" s="1015"/>
      <c r="AG16" s="1015"/>
      <c r="AH16" s="1024"/>
      <c r="AI16" s="1024"/>
      <c r="AJ16" s="1024"/>
      <c r="AK16" s="1024"/>
      <c r="AL16" s="1024"/>
      <c r="AM16" s="1024"/>
      <c r="AN16" s="996"/>
      <c r="AO16" s="996"/>
      <c r="AP16" s="996"/>
    </row>
    <row r="17" spans="1:42" ht="30">
      <c r="A17" s="990" t="s">
        <v>143</v>
      </c>
      <c r="B17" s="991" t="s">
        <v>142</v>
      </c>
      <c r="C17" s="492">
        <f>+'INGRESOS PROYECTADOS MARCO FISC'!E16</f>
        <v>1100040000</v>
      </c>
      <c r="D17" s="321">
        <f>+'INGRESOS 2014'!G16</f>
        <v>367387846</v>
      </c>
      <c r="E17" s="321">
        <f>+'INGRESOS 2014'!H16</f>
        <v>489850000</v>
      </c>
      <c r="F17" s="321">
        <f>+E17*(1+$AM$12)</f>
        <v>504545500</v>
      </c>
      <c r="G17" s="321">
        <f>+F17*(1+$AN$12)</f>
        <v>519681865</v>
      </c>
      <c r="H17" s="321">
        <f>+G17*(1+$AO$12)</f>
        <v>535272320.95</v>
      </c>
      <c r="I17" s="321">
        <f>+H17*(1+$AP$12)</f>
        <v>551330490.5785</v>
      </c>
      <c r="J17" s="321">
        <f>+I17*(1+$AQ$12)</f>
        <v>567870405.295855</v>
      </c>
      <c r="K17" s="321">
        <f t="shared" si="11"/>
        <v>567870405.295855</v>
      </c>
      <c r="L17" s="321">
        <f t="shared" si="11"/>
        <v>584906517.4547307</v>
      </c>
      <c r="M17" s="321">
        <f t="shared" si="11"/>
        <v>584906517.4547307</v>
      </c>
      <c r="N17" s="321">
        <f t="shared" si="11"/>
        <v>602453712.9783727</v>
      </c>
      <c r="O17" s="321">
        <f t="shared" si="11"/>
        <v>602453712.9783727</v>
      </c>
      <c r="P17" s="321">
        <f t="shared" si="6"/>
        <v>7578569293.986416</v>
      </c>
      <c r="Q17" s="1008"/>
      <c r="AE17" s="1004"/>
      <c r="AF17" s="1015"/>
      <c r="AG17" s="1015"/>
      <c r="AH17" s="1024"/>
      <c r="AI17" s="1024"/>
      <c r="AJ17" s="1024"/>
      <c r="AK17" s="1024"/>
      <c r="AL17" s="1024"/>
      <c r="AM17" s="1024"/>
      <c r="AN17" s="996"/>
      <c r="AO17" s="996"/>
      <c r="AP17" s="996"/>
    </row>
    <row r="18" spans="1:42" ht="15">
      <c r="A18" s="990" t="s">
        <v>141</v>
      </c>
      <c r="B18" s="270" t="s">
        <v>140</v>
      </c>
      <c r="C18" s="493">
        <f aca="true" t="shared" si="12" ref="C18:L18">SUM(C19:C20)</f>
        <v>542436790</v>
      </c>
      <c r="D18" s="301">
        <f t="shared" si="12"/>
        <v>871175029</v>
      </c>
      <c r="E18" s="301">
        <f t="shared" si="12"/>
        <v>932222469</v>
      </c>
      <c r="F18" s="301">
        <f t="shared" si="12"/>
        <v>960189143.07</v>
      </c>
      <c r="G18" s="301">
        <f t="shared" si="12"/>
        <v>988994817.3621001</v>
      </c>
      <c r="H18" s="301">
        <f t="shared" si="12"/>
        <v>1018664661.8829632</v>
      </c>
      <c r="I18" s="301">
        <f t="shared" si="12"/>
        <v>1049224601.7394521</v>
      </c>
      <c r="J18" s="301">
        <f t="shared" si="12"/>
        <v>1080701339.7916358</v>
      </c>
      <c r="K18" s="301">
        <f t="shared" si="12"/>
        <v>1080701339.7916358</v>
      </c>
      <c r="L18" s="301">
        <f t="shared" si="12"/>
        <v>1113122379.985385</v>
      </c>
      <c r="M18" s="301">
        <f>SUM(M19:M20)</f>
        <v>1113122379.985385</v>
      </c>
      <c r="N18" s="301">
        <f>SUM(N19:N20)</f>
        <v>1146516051.3849466</v>
      </c>
      <c r="O18" s="301">
        <f>SUM(O19:O20)</f>
        <v>1146516051.3849466</v>
      </c>
      <c r="P18" s="247">
        <f t="shared" si="6"/>
        <v>13043587054.378452</v>
      </c>
      <c r="Q18" s="1011"/>
      <c r="AE18" s="1004"/>
      <c r="AF18" s="1015"/>
      <c r="AG18" s="1015"/>
      <c r="AH18" s="1024"/>
      <c r="AI18" s="1024"/>
      <c r="AJ18" s="1024"/>
      <c r="AK18" s="1024"/>
      <c r="AL18" s="1024"/>
      <c r="AM18" s="1024"/>
      <c r="AN18" s="996"/>
      <c r="AO18" s="996"/>
      <c r="AP18" s="996"/>
    </row>
    <row r="19" spans="1:42" ht="15">
      <c r="A19" s="990" t="s">
        <v>139</v>
      </c>
      <c r="B19" s="991" t="s">
        <v>138</v>
      </c>
      <c r="C19" s="492">
        <f>+'INGRESOS PROYECTADOS MARCO FISC'!E18</f>
        <v>528583290</v>
      </c>
      <c r="D19" s="321">
        <f>+'INGRESOS 2014'!G18</f>
        <v>862527949</v>
      </c>
      <c r="E19" s="321">
        <f>+'INGRESOS 2014'!H18</f>
        <v>923222469</v>
      </c>
      <c r="F19" s="321">
        <f aca="true" t="shared" si="13" ref="F19:F25">+E19*(1+$AM$12)</f>
        <v>950919143.07</v>
      </c>
      <c r="G19" s="321">
        <f aca="true" t="shared" si="14" ref="G19:G25">+F19*(1+$AN$12)</f>
        <v>979446717.3621001</v>
      </c>
      <c r="H19" s="321">
        <f aca="true" t="shared" si="15" ref="H19:H25">+G19*(1+$AO$12)</f>
        <v>1008830118.8829632</v>
      </c>
      <c r="I19" s="321">
        <f aca="true" t="shared" si="16" ref="I19:I25">+H19*(1+$AP$12)</f>
        <v>1039095022.4494522</v>
      </c>
      <c r="J19" s="321">
        <f aca="true" t="shared" si="17" ref="J19:J25">+I19*(1+$AQ$12)</f>
        <v>1070267873.1229358</v>
      </c>
      <c r="K19" s="321">
        <f aca="true" t="shared" si="18" ref="K19:O25">+I19*(1+$AR$12)</f>
        <v>1070267873.1229358</v>
      </c>
      <c r="L19" s="321">
        <f t="shared" si="18"/>
        <v>1102375909.316624</v>
      </c>
      <c r="M19" s="321">
        <f t="shared" si="18"/>
        <v>1102375909.316624</v>
      </c>
      <c r="N19" s="321">
        <f t="shared" si="18"/>
        <v>1135447186.5961227</v>
      </c>
      <c r="O19" s="321">
        <f t="shared" si="18"/>
        <v>1135447186.5961227</v>
      </c>
      <c r="P19" s="321">
        <f t="shared" si="6"/>
        <v>12908806647.83588</v>
      </c>
      <c r="Q19" s="1008"/>
      <c r="R19" s="1011">
        <f>+E18</f>
        <v>932222469</v>
      </c>
      <c r="S19" s="1008">
        <f>+E18-R19</f>
        <v>0</v>
      </c>
      <c r="AE19" s="1003" t="s">
        <v>276</v>
      </c>
      <c r="AF19" s="1027">
        <v>0.045</v>
      </c>
      <c r="AG19" s="1027">
        <v>0.02</v>
      </c>
      <c r="AH19" s="1024">
        <v>0.02</v>
      </c>
      <c r="AI19" s="1025">
        <v>0.025</v>
      </c>
      <c r="AJ19" s="1024">
        <v>0.03</v>
      </c>
      <c r="AK19" s="1024">
        <v>0.03</v>
      </c>
      <c r="AL19" s="1024">
        <v>0.03</v>
      </c>
      <c r="AM19" s="1024">
        <v>0.03</v>
      </c>
      <c r="AN19" s="996">
        <v>0.03</v>
      </c>
      <c r="AO19" s="996">
        <v>0.03</v>
      </c>
      <c r="AP19" s="996">
        <v>0.03</v>
      </c>
    </row>
    <row r="20" spans="1:42" ht="15">
      <c r="A20" s="990" t="s">
        <v>137</v>
      </c>
      <c r="B20" s="991" t="s">
        <v>136</v>
      </c>
      <c r="C20" s="492">
        <f>+'INGRESOS PROYECTADOS MARCO FISC'!E19</f>
        <v>13853500</v>
      </c>
      <c r="D20" s="321">
        <f>+'INGRESOS 2014'!G19</f>
        <v>8647080</v>
      </c>
      <c r="E20" s="321">
        <f>+'INGRESOS 2014'!H19</f>
        <v>9000000</v>
      </c>
      <c r="F20" s="321">
        <f t="shared" si="13"/>
        <v>9270000</v>
      </c>
      <c r="G20" s="321">
        <f t="shared" si="14"/>
        <v>9548100</v>
      </c>
      <c r="H20" s="321">
        <f t="shared" si="15"/>
        <v>9834543</v>
      </c>
      <c r="I20" s="321">
        <f t="shared" si="16"/>
        <v>10129579.290000001</v>
      </c>
      <c r="J20" s="321">
        <f t="shared" si="17"/>
        <v>10433466.668700002</v>
      </c>
      <c r="K20" s="321">
        <f t="shared" si="18"/>
        <v>10433466.668700002</v>
      </c>
      <c r="L20" s="321">
        <f t="shared" si="18"/>
        <v>10746470.668761002</v>
      </c>
      <c r="M20" s="321">
        <f t="shared" si="18"/>
        <v>10746470.668761002</v>
      </c>
      <c r="N20" s="321">
        <f t="shared" si="18"/>
        <v>11068864.788823832</v>
      </c>
      <c r="O20" s="321">
        <f t="shared" si="18"/>
        <v>11068864.788823832</v>
      </c>
      <c r="P20" s="321">
        <f t="shared" si="6"/>
        <v>134780406.54256967</v>
      </c>
      <c r="Q20" s="1008"/>
      <c r="AE20" s="1004"/>
      <c r="AF20" s="1027"/>
      <c r="AG20" s="1027"/>
      <c r="AH20" s="1024"/>
      <c r="AI20" s="1024"/>
      <c r="AJ20" s="1024"/>
      <c r="AK20" s="1024"/>
      <c r="AL20" s="1024"/>
      <c r="AM20" s="1024"/>
      <c r="AN20" s="996"/>
      <c r="AO20" s="996"/>
      <c r="AP20" s="996"/>
    </row>
    <row r="21" spans="1:42" ht="30">
      <c r="A21" s="990" t="s">
        <v>135</v>
      </c>
      <c r="B21" s="991" t="s">
        <v>134</v>
      </c>
      <c r="C21" s="492">
        <f>+'INGRESOS PROYECTADOS MARCO FISC'!E20</f>
        <v>500000</v>
      </c>
      <c r="D21" s="321">
        <f>+'INGRESOS 2014'!G20</f>
        <v>850000</v>
      </c>
      <c r="E21" s="321">
        <f>+'INGRESOS 2014'!H20</f>
        <v>1000000</v>
      </c>
      <c r="F21" s="321">
        <f t="shared" si="13"/>
        <v>1030000</v>
      </c>
      <c r="G21" s="321">
        <f t="shared" si="14"/>
        <v>1060900</v>
      </c>
      <c r="H21" s="321">
        <f t="shared" si="15"/>
        <v>1092727</v>
      </c>
      <c r="I21" s="321">
        <f t="shared" si="16"/>
        <v>1125508.81</v>
      </c>
      <c r="J21" s="321">
        <f t="shared" si="17"/>
        <v>1159274.0743</v>
      </c>
      <c r="K21" s="321">
        <f t="shared" si="18"/>
        <v>1159274.0743</v>
      </c>
      <c r="L21" s="321">
        <f t="shared" si="18"/>
        <v>1194052.296529</v>
      </c>
      <c r="M21" s="321">
        <f t="shared" si="18"/>
        <v>1194052.296529</v>
      </c>
      <c r="N21" s="321">
        <f t="shared" si="18"/>
        <v>1229873.86542487</v>
      </c>
      <c r="O21" s="321">
        <f t="shared" si="18"/>
        <v>1229873.86542487</v>
      </c>
      <c r="P21" s="321">
        <f t="shared" si="6"/>
        <v>13825536.282507742</v>
      </c>
      <c r="Q21" s="1008"/>
      <c r="T21" s="1006"/>
      <c r="U21" s="1006"/>
      <c r="V21" s="1006"/>
      <c r="AE21" s="1004"/>
      <c r="AF21" s="1027">
        <v>0</v>
      </c>
      <c r="AG21" s="1027">
        <v>0</v>
      </c>
      <c r="AH21" s="1024">
        <v>0</v>
      </c>
      <c r="AI21" s="1024">
        <v>0</v>
      </c>
      <c r="AJ21" s="1024">
        <v>0</v>
      </c>
      <c r="AK21" s="1024">
        <v>0</v>
      </c>
      <c r="AL21" s="1024">
        <v>0</v>
      </c>
      <c r="AM21" s="1024">
        <v>0</v>
      </c>
      <c r="AN21" s="996">
        <v>0</v>
      </c>
      <c r="AO21" s="996">
        <v>0</v>
      </c>
      <c r="AP21" s="996">
        <v>0</v>
      </c>
    </row>
    <row r="22" spans="1:42" ht="30">
      <c r="A22" s="990" t="s">
        <v>133</v>
      </c>
      <c r="B22" s="991" t="s">
        <v>132</v>
      </c>
      <c r="C22" s="492">
        <f>+'INGRESOS PROYECTADOS MARCO FISC'!E21</f>
        <v>530450</v>
      </c>
      <c r="D22" s="321">
        <f>+'INGRESOS 2014'!G21</f>
        <v>0</v>
      </c>
      <c r="E22" s="321">
        <f>+'INGRESOS 2014'!H21</f>
        <v>500000</v>
      </c>
      <c r="F22" s="321">
        <f t="shared" si="13"/>
        <v>515000</v>
      </c>
      <c r="G22" s="321">
        <f t="shared" si="14"/>
        <v>530450</v>
      </c>
      <c r="H22" s="321">
        <f t="shared" si="15"/>
        <v>546363.5</v>
      </c>
      <c r="I22" s="321">
        <f t="shared" si="16"/>
        <v>562754.405</v>
      </c>
      <c r="J22" s="321">
        <f t="shared" si="17"/>
        <v>579637.03715</v>
      </c>
      <c r="K22" s="321">
        <f t="shared" si="18"/>
        <v>579637.03715</v>
      </c>
      <c r="L22" s="321">
        <f t="shared" si="18"/>
        <v>597026.1482645</v>
      </c>
      <c r="M22" s="321">
        <f t="shared" si="18"/>
        <v>597026.1482645</v>
      </c>
      <c r="N22" s="321">
        <f t="shared" si="18"/>
        <v>614936.932712435</v>
      </c>
      <c r="O22" s="321">
        <f t="shared" si="18"/>
        <v>614936.932712435</v>
      </c>
      <c r="P22" s="321">
        <f t="shared" si="6"/>
        <v>6768218.141253871</v>
      </c>
      <c r="Q22" s="1008"/>
      <c r="R22" s="1008">
        <f>+E21</f>
        <v>1000000</v>
      </c>
      <c r="S22" s="1008">
        <f>+E21-R22</f>
        <v>0</v>
      </c>
      <c r="T22" s="1006"/>
      <c r="U22" s="1006"/>
      <c r="V22" s="1006"/>
      <c r="AE22" s="1004"/>
      <c r="AF22" s="1027">
        <v>0</v>
      </c>
      <c r="AG22" s="1027">
        <v>0</v>
      </c>
      <c r="AH22" s="1024">
        <v>0</v>
      </c>
      <c r="AI22" s="1024">
        <v>0</v>
      </c>
      <c r="AJ22" s="1024">
        <v>0</v>
      </c>
      <c r="AK22" s="1024">
        <v>0</v>
      </c>
      <c r="AL22" s="1024">
        <v>0</v>
      </c>
      <c r="AM22" s="1024">
        <v>0</v>
      </c>
      <c r="AN22" s="996">
        <v>0</v>
      </c>
      <c r="AO22" s="996">
        <v>0</v>
      </c>
      <c r="AP22" s="996">
        <v>0</v>
      </c>
    </row>
    <row r="23" spans="1:42" ht="12.75" customHeight="1">
      <c r="A23" s="990" t="s">
        <v>125</v>
      </c>
      <c r="B23" s="991" t="s">
        <v>124</v>
      </c>
      <c r="C23" s="492">
        <f>+'INGRESOS PROYECTADOS MARCO FISC'!E25</f>
        <v>2591350</v>
      </c>
      <c r="D23" s="321">
        <f>+'INGRESOS 2014'!G25</f>
        <v>17019914</v>
      </c>
      <c r="E23" s="321">
        <f>+'INGRESOS 2014'!H25</f>
        <v>7500000</v>
      </c>
      <c r="F23" s="321">
        <f t="shared" si="13"/>
        <v>7725000</v>
      </c>
      <c r="G23" s="321">
        <f t="shared" si="14"/>
        <v>7956750</v>
      </c>
      <c r="H23" s="321">
        <f t="shared" si="15"/>
        <v>8195452.5</v>
      </c>
      <c r="I23" s="321">
        <f t="shared" si="16"/>
        <v>8441316.075000001</v>
      </c>
      <c r="J23" s="321">
        <f t="shared" si="17"/>
        <v>8694555.55725</v>
      </c>
      <c r="K23" s="321">
        <f t="shared" si="18"/>
        <v>8694555.55725</v>
      </c>
      <c r="L23" s="321">
        <f t="shared" si="18"/>
        <v>8955392.2239675</v>
      </c>
      <c r="M23" s="321">
        <f t="shared" si="18"/>
        <v>8955392.2239675</v>
      </c>
      <c r="N23" s="321">
        <f t="shared" si="18"/>
        <v>9224053.990686525</v>
      </c>
      <c r="O23" s="321">
        <f t="shared" si="18"/>
        <v>9224053.990686525</v>
      </c>
      <c r="P23" s="321">
        <f t="shared" si="6"/>
        <v>113177786.11880803</v>
      </c>
      <c r="Q23" s="1008"/>
      <c r="S23" s="1008" t="e">
        <f>+#REF!-R23</f>
        <v>#REF!</v>
      </c>
      <c r="T23" s="1006"/>
      <c r="U23" s="1006"/>
      <c r="V23" s="1006"/>
      <c r="AE23" s="1004"/>
      <c r="AF23" s="1027">
        <v>0</v>
      </c>
      <c r="AG23" s="1027">
        <v>0</v>
      </c>
      <c r="AH23" s="1024">
        <v>0</v>
      </c>
      <c r="AI23" s="1024">
        <v>0</v>
      </c>
      <c r="AJ23" s="1024">
        <v>0</v>
      </c>
      <c r="AK23" s="1024">
        <v>0</v>
      </c>
      <c r="AL23" s="1024">
        <v>0</v>
      </c>
      <c r="AM23" s="1024">
        <v>0</v>
      </c>
      <c r="AN23" s="996">
        <v>0</v>
      </c>
      <c r="AO23" s="996">
        <v>0</v>
      </c>
      <c r="AP23" s="996">
        <v>0</v>
      </c>
    </row>
    <row r="24" spans="1:42" ht="15">
      <c r="A24" s="990" t="s">
        <v>123</v>
      </c>
      <c r="B24" s="991" t="s">
        <v>122</v>
      </c>
      <c r="C24" s="492">
        <f>+'INGRESOS PROYECTADOS MARCO FISC'!E26</f>
        <v>362180</v>
      </c>
      <c r="D24" s="321">
        <f>+'INGRESOS 2014'!G26</f>
        <v>0</v>
      </c>
      <c r="E24" s="321">
        <f>+'INGRESOS 2014'!H26</f>
        <v>700000</v>
      </c>
      <c r="F24" s="321">
        <f t="shared" si="13"/>
        <v>721000</v>
      </c>
      <c r="G24" s="321">
        <f t="shared" si="14"/>
        <v>742630</v>
      </c>
      <c r="H24" s="321">
        <f t="shared" si="15"/>
        <v>764908.9</v>
      </c>
      <c r="I24" s="321">
        <f t="shared" si="16"/>
        <v>787856.167</v>
      </c>
      <c r="J24" s="321">
        <f t="shared" si="17"/>
        <v>811491.85201</v>
      </c>
      <c r="K24" s="321">
        <f t="shared" si="18"/>
        <v>811491.85201</v>
      </c>
      <c r="L24" s="321">
        <f t="shared" si="18"/>
        <v>835836.6075703001</v>
      </c>
      <c r="M24" s="321">
        <f t="shared" si="18"/>
        <v>835836.6075703001</v>
      </c>
      <c r="N24" s="321">
        <f t="shared" si="18"/>
        <v>860911.7057974092</v>
      </c>
      <c r="O24" s="321">
        <f t="shared" si="18"/>
        <v>860911.7057974092</v>
      </c>
      <c r="P24" s="321">
        <f t="shared" si="6"/>
        <v>9095055.39775542</v>
      </c>
      <c r="Q24" s="1008"/>
      <c r="R24" s="1008">
        <f>+E23</f>
        <v>7500000</v>
      </c>
      <c r="S24" s="1008">
        <f>+E23-R24</f>
        <v>0</v>
      </c>
      <c r="T24" s="1006"/>
      <c r="U24" s="1006"/>
      <c r="V24" s="1006"/>
      <c r="AE24" s="1004"/>
      <c r="AF24" s="1027">
        <v>0</v>
      </c>
      <c r="AG24" s="1027">
        <v>0</v>
      </c>
      <c r="AH24" s="1024">
        <v>0</v>
      </c>
      <c r="AI24" s="1024">
        <v>0</v>
      </c>
      <c r="AJ24" s="1024">
        <v>0</v>
      </c>
      <c r="AK24" s="1024">
        <v>0</v>
      </c>
      <c r="AL24" s="1024">
        <v>0</v>
      </c>
      <c r="AM24" s="1024">
        <v>0</v>
      </c>
      <c r="AN24" s="996">
        <v>0</v>
      </c>
      <c r="AO24" s="996">
        <v>0</v>
      </c>
      <c r="AP24" s="996">
        <v>0</v>
      </c>
    </row>
    <row r="25" spans="1:42" ht="30">
      <c r="A25" s="990" t="s">
        <v>121</v>
      </c>
      <c r="B25" s="991" t="s">
        <v>120</v>
      </c>
      <c r="C25" s="492">
        <f>+'INGRESOS PROYECTADOS MARCO FISC'!E27</f>
        <v>980450</v>
      </c>
      <c r="D25" s="321">
        <f>+'INGRESOS 2014'!G27</f>
        <v>805000</v>
      </c>
      <c r="E25" s="321">
        <f>+'INGRESOS 2014'!H27</f>
        <v>1000000</v>
      </c>
      <c r="F25" s="321">
        <f t="shared" si="13"/>
        <v>1030000</v>
      </c>
      <c r="G25" s="321">
        <f t="shared" si="14"/>
        <v>1060900</v>
      </c>
      <c r="H25" s="321">
        <f t="shared" si="15"/>
        <v>1092727</v>
      </c>
      <c r="I25" s="321">
        <f t="shared" si="16"/>
        <v>1125508.81</v>
      </c>
      <c r="J25" s="321">
        <f t="shared" si="17"/>
        <v>1159274.0743</v>
      </c>
      <c r="K25" s="321">
        <f t="shared" si="18"/>
        <v>1159274.0743</v>
      </c>
      <c r="L25" s="321">
        <f t="shared" si="18"/>
        <v>1194052.296529</v>
      </c>
      <c r="M25" s="321">
        <f t="shared" si="18"/>
        <v>1194052.296529</v>
      </c>
      <c r="N25" s="321">
        <f t="shared" si="18"/>
        <v>1229873.86542487</v>
      </c>
      <c r="O25" s="321">
        <f t="shared" si="18"/>
        <v>1229873.86542487</v>
      </c>
      <c r="P25" s="321">
        <f t="shared" si="6"/>
        <v>14260986.282507742</v>
      </c>
      <c r="Q25" s="1008"/>
      <c r="R25" s="1008">
        <f>+E24</f>
        <v>700000</v>
      </c>
      <c r="S25" s="1008">
        <f>+E24-R25</f>
        <v>0</v>
      </c>
      <c r="T25" s="1006"/>
      <c r="U25" s="1006"/>
      <c r="V25" s="1006"/>
      <c r="AE25" s="1004"/>
      <c r="AF25" s="1027">
        <v>0</v>
      </c>
      <c r="AG25" s="1027">
        <v>0</v>
      </c>
      <c r="AH25" s="1024">
        <v>0</v>
      </c>
      <c r="AI25" s="1024">
        <v>0</v>
      </c>
      <c r="AJ25" s="1024">
        <v>0</v>
      </c>
      <c r="AK25" s="1024">
        <v>0</v>
      </c>
      <c r="AL25" s="1024">
        <v>0</v>
      </c>
      <c r="AM25" s="1024">
        <v>0</v>
      </c>
      <c r="AN25" s="996">
        <v>0</v>
      </c>
      <c r="AO25" s="996">
        <v>0</v>
      </c>
      <c r="AP25" s="996">
        <v>0</v>
      </c>
    </row>
    <row r="26" spans="1:42" ht="30">
      <c r="A26" s="262" t="s">
        <v>111</v>
      </c>
      <c r="B26" s="270" t="s">
        <v>110</v>
      </c>
      <c r="C26" s="493">
        <f aca="true" t="shared" si="19" ref="C26:O26">SUM(C27)</f>
        <v>1060900</v>
      </c>
      <c r="D26" s="301">
        <f t="shared" si="19"/>
        <v>2758343</v>
      </c>
      <c r="E26" s="301">
        <f t="shared" si="19"/>
        <v>3000000</v>
      </c>
      <c r="F26" s="301">
        <f t="shared" si="19"/>
        <v>3090000</v>
      </c>
      <c r="G26" s="301">
        <f t="shared" si="19"/>
        <v>3182700</v>
      </c>
      <c r="H26" s="301">
        <f t="shared" si="19"/>
        <v>3278181</v>
      </c>
      <c r="I26" s="301">
        <f t="shared" si="19"/>
        <v>3376526.43</v>
      </c>
      <c r="J26" s="301">
        <f t="shared" si="19"/>
        <v>3477822.2229000004</v>
      </c>
      <c r="K26" s="301">
        <f t="shared" si="19"/>
        <v>3477822.2229000004</v>
      </c>
      <c r="L26" s="301">
        <f t="shared" si="19"/>
        <v>3582156.8895870005</v>
      </c>
      <c r="M26" s="301">
        <f t="shared" si="19"/>
        <v>3582156.8895870005</v>
      </c>
      <c r="N26" s="301">
        <f t="shared" si="19"/>
        <v>3689621.5962746106</v>
      </c>
      <c r="O26" s="301">
        <f t="shared" si="19"/>
        <v>3689621.5962746106</v>
      </c>
      <c r="P26" s="247">
        <f t="shared" si="6"/>
        <v>41245851.84752323</v>
      </c>
      <c r="Q26" s="1011"/>
      <c r="S26" s="1008" t="e">
        <f>+#REF!-R26</f>
        <v>#REF!</v>
      </c>
      <c r="T26" s="1006"/>
      <c r="U26" s="1006"/>
      <c r="V26" s="1006"/>
      <c r="AE26" s="1004"/>
      <c r="AF26" s="1027"/>
      <c r="AG26" s="1027"/>
      <c r="AH26" s="1024"/>
      <c r="AI26" s="1024"/>
      <c r="AJ26" s="1024"/>
      <c r="AK26" s="1024"/>
      <c r="AL26" s="1024"/>
      <c r="AM26" s="1024"/>
      <c r="AN26" s="996"/>
      <c r="AO26" s="996"/>
      <c r="AP26" s="996"/>
    </row>
    <row r="27" spans="1:42" ht="15">
      <c r="A27" s="990" t="s">
        <v>109</v>
      </c>
      <c r="B27" s="991" t="s">
        <v>108</v>
      </c>
      <c r="C27" s="492">
        <f>+'INGRESOS PROYECTADOS MARCO FISC'!E32</f>
        <v>1060900</v>
      </c>
      <c r="D27" s="321">
        <f>+'INGRESOS 2014'!G33</f>
        <v>2758343</v>
      </c>
      <c r="E27" s="321">
        <f>+'INGRESOS 2014'!H33</f>
        <v>3000000</v>
      </c>
      <c r="F27" s="321">
        <f>+E27*(1+$AM$12)</f>
        <v>3090000</v>
      </c>
      <c r="G27" s="321">
        <f>+F27*(1+$AN$12)</f>
        <v>3182700</v>
      </c>
      <c r="H27" s="321">
        <f>+G27*(1+$AO$12)</f>
        <v>3278181</v>
      </c>
      <c r="I27" s="321">
        <f>+H27*(1+$AP$12)</f>
        <v>3376526.43</v>
      </c>
      <c r="J27" s="321">
        <f>+I27*(1+$AQ$12)</f>
        <v>3477822.2229000004</v>
      </c>
      <c r="K27" s="321">
        <f>+I27*(1+$AR$12)</f>
        <v>3477822.2229000004</v>
      </c>
      <c r="L27" s="321">
        <f>+J27*(1+$AR$12)</f>
        <v>3582156.8895870005</v>
      </c>
      <c r="M27" s="321">
        <f>+K27*(1+$AR$12)</f>
        <v>3582156.8895870005</v>
      </c>
      <c r="N27" s="321">
        <f>+L27*(1+$AR$12)</f>
        <v>3689621.5962746106</v>
      </c>
      <c r="O27" s="321">
        <f>+M27*(1+$AR$12)</f>
        <v>3689621.5962746106</v>
      </c>
      <c r="P27" s="321">
        <f t="shared" si="6"/>
        <v>41245851.84752323</v>
      </c>
      <c r="Q27" s="1008"/>
      <c r="R27" s="1013">
        <f>+E26</f>
        <v>3000000</v>
      </c>
      <c r="S27" s="1008">
        <f>+E26-R27</f>
        <v>0</v>
      </c>
      <c r="T27" s="1006"/>
      <c r="U27" s="1006"/>
      <c r="V27" s="1006"/>
      <c r="AE27" s="1004"/>
      <c r="AF27" s="1027"/>
      <c r="AG27" s="1027"/>
      <c r="AH27" s="1024"/>
      <c r="AI27" s="1024"/>
      <c r="AJ27" s="1024"/>
      <c r="AK27" s="1024"/>
      <c r="AL27" s="1024"/>
      <c r="AM27" s="1024"/>
      <c r="AN27" s="996"/>
      <c r="AO27" s="996"/>
      <c r="AP27" s="996"/>
    </row>
    <row r="28" spans="1:42" ht="15">
      <c r="A28" s="262" t="s">
        <v>107</v>
      </c>
      <c r="B28" s="270" t="s">
        <v>106</v>
      </c>
      <c r="C28" s="494">
        <f aca="true" t="shared" si="20" ref="C28:O28">SUM(C29:C38)+C39+C45+C48</f>
        <v>257832800</v>
      </c>
      <c r="D28" s="322">
        <f t="shared" si="20"/>
        <v>141211777</v>
      </c>
      <c r="E28" s="322">
        <f t="shared" si="20"/>
        <v>179281000</v>
      </c>
      <c r="F28" s="322">
        <f t="shared" si="20"/>
        <v>184659430</v>
      </c>
      <c r="G28" s="322">
        <f t="shared" si="20"/>
        <v>190199212.9</v>
      </c>
      <c r="H28" s="322">
        <f t="shared" si="20"/>
        <v>195905189.28700003</v>
      </c>
      <c r="I28" s="322">
        <f t="shared" si="20"/>
        <v>201782344.96561003</v>
      </c>
      <c r="J28" s="322">
        <f t="shared" si="20"/>
        <v>207835815.31457826</v>
      </c>
      <c r="K28" s="322">
        <f t="shared" si="20"/>
        <v>207835815.31457826</v>
      </c>
      <c r="L28" s="322">
        <f t="shared" si="20"/>
        <v>214070889.77401564</v>
      </c>
      <c r="M28" s="322">
        <f t="shared" si="20"/>
        <v>214070889.77401564</v>
      </c>
      <c r="N28" s="322">
        <f t="shared" si="20"/>
        <v>220493016.4672361</v>
      </c>
      <c r="O28" s="322">
        <f t="shared" si="20"/>
        <v>220493016.4672361</v>
      </c>
      <c r="P28" s="247">
        <f t="shared" si="6"/>
        <v>2635671197.26427</v>
      </c>
      <c r="Q28" s="1011"/>
      <c r="R28" s="1013"/>
      <c r="T28" s="1006"/>
      <c r="U28" s="1006"/>
      <c r="V28" s="1006"/>
      <c r="AE28" s="1004"/>
      <c r="AF28" s="1027"/>
      <c r="AG28" s="1027"/>
      <c r="AH28" s="1024"/>
      <c r="AI28" s="1024"/>
      <c r="AJ28" s="1024"/>
      <c r="AK28" s="1024"/>
      <c r="AL28" s="1024"/>
      <c r="AM28" s="1024"/>
      <c r="AN28" s="996"/>
      <c r="AO28" s="996"/>
      <c r="AP28" s="996"/>
    </row>
    <row r="29" spans="1:42" ht="15">
      <c r="A29" s="990" t="s">
        <v>105</v>
      </c>
      <c r="B29" s="991" t="s">
        <v>104</v>
      </c>
      <c r="C29" s="492">
        <f>+'INGRESOS PROYECTADOS MARCO FISC'!E35</f>
        <v>31827000</v>
      </c>
      <c r="D29" s="321">
        <f>+'INGRESOS 2014'!G35</f>
        <v>31011796</v>
      </c>
      <c r="E29" s="321">
        <f>+'INGRESOS 2014'!H35</f>
        <v>41000000</v>
      </c>
      <c r="F29" s="321">
        <f aca="true" t="shared" si="21" ref="F29:F38">+E29*(1+$AM$12)</f>
        <v>42230000</v>
      </c>
      <c r="G29" s="321">
        <f aca="true" t="shared" si="22" ref="G29:G38">+F29*(1+$AN$12)</f>
        <v>43496900</v>
      </c>
      <c r="H29" s="321">
        <f aca="true" t="shared" si="23" ref="H29:H38">+G29*(1+$AO$12)</f>
        <v>44801807</v>
      </c>
      <c r="I29" s="321">
        <f aca="true" t="shared" si="24" ref="I29:I38">+H29*(1+$AP$12)</f>
        <v>46145861.21</v>
      </c>
      <c r="J29" s="321">
        <f aca="true" t="shared" si="25" ref="J29:J38">+I29*(1+$AQ$12)</f>
        <v>47530237.0463</v>
      </c>
      <c r="K29" s="321">
        <f aca="true" t="shared" si="26" ref="K29:K38">+I29*(1+$AR$12)</f>
        <v>47530237.0463</v>
      </c>
      <c r="L29" s="321">
        <f aca="true" t="shared" si="27" ref="L29:L38">+J29*(1+$AR$12)</f>
        <v>48956144.157689005</v>
      </c>
      <c r="M29" s="321">
        <f aca="true" t="shared" si="28" ref="M29:M38">+K29*(1+$AR$12)</f>
        <v>48956144.157689005</v>
      </c>
      <c r="N29" s="321">
        <f aca="true" t="shared" si="29" ref="N29:N38">+L29*(1+$AR$12)</f>
        <v>50424828.48241968</v>
      </c>
      <c r="O29" s="321">
        <f aca="true" t="shared" si="30" ref="O29:O38">+M29*(1+$AR$12)</f>
        <v>50424828.48241968</v>
      </c>
      <c r="P29" s="321">
        <f t="shared" si="6"/>
        <v>574335783.5828173</v>
      </c>
      <c r="Q29" s="1008"/>
      <c r="R29" s="1013"/>
      <c r="T29" s="1006"/>
      <c r="U29" s="1006"/>
      <c r="V29" s="1006"/>
      <c r="AE29" s="1004"/>
      <c r="AF29" s="1027"/>
      <c r="AG29" s="1027"/>
      <c r="AH29" s="1024"/>
      <c r="AI29" s="1024"/>
      <c r="AJ29" s="1024"/>
      <c r="AK29" s="1024"/>
      <c r="AL29" s="1024"/>
      <c r="AM29" s="1024"/>
      <c r="AN29" s="996"/>
      <c r="AO29" s="996"/>
      <c r="AP29" s="996"/>
    </row>
    <row r="30" spans="1:42" ht="15">
      <c r="A30" s="990" t="s">
        <v>103</v>
      </c>
      <c r="B30" s="991" t="s">
        <v>102</v>
      </c>
      <c r="C30" s="492">
        <f>+'INGRESOS PROYECTADOS MARCO FISC'!E36</f>
        <v>31827000</v>
      </c>
      <c r="D30" s="321">
        <f>+'INGRESOS 2014'!G36</f>
        <v>40788436</v>
      </c>
      <c r="E30" s="321">
        <f>+'INGRESOS 2014'!H36</f>
        <v>54384000</v>
      </c>
      <c r="F30" s="321">
        <f t="shared" si="21"/>
        <v>56015520</v>
      </c>
      <c r="G30" s="321">
        <f t="shared" si="22"/>
        <v>57695985.6</v>
      </c>
      <c r="H30" s="321">
        <f t="shared" si="23"/>
        <v>59426865.168000005</v>
      </c>
      <c r="I30" s="321">
        <f t="shared" si="24"/>
        <v>61209671.123040006</v>
      </c>
      <c r="J30" s="321">
        <f t="shared" si="25"/>
        <v>63045961.256731205</v>
      </c>
      <c r="K30" s="321">
        <f t="shared" si="26"/>
        <v>63045961.256731205</v>
      </c>
      <c r="L30" s="321">
        <f t="shared" si="27"/>
        <v>64937340.094433144</v>
      </c>
      <c r="M30" s="321">
        <f t="shared" si="28"/>
        <v>64937340.094433144</v>
      </c>
      <c r="N30" s="321">
        <f t="shared" si="29"/>
        <v>66885460.29726614</v>
      </c>
      <c r="O30" s="321">
        <f t="shared" si="30"/>
        <v>66885460.29726614</v>
      </c>
      <c r="P30" s="321">
        <f t="shared" si="6"/>
        <v>751085001.187901</v>
      </c>
      <c r="Q30" s="1008"/>
      <c r="R30" s="1013">
        <f>+E29</f>
        <v>41000000</v>
      </c>
      <c r="S30" s="1008">
        <f>+E29-R30</f>
        <v>0</v>
      </c>
      <c r="T30" s="1006"/>
      <c r="U30" s="1006"/>
      <c r="V30" s="1006"/>
      <c r="AE30" s="1004"/>
      <c r="AF30" s="1027">
        <v>0.025</v>
      </c>
      <c r="AG30" s="1027">
        <v>0.02</v>
      </c>
      <c r="AH30" s="1027">
        <v>0.02</v>
      </c>
      <c r="AI30" s="1027">
        <v>0.02</v>
      </c>
      <c r="AJ30" s="1027">
        <v>0.02</v>
      </c>
      <c r="AK30" s="1027">
        <v>0.02</v>
      </c>
      <c r="AL30" s="1027">
        <v>0.02</v>
      </c>
      <c r="AM30" s="1027">
        <v>0.02</v>
      </c>
      <c r="AN30" s="997">
        <v>0.02</v>
      </c>
      <c r="AO30" s="997">
        <v>0.02</v>
      </c>
      <c r="AP30" s="997">
        <v>0.02</v>
      </c>
    </row>
    <row r="31" spans="1:42" ht="15">
      <c r="A31" s="990" t="s">
        <v>101</v>
      </c>
      <c r="B31" s="991" t="s">
        <v>100</v>
      </c>
      <c r="C31" s="492">
        <f>+'INGRESOS PROYECTADOS MARCO FISC'!E37</f>
        <v>5482700</v>
      </c>
      <c r="D31" s="321">
        <f>+'INGRESOS 2014'!G37</f>
        <v>14701451</v>
      </c>
      <c r="E31" s="321">
        <f>+'INGRESOS 2014'!H37</f>
        <v>15000000</v>
      </c>
      <c r="F31" s="321">
        <f t="shared" si="21"/>
        <v>15450000</v>
      </c>
      <c r="G31" s="321">
        <f t="shared" si="22"/>
        <v>15913500</v>
      </c>
      <c r="H31" s="321">
        <f t="shared" si="23"/>
        <v>16390905</v>
      </c>
      <c r="I31" s="321">
        <f t="shared" si="24"/>
        <v>16882632.150000002</v>
      </c>
      <c r="J31" s="321">
        <f t="shared" si="25"/>
        <v>17389111.1145</v>
      </c>
      <c r="K31" s="321">
        <f t="shared" si="26"/>
        <v>17389111.1145</v>
      </c>
      <c r="L31" s="321">
        <f t="shared" si="27"/>
        <v>17910784.447935</v>
      </c>
      <c r="M31" s="321">
        <f t="shared" si="28"/>
        <v>17910784.447935</v>
      </c>
      <c r="N31" s="321">
        <f t="shared" si="29"/>
        <v>18448107.98137305</v>
      </c>
      <c r="O31" s="321">
        <f t="shared" si="30"/>
        <v>18448107.98137305</v>
      </c>
      <c r="P31" s="321">
        <f t="shared" si="6"/>
        <v>207317195.23761606</v>
      </c>
      <c r="Q31" s="1008"/>
      <c r="R31" s="1013">
        <f>+E30</f>
        <v>54384000</v>
      </c>
      <c r="S31" s="1008">
        <f>+E30-R31</f>
        <v>0</v>
      </c>
      <c r="T31" s="1006"/>
      <c r="U31" s="1006"/>
      <c r="V31" s="1006"/>
      <c r="AE31" s="1004"/>
      <c r="AF31" s="1027">
        <v>0.025</v>
      </c>
      <c r="AG31" s="1027">
        <v>0.02</v>
      </c>
      <c r="AH31" s="1024">
        <v>0.01</v>
      </c>
      <c r="AI31" s="1024">
        <v>0.01</v>
      </c>
      <c r="AJ31" s="1024">
        <v>0.01</v>
      </c>
      <c r="AK31" s="1024">
        <v>0.01</v>
      </c>
      <c r="AL31" s="1024">
        <v>0.01</v>
      </c>
      <c r="AM31" s="1024">
        <v>0.01</v>
      </c>
      <c r="AN31" s="996">
        <v>0.01</v>
      </c>
      <c r="AO31" s="996">
        <v>0.01</v>
      </c>
      <c r="AP31" s="996">
        <v>0.01</v>
      </c>
    </row>
    <row r="32" spans="1:42" ht="15">
      <c r="A32" s="990" t="s">
        <v>99</v>
      </c>
      <c r="B32" s="991" t="s">
        <v>98</v>
      </c>
      <c r="C32" s="492">
        <f>+'INGRESOS PROYECTADOS MARCO FISC'!E38</f>
        <v>230450</v>
      </c>
      <c r="D32" s="321">
        <f>+'INGRESOS 2014'!G38</f>
        <v>0</v>
      </c>
      <c r="E32" s="321">
        <f>+'INGRESOS 2014'!H38</f>
        <v>500000</v>
      </c>
      <c r="F32" s="321">
        <f t="shared" si="21"/>
        <v>515000</v>
      </c>
      <c r="G32" s="321">
        <f t="shared" si="22"/>
        <v>530450</v>
      </c>
      <c r="H32" s="321">
        <f t="shared" si="23"/>
        <v>546363.5</v>
      </c>
      <c r="I32" s="321">
        <f t="shared" si="24"/>
        <v>562754.405</v>
      </c>
      <c r="J32" s="321">
        <f t="shared" si="25"/>
        <v>579637.03715</v>
      </c>
      <c r="K32" s="321">
        <f t="shared" si="26"/>
        <v>579637.03715</v>
      </c>
      <c r="L32" s="321">
        <f t="shared" si="27"/>
        <v>597026.1482645</v>
      </c>
      <c r="M32" s="321">
        <f t="shared" si="28"/>
        <v>597026.1482645</v>
      </c>
      <c r="N32" s="321">
        <f t="shared" si="29"/>
        <v>614936.932712435</v>
      </c>
      <c r="O32" s="321">
        <f t="shared" si="30"/>
        <v>614936.932712435</v>
      </c>
      <c r="P32" s="321">
        <f t="shared" si="6"/>
        <v>6468218.141253871</v>
      </c>
      <c r="Q32" s="1008"/>
      <c r="R32" s="1013">
        <f>+E31</f>
        <v>15000000</v>
      </c>
      <c r="S32" s="1008">
        <f>+E31-R32</f>
        <v>0</v>
      </c>
      <c r="T32" s="1006"/>
      <c r="U32" s="1006"/>
      <c r="V32" s="1006"/>
      <c r="AE32" s="1004"/>
      <c r="AF32" s="1027">
        <v>0.035</v>
      </c>
      <c r="AG32" s="1027">
        <v>0.03</v>
      </c>
      <c r="AH32" s="1024">
        <v>0.025</v>
      </c>
      <c r="AI32" s="1024">
        <v>0.01</v>
      </c>
      <c r="AJ32" s="1024">
        <v>0.01</v>
      </c>
      <c r="AK32" s="1024">
        <v>0.01</v>
      </c>
      <c r="AL32" s="1024">
        <v>0.01</v>
      </c>
      <c r="AM32" s="1024">
        <v>0.01</v>
      </c>
      <c r="AN32" s="996">
        <v>0.01</v>
      </c>
      <c r="AO32" s="996">
        <v>0.01</v>
      </c>
      <c r="AP32" s="996">
        <v>0.01</v>
      </c>
    </row>
    <row r="33" spans="1:42" ht="15">
      <c r="A33" s="990" t="s">
        <v>97</v>
      </c>
      <c r="B33" s="991" t="s">
        <v>96</v>
      </c>
      <c r="C33" s="492">
        <f>+'INGRESOS PROYECTADOS MARCO FISC'!E39</f>
        <v>159412000</v>
      </c>
      <c r="D33" s="321">
        <f>+'INGRESOS 2014'!G39</f>
        <v>0</v>
      </c>
      <c r="E33" s="321">
        <f>+'INGRESOS 2014'!H39</f>
        <v>0</v>
      </c>
      <c r="F33" s="321">
        <f t="shared" si="21"/>
        <v>0</v>
      </c>
      <c r="G33" s="321">
        <f t="shared" si="22"/>
        <v>0</v>
      </c>
      <c r="H33" s="321">
        <f t="shared" si="23"/>
        <v>0</v>
      </c>
      <c r="I33" s="321">
        <f t="shared" si="24"/>
        <v>0</v>
      </c>
      <c r="J33" s="321">
        <f t="shared" si="25"/>
        <v>0</v>
      </c>
      <c r="K33" s="321">
        <f t="shared" si="26"/>
        <v>0</v>
      </c>
      <c r="L33" s="321">
        <f t="shared" si="27"/>
        <v>0</v>
      </c>
      <c r="M33" s="321">
        <f t="shared" si="28"/>
        <v>0</v>
      </c>
      <c r="N33" s="321">
        <f t="shared" si="29"/>
        <v>0</v>
      </c>
      <c r="O33" s="321">
        <f t="shared" si="30"/>
        <v>0</v>
      </c>
      <c r="P33" s="321">
        <f t="shared" si="6"/>
        <v>159412000</v>
      </c>
      <c r="Q33" s="1008"/>
      <c r="R33" s="1013">
        <f>+E32</f>
        <v>500000</v>
      </c>
      <c r="S33" s="1008">
        <f>+E32-R33</f>
        <v>0</v>
      </c>
      <c r="T33" s="1006"/>
      <c r="U33" s="1006"/>
      <c r="V33" s="1006"/>
      <c r="AE33" s="1004"/>
      <c r="AF33" s="1027">
        <v>0</v>
      </c>
      <c r="AG33" s="1027">
        <v>0</v>
      </c>
      <c r="AH33" s="1024">
        <v>0</v>
      </c>
      <c r="AI33" s="1024">
        <v>0</v>
      </c>
      <c r="AJ33" s="1024">
        <v>0</v>
      </c>
      <c r="AK33" s="1024">
        <v>0</v>
      </c>
      <c r="AL33" s="1024">
        <v>0</v>
      </c>
      <c r="AM33" s="1024">
        <v>0</v>
      </c>
      <c r="AN33" s="996">
        <v>0</v>
      </c>
      <c r="AO33" s="996">
        <v>0</v>
      </c>
      <c r="AP33" s="996">
        <v>0</v>
      </c>
    </row>
    <row r="34" spans="1:42" ht="15">
      <c r="A34" s="990"/>
      <c r="B34" s="991" t="s">
        <v>1634</v>
      </c>
      <c r="C34" s="492">
        <v>0</v>
      </c>
      <c r="D34" s="321">
        <v>0</v>
      </c>
      <c r="E34" s="321">
        <f>+'INGRESOS 2014'!H77</f>
        <v>6000000</v>
      </c>
      <c r="F34" s="321">
        <f t="shared" si="21"/>
        <v>6180000</v>
      </c>
      <c r="G34" s="321">
        <f t="shared" si="22"/>
        <v>6365400</v>
      </c>
      <c r="H34" s="321">
        <f t="shared" si="23"/>
        <v>6556362</v>
      </c>
      <c r="I34" s="321">
        <f t="shared" si="24"/>
        <v>6753052.86</v>
      </c>
      <c r="J34" s="321">
        <f t="shared" si="25"/>
        <v>6955644.445800001</v>
      </c>
      <c r="K34" s="321">
        <f t="shared" si="26"/>
        <v>6955644.445800001</v>
      </c>
      <c r="L34" s="321">
        <f t="shared" si="27"/>
        <v>7164313.779174001</v>
      </c>
      <c r="M34" s="321">
        <f t="shared" si="28"/>
        <v>7164313.779174001</v>
      </c>
      <c r="N34" s="321">
        <f t="shared" si="29"/>
        <v>7379243.192549221</v>
      </c>
      <c r="O34" s="321">
        <f t="shared" si="30"/>
        <v>7379243.192549221</v>
      </c>
      <c r="P34" s="321">
        <f t="shared" si="6"/>
        <v>74853217.69504645</v>
      </c>
      <c r="Q34" s="1008"/>
      <c r="R34" s="1013">
        <f>+E33</f>
        <v>0</v>
      </c>
      <c r="S34" s="1008">
        <f>+E33-R34</f>
        <v>0</v>
      </c>
      <c r="T34" s="1006"/>
      <c r="U34" s="1006"/>
      <c r="V34" s="1006"/>
      <c r="AE34" s="1004"/>
      <c r="AF34" s="1027">
        <v>0</v>
      </c>
      <c r="AG34" s="1027">
        <v>0</v>
      </c>
      <c r="AH34" s="1024">
        <v>0</v>
      </c>
      <c r="AI34" s="1024">
        <v>0</v>
      </c>
      <c r="AJ34" s="1024">
        <v>0</v>
      </c>
      <c r="AK34" s="1024">
        <v>0</v>
      </c>
      <c r="AL34" s="1024">
        <v>0</v>
      </c>
      <c r="AM34" s="1024">
        <v>0</v>
      </c>
      <c r="AN34" s="996">
        <v>0</v>
      </c>
      <c r="AO34" s="996">
        <v>0</v>
      </c>
      <c r="AP34" s="996">
        <v>0</v>
      </c>
    </row>
    <row r="35" spans="1:42" ht="30">
      <c r="A35" s="990" t="s">
        <v>95</v>
      </c>
      <c r="B35" s="991" t="s">
        <v>94</v>
      </c>
      <c r="C35" s="492">
        <f>+'INGRESOS PROYECTADOS MARCO FISC'!E40</f>
        <v>530450</v>
      </c>
      <c r="D35" s="321">
        <f>+'INGRESOS 2014'!G40</f>
        <v>1748636</v>
      </c>
      <c r="E35" s="321">
        <f>+'INGRESOS 2014'!H40</f>
        <v>2000000</v>
      </c>
      <c r="F35" s="321">
        <f t="shared" si="21"/>
        <v>2060000</v>
      </c>
      <c r="G35" s="321">
        <f t="shared" si="22"/>
        <v>2121800</v>
      </c>
      <c r="H35" s="321">
        <f t="shared" si="23"/>
        <v>2185454</v>
      </c>
      <c r="I35" s="321">
        <f t="shared" si="24"/>
        <v>2251017.62</v>
      </c>
      <c r="J35" s="321">
        <f t="shared" si="25"/>
        <v>2318548.1486</v>
      </c>
      <c r="K35" s="321">
        <f t="shared" si="26"/>
        <v>2318548.1486</v>
      </c>
      <c r="L35" s="321">
        <f t="shared" si="27"/>
        <v>2388104.593058</v>
      </c>
      <c r="M35" s="321">
        <f t="shared" si="28"/>
        <v>2388104.593058</v>
      </c>
      <c r="N35" s="321">
        <f t="shared" si="29"/>
        <v>2459747.73084974</v>
      </c>
      <c r="O35" s="321">
        <f t="shared" si="30"/>
        <v>2459747.73084974</v>
      </c>
      <c r="P35" s="321">
        <f t="shared" si="6"/>
        <v>27230158.565015484</v>
      </c>
      <c r="Q35" s="1008"/>
      <c r="R35" s="1013"/>
      <c r="T35" s="1006"/>
      <c r="U35" s="1006"/>
      <c r="V35" s="1006"/>
      <c r="AE35" s="1004"/>
      <c r="AF35" s="1027"/>
      <c r="AG35" s="1027"/>
      <c r="AH35" s="1024"/>
      <c r="AI35" s="1024"/>
      <c r="AJ35" s="1024"/>
      <c r="AK35" s="1024"/>
      <c r="AL35" s="1024"/>
      <c r="AM35" s="1024"/>
      <c r="AN35" s="996"/>
      <c r="AO35" s="996"/>
      <c r="AP35" s="996"/>
    </row>
    <row r="36" spans="1:42" ht="15">
      <c r="A36" s="990" t="s">
        <v>93</v>
      </c>
      <c r="B36" s="991" t="s">
        <v>92</v>
      </c>
      <c r="C36" s="492">
        <f>+'INGRESOS PROYECTADOS MARCO FISC'!E41</f>
        <v>230450</v>
      </c>
      <c r="D36" s="321">
        <f>+'INGRESOS 2014'!G41</f>
        <v>0</v>
      </c>
      <c r="E36" s="321">
        <f>+'INGRESOS 2014'!H41</f>
        <v>200000</v>
      </c>
      <c r="F36" s="321">
        <f t="shared" si="21"/>
        <v>206000</v>
      </c>
      <c r="G36" s="321">
        <f t="shared" si="22"/>
        <v>212180</v>
      </c>
      <c r="H36" s="321">
        <f t="shared" si="23"/>
        <v>218545.4</v>
      </c>
      <c r="I36" s="321">
        <f t="shared" si="24"/>
        <v>225101.762</v>
      </c>
      <c r="J36" s="321">
        <f t="shared" si="25"/>
        <v>231854.81485999998</v>
      </c>
      <c r="K36" s="321">
        <f t="shared" si="26"/>
        <v>231854.81485999998</v>
      </c>
      <c r="L36" s="321">
        <f t="shared" si="27"/>
        <v>238810.4593058</v>
      </c>
      <c r="M36" s="321">
        <f t="shared" si="28"/>
        <v>238810.4593058</v>
      </c>
      <c r="N36" s="321">
        <f t="shared" si="29"/>
        <v>245974.773084974</v>
      </c>
      <c r="O36" s="321">
        <f t="shared" si="30"/>
        <v>245974.773084974</v>
      </c>
      <c r="P36" s="321">
        <f t="shared" si="6"/>
        <v>2725557.256501548</v>
      </c>
      <c r="Q36" s="1008"/>
      <c r="R36" s="1008">
        <f>+E35</f>
        <v>2000000</v>
      </c>
      <c r="S36" s="1008">
        <f>+E35-R36</f>
        <v>0</v>
      </c>
      <c r="T36" s="1006"/>
      <c r="U36" s="1006"/>
      <c r="V36" s="1006"/>
      <c r="AE36" s="1004"/>
      <c r="AF36" s="1027">
        <v>0</v>
      </c>
      <c r="AG36" s="1027">
        <v>0</v>
      </c>
      <c r="AH36" s="1024">
        <v>0</v>
      </c>
      <c r="AI36" s="1024">
        <v>0</v>
      </c>
      <c r="AJ36" s="1024">
        <v>0</v>
      </c>
      <c r="AK36" s="1024">
        <v>0</v>
      </c>
      <c r="AL36" s="1024">
        <v>0</v>
      </c>
      <c r="AM36" s="1024">
        <v>0</v>
      </c>
      <c r="AN36" s="996">
        <v>0</v>
      </c>
      <c r="AO36" s="996">
        <v>0</v>
      </c>
      <c r="AP36" s="996">
        <v>0</v>
      </c>
    </row>
    <row r="37" spans="1:42" ht="15">
      <c r="A37" s="990" t="s">
        <v>91</v>
      </c>
      <c r="B37" s="991" t="s">
        <v>90</v>
      </c>
      <c r="C37" s="492">
        <f>+'INGRESOS PROYECTADOS MARCO FISC'!E42</f>
        <v>230450</v>
      </c>
      <c r="D37" s="321">
        <f>+'INGRESOS 2014'!G42</f>
        <v>164944</v>
      </c>
      <c r="E37" s="321">
        <f>+'INGRESOS 2014'!H42</f>
        <v>200000</v>
      </c>
      <c r="F37" s="321">
        <f t="shared" si="21"/>
        <v>206000</v>
      </c>
      <c r="G37" s="321">
        <f t="shared" si="22"/>
        <v>212180</v>
      </c>
      <c r="H37" s="321">
        <f t="shared" si="23"/>
        <v>218545.4</v>
      </c>
      <c r="I37" s="321">
        <f t="shared" si="24"/>
        <v>225101.762</v>
      </c>
      <c r="J37" s="321">
        <f t="shared" si="25"/>
        <v>231854.81485999998</v>
      </c>
      <c r="K37" s="321">
        <f t="shared" si="26"/>
        <v>231854.81485999998</v>
      </c>
      <c r="L37" s="321">
        <f t="shared" si="27"/>
        <v>238810.4593058</v>
      </c>
      <c r="M37" s="321">
        <f t="shared" si="28"/>
        <v>238810.4593058</v>
      </c>
      <c r="N37" s="321">
        <f t="shared" si="29"/>
        <v>245974.773084974</v>
      </c>
      <c r="O37" s="321">
        <f t="shared" si="30"/>
        <v>245974.773084974</v>
      </c>
      <c r="P37" s="321">
        <f t="shared" si="6"/>
        <v>2890501.256501548</v>
      </c>
      <c r="Q37" s="1008"/>
      <c r="R37" s="1008">
        <f>+E36</f>
        <v>200000</v>
      </c>
      <c r="S37" s="1008">
        <f>+E36-R37</f>
        <v>0</v>
      </c>
      <c r="T37" s="1006"/>
      <c r="U37" s="1006"/>
      <c r="V37" s="1006"/>
      <c r="AE37" s="1004"/>
      <c r="AF37" s="1027">
        <v>0</v>
      </c>
      <c r="AG37" s="1027">
        <v>0</v>
      </c>
      <c r="AH37" s="1024">
        <v>0</v>
      </c>
      <c r="AI37" s="1024">
        <v>0</v>
      </c>
      <c r="AJ37" s="1024">
        <v>0</v>
      </c>
      <c r="AK37" s="1024">
        <v>0</v>
      </c>
      <c r="AL37" s="1024">
        <v>0</v>
      </c>
      <c r="AM37" s="1024">
        <v>0</v>
      </c>
      <c r="AN37" s="996">
        <v>0</v>
      </c>
      <c r="AO37" s="996">
        <v>0</v>
      </c>
      <c r="AP37" s="996">
        <v>0</v>
      </c>
    </row>
    <row r="38" spans="1:42" ht="15">
      <c r="A38" s="990" t="s">
        <v>89</v>
      </c>
      <c r="B38" s="991" t="s">
        <v>88</v>
      </c>
      <c r="C38" s="492">
        <f>+'INGRESOS PROYECTADOS MARCO FISC'!E43</f>
        <v>530450</v>
      </c>
      <c r="D38" s="321">
        <f>+'INGRESOS 2014'!G43</f>
        <v>0</v>
      </c>
      <c r="E38" s="321">
        <f>+'INGRESOS 2014'!H43</f>
        <v>200000</v>
      </c>
      <c r="F38" s="321">
        <f t="shared" si="21"/>
        <v>206000</v>
      </c>
      <c r="G38" s="321">
        <f t="shared" si="22"/>
        <v>212180</v>
      </c>
      <c r="H38" s="321">
        <f t="shared" si="23"/>
        <v>218545.4</v>
      </c>
      <c r="I38" s="321">
        <f t="shared" si="24"/>
        <v>225101.762</v>
      </c>
      <c r="J38" s="321">
        <f t="shared" si="25"/>
        <v>231854.81485999998</v>
      </c>
      <c r="K38" s="321">
        <f t="shared" si="26"/>
        <v>231854.81485999998</v>
      </c>
      <c r="L38" s="321">
        <f t="shared" si="27"/>
        <v>238810.4593058</v>
      </c>
      <c r="M38" s="321">
        <f t="shared" si="28"/>
        <v>238810.4593058</v>
      </c>
      <c r="N38" s="321">
        <f t="shared" si="29"/>
        <v>245974.773084974</v>
      </c>
      <c r="O38" s="321">
        <f t="shared" si="30"/>
        <v>245974.773084974</v>
      </c>
      <c r="P38" s="321">
        <f t="shared" si="6"/>
        <v>3025557.256501548</v>
      </c>
      <c r="Q38" s="1008"/>
      <c r="R38" s="1008">
        <f>+E37</f>
        <v>200000</v>
      </c>
      <c r="S38" s="1008">
        <f>+E37-R38</f>
        <v>0</v>
      </c>
      <c r="T38" s="1006"/>
      <c r="U38" s="1006"/>
      <c r="V38" s="1006"/>
      <c r="AE38" s="1004"/>
      <c r="AF38" s="1027">
        <v>0</v>
      </c>
      <c r="AG38" s="1027">
        <v>0</v>
      </c>
      <c r="AH38" s="1024">
        <v>0</v>
      </c>
      <c r="AI38" s="1024">
        <v>0</v>
      </c>
      <c r="AJ38" s="1024">
        <v>0</v>
      </c>
      <c r="AK38" s="1024">
        <v>0</v>
      </c>
      <c r="AL38" s="1024">
        <v>0</v>
      </c>
      <c r="AM38" s="1024">
        <v>0</v>
      </c>
      <c r="AN38" s="996">
        <v>0</v>
      </c>
      <c r="AO38" s="996">
        <v>0</v>
      </c>
      <c r="AP38" s="996">
        <v>0</v>
      </c>
    </row>
    <row r="39" spans="1:42" ht="15">
      <c r="A39" s="262" t="s">
        <v>85</v>
      </c>
      <c r="B39" s="270" t="s">
        <v>84</v>
      </c>
      <c r="C39" s="493">
        <f>SUM(C40:C44)</f>
        <v>13004850</v>
      </c>
      <c r="D39" s="301">
        <f>SUM(D40:D44)</f>
        <v>13073876</v>
      </c>
      <c r="E39" s="301">
        <f aca="true" t="shared" si="31" ref="E39:N39">SUM(E40:E44)</f>
        <v>19000000</v>
      </c>
      <c r="F39" s="301">
        <f t="shared" si="31"/>
        <v>19570000</v>
      </c>
      <c r="G39" s="301">
        <f t="shared" si="31"/>
        <v>20157100</v>
      </c>
      <c r="H39" s="301">
        <f t="shared" si="31"/>
        <v>20761813</v>
      </c>
      <c r="I39" s="301">
        <f t="shared" si="31"/>
        <v>21384667.390000004</v>
      </c>
      <c r="J39" s="301">
        <f t="shared" si="31"/>
        <v>22026207.4117</v>
      </c>
      <c r="K39" s="301">
        <f t="shared" si="31"/>
        <v>22026207.4117</v>
      </c>
      <c r="L39" s="301">
        <f t="shared" si="31"/>
        <v>22686993.634051003</v>
      </c>
      <c r="M39" s="301">
        <f t="shared" si="31"/>
        <v>22686993.634051003</v>
      </c>
      <c r="N39" s="301">
        <f t="shared" si="31"/>
        <v>23367603.44307253</v>
      </c>
      <c r="O39" s="301">
        <f>SUM(O40:O44)</f>
        <v>23367603.44307253</v>
      </c>
      <c r="P39" s="247">
        <f t="shared" si="6"/>
        <v>263113915.36764705</v>
      </c>
      <c r="Q39" s="1011"/>
      <c r="S39" s="1008" t="e">
        <f>+#REF!-R39</f>
        <v>#REF!</v>
      </c>
      <c r="T39" s="1006"/>
      <c r="U39" s="1006"/>
      <c r="V39" s="1006"/>
      <c r="AE39" s="1004"/>
      <c r="AF39" s="1027">
        <v>0</v>
      </c>
      <c r="AG39" s="1027">
        <v>0</v>
      </c>
      <c r="AH39" s="1024">
        <v>0</v>
      </c>
      <c r="AI39" s="1024">
        <v>0</v>
      </c>
      <c r="AJ39" s="1024">
        <v>0</v>
      </c>
      <c r="AK39" s="1024">
        <v>0</v>
      </c>
      <c r="AL39" s="1024">
        <v>0</v>
      </c>
      <c r="AM39" s="1024">
        <v>0</v>
      </c>
      <c r="AN39" s="996">
        <v>0</v>
      </c>
      <c r="AO39" s="996">
        <v>0</v>
      </c>
      <c r="AP39" s="996">
        <v>0</v>
      </c>
    </row>
    <row r="40" spans="1:42" ht="15">
      <c r="A40" s="990" t="s">
        <v>83</v>
      </c>
      <c r="B40" s="991" t="s">
        <v>69</v>
      </c>
      <c r="C40" s="492">
        <f>+'INGRESOS PROYECTADOS MARCO FISC'!E46</f>
        <v>10609000</v>
      </c>
      <c r="D40" s="321">
        <f>+'INGRESOS 2014'!G46</f>
        <v>13073876</v>
      </c>
      <c r="E40" s="321">
        <f>+'INGRESOS 2014'!H46</f>
        <v>15000000</v>
      </c>
      <c r="F40" s="321">
        <f>+E40*(1+$AM$12)</f>
        <v>15450000</v>
      </c>
      <c r="G40" s="321">
        <f>+F40*(1+$AN$12)</f>
        <v>15913500</v>
      </c>
      <c r="H40" s="321">
        <f>+G40*(1+$AO$12)</f>
        <v>16390905</v>
      </c>
      <c r="I40" s="321">
        <f>+H40*(1+$AP$12)</f>
        <v>16882632.150000002</v>
      </c>
      <c r="J40" s="321">
        <f>+I40*(1+$AQ$12)</f>
        <v>17389111.1145</v>
      </c>
      <c r="K40" s="321">
        <f aca="true" t="shared" si="32" ref="K40:O44">+I40*(1+$AR$12)</f>
        <v>17389111.1145</v>
      </c>
      <c r="L40" s="321">
        <f t="shared" si="32"/>
        <v>17910784.447935</v>
      </c>
      <c r="M40" s="321">
        <f t="shared" si="32"/>
        <v>17910784.447935</v>
      </c>
      <c r="N40" s="321">
        <f t="shared" si="32"/>
        <v>18448107.98137305</v>
      </c>
      <c r="O40" s="321">
        <f t="shared" si="32"/>
        <v>18448107.98137305</v>
      </c>
      <c r="P40" s="321">
        <f t="shared" si="6"/>
        <v>210815920.23761606</v>
      </c>
      <c r="Q40" s="1008"/>
      <c r="R40" s="1011"/>
      <c r="T40" s="1006"/>
      <c r="U40" s="1006"/>
      <c r="V40" s="1006"/>
      <c r="AE40" s="1004"/>
      <c r="AF40" s="1027">
        <v>0.035</v>
      </c>
      <c r="AG40" s="1027">
        <v>0.03</v>
      </c>
      <c r="AH40" s="1024">
        <v>0.02</v>
      </c>
      <c r="AI40" s="1024">
        <v>0.02</v>
      </c>
      <c r="AJ40" s="1024">
        <v>0.02</v>
      </c>
      <c r="AK40" s="1024">
        <v>0.02</v>
      </c>
      <c r="AL40" s="1024">
        <v>0.02</v>
      </c>
      <c r="AM40" s="1024">
        <v>0.02</v>
      </c>
      <c r="AN40" s="996">
        <v>0.02</v>
      </c>
      <c r="AO40" s="996">
        <v>0.02</v>
      </c>
      <c r="AP40" s="996">
        <v>0.02</v>
      </c>
    </row>
    <row r="41" spans="1:42" ht="15">
      <c r="A41" s="990" t="s">
        <v>82</v>
      </c>
      <c r="B41" s="991" t="s">
        <v>81</v>
      </c>
      <c r="C41" s="492">
        <f>+'INGRESOS PROYECTADOS MARCO FISC'!E47</f>
        <v>560900</v>
      </c>
      <c r="D41" s="321">
        <f>+'INGRESOS 2014'!G47</f>
        <v>0</v>
      </c>
      <c r="E41" s="321">
        <f>+'INGRESOS 2014'!H47</f>
        <v>500000</v>
      </c>
      <c r="F41" s="321">
        <f>+E41*(1+$AM$12)</f>
        <v>515000</v>
      </c>
      <c r="G41" s="321">
        <f>+F41*(1+$AN$12)</f>
        <v>530450</v>
      </c>
      <c r="H41" s="321">
        <f>+G41*(1+$AO$12)</f>
        <v>546363.5</v>
      </c>
      <c r="I41" s="321">
        <f>+H41*(1+$AP$12)</f>
        <v>562754.405</v>
      </c>
      <c r="J41" s="321">
        <f>+I41*(1+$AQ$12)</f>
        <v>579637.03715</v>
      </c>
      <c r="K41" s="321">
        <f t="shared" si="32"/>
        <v>579637.03715</v>
      </c>
      <c r="L41" s="321">
        <f t="shared" si="32"/>
        <v>597026.1482645</v>
      </c>
      <c r="M41" s="321">
        <f t="shared" si="32"/>
        <v>597026.1482645</v>
      </c>
      <c r="N41" s="321">
        <f t="shared" si="32"/>
        <v>614936.932712435</v>
      </c>
      <c r="O41" s="321">
        <f t="shared" si="32"/>
        <v>614936.932712435</v>
      </c>
      <c r="P41" s="321">
        <f t="shared" si="6"/>
        <v>6798668.141253871</v>
      </c>
      <c r="Q41" s="1008"/>
      <c r="R41" s="1008">
        <f>+E40</f>
        <v>15000000</v>
      </c>
      <c r="S41" s="1008">
        <f>+E40-R41</f>
        <v>0</v>
      </c>
      <c r="T41" s="1006"/>
      <c r="U41" s="1006"/>
      <c r="V41" s="1006"/>
      <c r="AE41" s="1004"/>
      <c r="AF41" s="1027"/>
      <c r="AG41" s="1027"/>
      <c r="AH41" s="1024"/>
      <c r="AI41" s="1024"/>
      <c r="AJ41" s="1024"/>
      <c r="AK41" s="1024"/>
      <c r="AL41" s="1024"/>
      <c r="AM41" s="1024"/>
      <c r="AN41" s="996"/>
      <c r="AO41" s="996"/>
      <c r="AP41" s="996"/>
    </row>
    <row r="42" spans="1:42" ht="15">
      <c r="A42" s="990" t="s">
        <v>80</v>
      </c>
      <c r="B42" s="991" t="s">
        <v>79</v>
      </c>
      <c r="C42" s="492">
        <f>+'INGRESOS PROYECTADOS MARCO FISC'!E48</f>
        <v>1304500</v>
      </c>
      <c r="D42" s="321">
        <f>+'INGRESOS 2014'!G48</f>
        <v>0</v>
      </c>
      <c r="E42" s="321">
        <f>+'INGRESOS 2014'!H48</f>
        <v>1000000</v>
      </c>
      <c r="F42" s="321">
        <f>+E42*(1+$AM$12)</f>
        <v>1030000</v>
      </c>
      <c r="G42" s="321">
        <f>+F42*(1+$AN$12)</f>
        <v>1060900</v>
      </c>
      <c r="H42" s="321">
        <f>+G42*(1+$AO$12)</f>
        <v>1092727</v>
      </c>
      <c r="I42" s="321">
        <f>+H42*(1+$AP$12)</f>
        <v>1125508.81</v>
      </c>
      <c r="J42" s="321">
        <f>+I42*(1+$AQ$12)</f>
        <v>1159274.0743</v>
      </c>
      <c r="K42" s="321">
        <f t="shared" si="32"/>
        <v>1159274.0743</v>
      </c>
      <c r="L42" s="321">
        <f t="shared" si="32"/>
        <v>1194052.296529</v>
      </c>
      <c r="M42" s="321">
        <f t="shared" si="32"/>
        <v>1194052.296529</v>
      </c>
      <c r="N42" s="321">
        <f t="shared" si="32"/>
        <v>1229873.86542487</v>
      </c>
      <c r="O42" s="321">
        <f t="shared" si="32"/>
        <v>1229873.86542487</v>
      </c>
      <c r="P42" s="321">
        <f t="shared" si="6"/>
        <v>13780036.282507742</v>
      </c>
      <c r="Q42" s="1008"/>
      <c r="R42" s="1008">
        <f>+E41</f>
        <v>500000</v>
      </c>
      <c r="S42" s="1008">
        <f>+E41-R42</f>
        <v>0</v>
      </c>
      <c r="T42" s="1006"/>
      <c r="U42" s="1006"/>
      <c r="V42" s="1006"/>
      <c r="AE42" s="1004"/>
      <c r="AF42" s="1027"/>
      <c r="AG42" s="1027"/>
      <c r="AH42" s="1024"/>
      <c r="AI42" s="1024"/>
      <c r="AJ42" s="1024"/>
      <c r="AK42" s="1024"/>
      <c r="AL42" s="1024"/>
      <c r="AM42" s="1024"/>
      <c r="AN42" s="996"/>
      <c r="AO42" s="996"/>
      <c r="AP42" s="996"/>
    </row>
    <row r="43" spans="1:42" ht="15">
      <c r="A43" s="990" t="s">
        <v>78</v>
      </c>
      <c r="B43" s="991" t="s">
        <v>77</v>
      </c>
      <c r="C43" s="492">
        <f>+'INGRESOS PROYECTADOS MARCO FISC'!E49</f>
        <v>530450</v>
      </c>
      <c r="D43" s="321">
        <f>+'INGRESOS 2014'!G49</f>
        <v>0</v>
      </c>
      <c r="E43" s="321">
        <f>+'INGRESOS 2014'!H49</f>
        <v>500000</v>
      </c>
      <c r="F43" s="321">
        <f>+E43*(1+$AM$12)</f>
        <v>515000</v>
      </c>
      <c r="G43" s="321">
        <f>+F43*(1+$AN$12)</f>
        <v>530450</v>
      </c>
      <c r="H43" s="321">
        <f>+G43*(1+$AO$12)</f>
        <v>546363.5</v>
      </c>
      <c r="I43" s="321">
        <f>+H43*(1+$AP$12)</f>
        <v>562754.405</v>
      </c>
      <c r="J43" s="321">
        <f>+I43*(1+$AQ$12)</f>
        <v>579637.03715</v>
      </c>
      <c r="K43" s="321">
        <f t="shared" si="32"/>
        <v>579637.03715</v>
      </c>
      <c r="L43" s="321">
        <f t="shared" si="32"/>
        <v>597026.1482645</v>
      </c>
      <c r="M43" s="321">
        <f t="shared" si="32"/>
        <v>597026.1482645</v>
      </c>
      <c r="N43" s="321">
        <f t="shared" si="32"/>
        <v>614936.932712435</v>
      </c>
      <c r="O43" s="321">
        <f t="shared" si="32"/>
        <v>614936.932712435</v>
      </c>
      <c r="P43" s="321">
        <f t="shared" si="6"/>
        <v>6768218.141253871</v>
      </c>
      <c r="Q43" s="1008"/>
      <c r="R43" s="1008">
        <f>+E42</f>
        <v>1000000</v>
      </c>
      <c r="S43" s="1008">
        <f>+E42-R43</f>
        <v>0</v>
      </c>
      <c r="T43" s="1006"/>
      <c r="U43" s="1006"/>
      <c r="V43" s="1006"/>
      <c r="AE43" s="1004"/>
      <c r="AF43" s="1027"/>
      <c r="AG43" s="1027"/>
      <c r="AH43" s="1024"/>
      <c r="AI43" s="1024"/>
      <c r="AJ43" s="1024"/>
      <c r="AK43" s="1024"/>
      <c r="AL43" s="1024"/>
      <c r="AM43" s="1024"/>
      <c r="AN43" s="996"/>
      <c r="AO43" s="996"/>
      <c r="AP43" s="996"/>
    </row>
    <row r="44" spans="1:42" ht="15">
      <c r="A44" s="990" t="s">
        <v>76</v>
      </c>
      <c r="B44" s="991" t="s">
        <v>75</v>
      </c>
      <c r="C44" s="492"/>
      <c r="D44" s="321">
        <f>+'INGRESOS 2014'!G50</f>
        <v>0</v>
      </c>
      <c r="E44" s="321">
        <f>+'INGRESOS 2014'!H50</f>
        <v>2000000</v>
      </c>
      <c r="F44" s="321">
        <f>+E44*(1+$AM$12)</f>
        <v>2060000</v>
      </c>
      <c r="G44" s="321">
        <f>+F44*(1+$AN$12)</f>
        <v>2121800</v>
      </c>
      <c r="H44" s="321">
        <f>+G44*(1+$AO$12)</f>
        <v>2185454</v>
      </c>
      <c r="I44" s="321">
        <f>+H44*(1+$AP$12)</f>
        <v>2251017.62</v>
      </c>
      <c r="J44" s="321">
        <f>+I44*(1+$AQ$12)</f>
        <v>2318548.1486</v>
      </c>
      <c r="K44" s="321">
        <f t="shared" si="32"/>
        <v>2318548.1486</v>
      </c>
      <c r="L44" s="321">
        <f t="shared" si="32"/>
        <v>2388104.593058</v>
      </c>
      <c r="M44" s="321">
        <f t="shared" si="32"/>
        <v>2388104.593058</v>
      </c>
      <c r="N44" s="321">
        <f t="shared" si="32"/>
        <v>2459747.73084974</v>
      </c>
      <c r="O44" s="321">
        <f t="shared" si="32"/>
        <v>2459747.73084974</v>
      </c>
      <c r="P44" s="321">
        <f t="shared" si="6"/>
        <v>24951072.565015484</v>
      </c>
      <c r="Q44" s="1008"/>
      <c r="R44" s="1008">
        <f>+E43</f>
        <v>500000</v>
      </c>
      <c r="S44" s="1008">
        <f>+E43-R44</f>
        <v>0</v>
      </c>
      <c r="T44" s="1006"/>
      <c r="U44" s="1006"/>
      <c r="V44" s="1006"/>
      <c r="AE44" s="1004"/>
      <c r="AF44" s="1027">
        <v>0</v>
      </c>
      <c r="AG44" s="1027">
        <v>0</v>
      </c>
      <c r="AH44" s="1024">
        <v>0</v>
      </c>
      <c r="AI44" s="1024">
        <v>0</v>
      </c>
      <c r="AJ44" s="1024">
        <v>0</v>
      </c>
      <c r="AK44" s="1024">
        <v>0</v>
      </c>
      <c r="AL44" s="1024">
        <v>0</v>
      </c>
      <c r="AM44" s="1024">
        <v>0</v>
      </c>
      <c r="AN44" s="996">
        <v>0</v>
      </c>
      <c r="AO44" s="996">
        <v>0</v>
      </c>
      <c r="AP44" s="996">
        <v>0</v>
      </c>
    </row>
    <row r="45" spans="1:42" ht="15">
      <c r="A45" s="262" t="s">
        <v>74</v>
      </c>
      <c r="B45" s="270" t="s">
        <v>73</v>
      </c>
      <c r="C45" s="493">
        <f aca="true" t="shared" si="33" ref="C45:L45">SUM(C46:C47)</f>
        <v>10813850</v>
      </c>
      <c r="D45" s="301">
        <f t="shared" si="33"/>
        <v>25296168</v>
      </c>
      <c r="E45" s="301">
        <f>SUM(E46:E47)</f>
        <v>30000000</v>
      </c>
      <c r="F45" s="301">
        <f t="shared" si="33"/>
        <v>30900000</v>
      </c>
      <c r="G45" s="301">
        <f t="shared" si="33"/>
        <v>31827000</v>
      </c>
      <c r="H45" s="301">
        <f t="shared" si="33"/>
        <v>32781810</v>
      </c>
      <c r="I45" s="301">
        <f t="shared" si="33"/>
        <v>33765264.300000004</v>
      </c>
      <c r="J45" s="301">
        <f t="shared" si="33"/>
        <v>34778222.229</v>
      </c>
      <c r="K45" s="301">
        <f t="shared" si="33"/>
        <v>34778222.229</v>
      </c>
      <c r="L45" s="301">
        <f t="shared" si="33"/>
        <v>35821568.89587</v>
      </c>
      <c r="M45" s="301">
        <f>SUM(M46:M47)</f>
        <v>35821568.89587</v>
      </c>
      <c r="N45" s="301">
        <f>SUM(N46:N47)</f>
        <v>36896215.9627461</v>
      </c>
      <c r="O45" s="301">
        <f>SUM(O46:O47)</f>
        <v>36896215.9627461</v>
      </c>
      <c r="P45" s="247">
        <f t="shared" si="6"/>
        <v>410376106.4752321</v>
      </c>
      <c r="Q45" s="1011"/>
      <c r="R45" s="1008" t="e">
        <f>+#REF!</f>
        <v>#REF!</v>
      </c>
      <c r="S45" s="1008" t="e">
        <f>+#REF!-R45</f>
        <v>#REF!</v>
      </c>
      <c r="T45" s="1006"/>
      <c r="U45" s="1006"/>
      <c r="V45" s="1006"/>
      <c r="AE45" s="1004"/>
      <c r="AF45" s="1027"/>
      <c r="AG45" s="1027"/>
      <c r="AH45" s="1024"/>
      <c r="AI45" s="1024"/>
      <c r="AJ45" s="1024"/>
      <c r="AK45" s="1024"/>
      <c r="AL45" s="1024"/>
      <c r="AM45" s="1024"/>
      <c r="AN45" s="996"/>
      <c r="AO45" s="996"/>
      <c r="AP45" s="996"/>
    </row>
    <row r="46" spans="1:42" ht="15">
      <c r="A46" s="990" t="s">
        <v>72</v>
      </c>
      <c r="B46" s="991" t="s">
        <v>71</v>
      </c>
      <c r="C46" s="492">
        <f>+'INGRESOS PROYECTADOS MARCO FISC'!E53</f>
        <v>3918000</v>
      </c>
      <c r="D46" s="321">
        <f>+'INGRESOS 2014'!G53</f>
        <v>13667008</v>
      </c>
      <c r="E46" s="321">
        <f>+'INGRESOS 2014'!H53</f>
        <v>15000000</v>
      </c>
      <c r="F46" s="321">
        <f>+E46*(1+$AM$12)</f>
        <v>15450000</v>
      </c>
      <c r="G46" s="321">
        <f>+F46*(1+$AN$12)</f>
        <v>15913500</v>
      </c>
      <c r="H46" s="321">
        <f>+G46*(1+$AO$12)</f>
        <v>16390905</v>
      </c>
      <c r="I46" s="321">
        <f>+H46*(1+$AP$12)</f>
        <v>16882632.150000002</v>
      </c>
      <c r="J46" s="321">
        <f>+I46*(1+$AQ$12)</f>
        <v>17389111.1145</v>
      </c>
      <c r="K46" s="321">
        <f aca="true" t="shared" si="34" ref="K46:O47">+I46*(1+$AR$12)</f>
        <v>17389111.1145</v>
      </c>
      <c r="L46" s="321">
        <f t="shared" si="34"/>
        <v>17910784.447935</v>
      </c>
      <c r="M46" s="321">
        <f t="shared" si="34"/>
        <v>17910784.447935</v>
      </c>
      <c r="N46" s="321">
        <f t="shared" si="34"/>
        <v>18448107.98137305</v>
      </c>
      <c r="O46" s="321">
        <f t="shared" si="34"/>
        <v>18448107.98137305</v>
      </c>
      <c r="P46" s="321">
        <f>SUM(D46:O46)</f>
        <v>200800052.23761606</v>
      </c>
      <c r="Q46" s="1008"/>
      <c r="T46" s="1006"/>
      <c r="U46" s="1006"/>
      <c r="V46" s="1006"/>
      <c r="AE46" s="1004"/>
      <c r="AF46" s="1027">
        <v>0</v>
      </c>
      <c r="AG46" s="1027">
        <v>0</v>
      </c>
      <c r="AH46" s="1024">
        <v>0</v>
      </c>
      <c r="AI46" s="1024">
        <v>0</v>
      </c>
      <c r="AJ46" s="1024">
        <v>0</v>
      </c>
      <c r="AK46" s="1024">
        <v>0</v>
      </c>
      <c r="AL46" s="1024">
        <v>0</v>
      </c>
      <c r="AM46" s="1024">
        <v>0</v>
      </c>
      <c r="AN46" s="996">
        <v>0</v>
      </c>
      <c r="AO46" s="996">
        <v>0</v>
      </c>
      <c r="AP46" s="996">
        <v>0</v>
      </c>
    </row>
    <row r="47" spans="1:42" ht="15">
      <c r="A47" s="990" t="s">
        <v>70</v>
      </c>
      <c r="B47" s="991" t="s">
        <v>69</v>
      </c>
      <c r="C47" s="492">
        <f>+'INGRESOS PROYECTADOS MARCO FISC'!E54</f>
        <v>6895850</v>
      </c>
      <c r="D47" s="321">
        <f>+'INGRESOS 2014'!G54</f>
        <v>11629160</v>
      </c>
      <c r="E47" s="321">
        <f>+'INGRESOS 2014'!H54</f>
        <v>15000000</v>
      </c>
      <c r="F47" s="321">
        <f>+E47*(1+$AM$12)</f>
        <v>15450000</v>
      </c>
      <c r="G47" s="321">
        <f>+F47*(1+$AN$12)</f>
        <v>15913500</v>
      </c>
      <c r="H47" s="321">
        <f>+G47*(1+$AO$12)</f>
        <v>16390905</v>
      </c>
      <c r="I47" s="321">
        <f>+H47*(1+$AP$12)</f>
        <v>16882632.150000002</v>
      </c>
      <c r="J47" s="321">
        <f>+I47*(1+$AQ$12)</f>
        <v>17389111.1145</v>
      </c>
      <c r="K47" s="321">
        <f t="shared" si="34"/>
        <v>17389111.1145</v>
      </c>
      <c r="L47" s="321">
        <f t="shared" si="34"/>
        <v>17910784.447935</v>
      </c>
      <c r="M47" s="321">
        <f t="shared" si="34"/>
        <v>17910784.447935</v>
      </c>
      <c r="N47" s="321">
        <f t="shared" si="34"/>
        <v>18448107.98137305</v>
      </c>
      <c r="O47" s="321">
        <f t="shared" si="34"/>
        <v>18448107.98137305</v>
      </c>
      <c r="P47" s="321">
        <f aca="true" t="shared" si="35" ref="P47:P53">SUM(D47:O47)</f>
        <v>198762204.23761606</v>
      </c>
      <c r="Q47" s="1008"/>
      <c r="R47" s="1008">
        <f>+E46</f>
        <v>15000000</v>
      </c>
      <c r="S47" s="1008">
        <f>+E46-R47</f>
        <v>0</v>
      </c>
      <c r="T47" s="1006"/>
      <c r="U47" s="1006"/>
      <c r="V47" s="1006"/>
      <c r="AE47" s="1004"/>
      <c r="AF47" s="1027">
        <v>0</v>
      </c>
      <c r="AG47" s="1027">
        <v>0</v>
      </c>
      <c r="AH47" s="1024">
        <v>0</v>
      </c>
      <c r="AI47" s="1024">
        <v>0</v>
      </c>
      <c r="AJ47" s="1024">
        <v>0</v>
      </c>
      <c r="AK47" s="1024">
        <v>0</v>
      </c>
      <c r="AL47" s="1024">
        <v>0</v>
      </c>
      <c r="AM47" s="1024">
        <v>0</v>
      </c>
      <c r="AN47" s="996">
        <v>0</v>
      </c>
      <c r="AO47" s="996">
        <v>0</v>
      </c>
      <c r="AP47" s="996">
        <v>0</v>
      </c>
    </row>
    <row r="48" spans="1:42" ht="15">
      <c r="A48" s="262" t="s">
        <v>65</v>
      </c>
      <c r="B48" s="270" t="s">
        <v>59</v>
      </c>
      <c r="C48" s="493">
        <f aca="true" t="shared" si="36" ref="C48:L48">SUM(C49:C51)</f>
        <v>3713150</v>
      </c>
      <c r="D48" s="301">
        <f t="shared" si="36"/>
        <v>14426470</v>
      </c>
      <c r="E48" s="301">
        <f t="shared" si="36"/>
        <v>10797000</v>
      </c>
      <c r="F48" s="301">
        <f t="shared" si="36"/>
        <v>11120910</v>
      </c>
      <c r="G48" s="301">
        <f t="shared" si="36"/>
        <v>11454537.3</v>
      </c>
      <c r="H48" s="301">
        <f t="shared" si="36"/>
        <v>11798173.419</v>
      </c>
      <c r="I48" s="301">
        <f t="shared" si="36"/>
        <v>12152118.62157</v>
      </c>
      <c r="J48" s="301">
        <f t="shared" si="36"/>
        <v>12516682.1802171</v>
      </c>
      <c r="K48" s="301">
        <f t="shared" si="36"/>
        <v>12516682.1802171</v>
      </c>
      <c r="L48" s="301">
        <f t="shared" si="36"/>
        <v>12892182.645623613</v>
      </c>
      <c r="M48" s="301">
        <f>SUM(M49:M51)</f>
        <v>12892182.645623613</v>
      </c>
      <c r="N48" s="301">
        <f>SUM(N49:N51)</f>
        <v>13278948.124992322</v>
      </c>
      <c r="O48" s="301">
        <f>SUM(O49:O51)</f>
        <v>13278948.124992322</v>
      </c>
      <c r="P48" s="321">
        <f t="shared" si="35"/>
        <v>149124835.24223605</v>
      </c>
      <c r="Q48" s="1008"/>
      <c r="S48" s="1008" t="e">
        <f>+#REF!-R48</f>
        <v>#REF!</v>
      </c>
      <c r="T48" s="1006"/>
      <c r="U48" s="1006"/>
      <c r="V48" s="1006"/>
      <c r="AE48" s="1004"/>
      <c r="AF48" s="1027"/>
      <c r="AG48" s="1027"/>
      <c r="AH48" s="1024"/>
      <c r="AI48" s="1024"/>
      <c r="AJ48" s="1024"/>
      <c r="AK48" s="1024"/>
      <c r="AL48" s="1024"/>
      <c r="AM48" s="1024"/>
      <c r="AN48" s="996"/>
      <c r="AO48" s="996"/>
      <c r="AP48" s="996"/>
    </row>
    <row r="49" spans="1:42" ht="15">
      <c r="A49" s="990" t="s">
        <v>64</v>
      </c>
      <c r="B49" s="991" t="s">
        <v>63</v>
      </c>
      <c r="C49" s="492">
        <f>+'INGRESOS PROYECTADOS MARCO FISC'!E60</f>
        <v>1060900</v>
      </c>
      <c r="D49" s="321">
        <f>+'INGRESOS 2014'!G59</f>
        <v>1940000</v>
      </c>
      <c r="E49" s="321">
        <f>+'INGRESOS 2014'!H59</f>
        <v>1527000</v>
      </c>
      <c r="F49" s="321">
        <f>+E49*(1+$AM$12)</f>
        <v>1572810</v>
      </c>
      <c r="G49" s="321">
        <f>+F49*(1+$AN$12)</f>
        <v>1619994.3</v>
      </c>
      <c r="H49" s="321">
        <f>+G49*(1+$AO$12)</f>
        <v>1668594.1290000002</v>
      </c>
      <c r="I49" s="321">
        <f>+H49*(1+$AP$12)</f>
        <v>1718651.9528700002</v>
      </c>
      <c r="J49" s="321">
        <f>+I49*(1+$AQ$12)</f>
        <v>1770211.5114561003</v>
      </c>
      <c r="K49" s="321">
        <f aca="true" t="shared" si="37" ref="K49:O51">+I49*(1+$AR$12)</f>
        <v>1770211.5114561003</v>
      </c>
      <c r="L49" s="321">
        <f t="shared" si="37"/>
        <v>1823317.8567997834</v>
      </c>
      <c r="M49" s="321">
        <f t="shared" si="37"/>
        <v>1823317.8567997834</v>
      </c>
      <c r="N49" s="321">
        <f t="shared" si="37"/>
        <v>1878017.392503777</v>
      </c>
      <c r="O49" s="321">
        <f t="shared" si="37"/>
        <v>1878017.392503777</v>
      </c>
      <c r="P49" s="321">
        <f t="shared" si="35"/>
        <v>20990143.90338932</v>
      </c>
      <c r="Q49" s="1008"/>
      <c r="T49" s="1006"/>
      <c r="U49" s="1006"/>
      <c r="V49" s="1006"/>
      <c r="AE49" s="1004"/>
      <c r="AF49" s="1027"/>
      <c r="AG49" s="1027"/>
      <c r="AH49" s="1024"/>
      <c r="AI49" s="1024"/>
      <c r="AJ49" s="1024"/>
      <c r="AK49" s="1024"/>
      <c r="AL49" s="1024"/>
      <c r="AM49" s="1024"/>
      <c r="AN49" s="996"/>
      <c r="AO49" s="996"/>
      <c r="AP49" s="996"/>
    </row>
    <row r="50" spans="1:42" ht="15">
      <c r="A50" s="990" t="s">
        <v>62</v>
      </c>
      <c r="B50" s="991" t="s">
        <v>61</v>
      </c>
      <c r="C50" s="492">
        <f>+'INGRESOS PROYECTADOS MARCO FISC'!E61</f>
        <v>2121800</v>
      </c>
      <c r="D50" s="321">
        <f>+'INGRESOS 2014'!G60</f>
        <v>5303462</v>
      </c>
      <c r="E50" s="321">
        <f>+'INGRESOS 2014'!H60</f>
        <v>6677000</v>
      </c>
      <c r="F50" s="321">
        <f>+E50*(1+$AM$12)</f>
        <v>6877310</v>
      </c>
      <c r="G50" s="321">
        <f>+F50*(1+$AN$12)</f>
        <v>7083629.3</v>
      </c>
      <c r="H50" s="321">
        <f>+G50*(1+$AO$12)</f>
        <v>7296138.179</v>
      </c>
      <c r="I50" s="321">
        <f>+H50*(1+$AP$12)</f>
        <v>7515022.32437</v>
      </c>
      <c r="J50" s="321">
        <f>+I50*(1+$AQ$12)</f>
        <v>7740472.9941011</v>
      </c>
      <c r="K50" s="321">
        <f t="shared" si="37"/>
        <v>7740472.9941011</v>
      </c>
      <c r="L50" s="321">
        <f t="shared" si="37"/>
        <v>7972687.183924133</v>
      </c>
      <c r="M50" s="321">
        <f t="shared" si="37"/>
        <v>7972687.183924133</v>
      </c>
      <c r="N50" s="321">
        <f t="shared" si="37"/>
        <v>8211867.799441857</v>
      </c>
      <c r="O50" s="321">
        <f t="shared" si="37"/>
        <v>8211867.799441857</v>
      </c>
      <c r="P50" s="321">
        <f t="shared" si="35"/>
        <v>88602617.75830418</v>
      </c>
      <c r="Q50" s="1008"/>
      <c r="R50" s="1008">
        <f>+E49</f>
        <v>1527000</v>
      </c>
      <c r="S50" s="1008">
        <f>+E49-R50</f>
        <v>0</v>
      </c>
      <c r="T50" s="1006"/>
      <c r="U50" s="1006"/>
      <c r="V50" s="1006"/>
      <c r="AE50" s="1004"/>
      <c r="AF50" s="1027"/>
      <c r="AG50" s="1027"/>
      <c r="AH50" s="1024"/>
      <c r="AI50" s="1024"/>
      <c r="AJ50" s="1024"/>
      <c r="AK50" s="1024"/>
      <c r="AL50" s="1024"/>
      <c r="AM50" s="1024"/>
      <c r="AN50" s="996"/>
      <c r="AO50" s="996"/>
      <c r="AP50" s="996"/>
    </row>
    <row r="51" spans="1:42" ht="15">
      <c r="A51" s="990" t="s">
        <v>60</v>
      </c>
      <c r="B51" s="991" t="s">
        <v>59</v>
      </c>
      <c r="C51" s="492">
        <f>+'INGRESOS PROYECTADOS MARCO FISC'!E62</f>
        <v>530450</v>
      </c>
      <c r="D51" s="321">
        <f>+'INGRESOS 2014'!G61</f>
        <v>7183008</v>
      </c>
      <c r="E51" s="321">
        <f>+'INGRESOS 2014'!H61</f>
        <v>2593000</v>
      </c>
      <c r="F51" s="321">
        <f>+E51*(1+$AM$12)</f>
        <v>2670790</v>
      </c>
      <c r="G51" s="321">
        <f>+F51*(1+$AN$12)</f>
        <v>2750913.7</v>
      </c>
      <c r="H51" s="321">
        <f>+G51*(1+$AO$12)</f>
        <v>2833441.111</v>
      </c>
      <c r="I51" s="321">
        <f>+H51*(1+$AP$12)</f>
        <v>2918444.34433</v>
      </c>
      <c r="J51" s="321">
        <f>+I51*(1+$AQ$12)</f>
        <v>3005997.6746599004</v>
      </c>
      <c r="K51" s="321">
        <f t="shared" si="37"/>
        <v>3005997.6746599004</v>
      </c>
      <c r="L51" s="321">
        <f t="shared" si="37"/>
        <v>3096177.6048996975</v>
      </c>
      <c r="M51" s="321">
        <f t="shared" si="37"/>
        <v>3096177.6048996975</v>
      </c>
      <c r="N51" s="321">
        <f t="shared" si="37"/>
        <v>3189062.9330466883</v>
      </c>
      <c r="O51" s="321">
        <f t="shared" si="37"/>
        <v>3189062.9330466883</v>
      </c>
      <c r="P51" s="321">
        <f t="shared" si="35"/>
        <v>39532073.58054258</v>
      </c>
      <c r="Q51" s="1008"/>
      <c r="R51" s="1008">
        <f>+E50</f>
        <v>6677000</v>
      </c>
      <c r="S51" s="1008">
        <f>+E50-R51</f>
        <v>0</v>
      </c>
      <c r="T51" s="1006"/>
      <c r="U51" s="1006"/>
      <c r="V51" s="1006"/>
      <c r="AE51" s="1004"/>
      <c r="AF51" s="1027">
        <v>0</v>
      </c>
      <c r="AG51" s="1027">
        <v>0</v>
      </c>
      <c r="AH51" s="1024">
        <v>0</v>
      </c>
      <c r="AI51" s="1024">
        <v>0</v>
      </c>
      <c r="AJ51" s="1024">
        <v>0</v>
      </c>
      <c r="AK51" s="1024">
        <v>0</v>
      </c>
      <c r="AL51" s="1024">
        <v>0</v>
      </c>
      <c r="AM51" s="1024">
        <v>0</v>
      </c>
      <c r="AN51" s="996">
        <v>0</v>
      </c>
      <c r="AO51" s="996">
        <v>0</v>
      </c>
      <c r="AP51" s="996">
        <v>0</v>
      </c>
    </row>
    <row r="52" spans="1:42" ht="30">
      <c r="A52" s="262" t="s">
        <v>58</v>
      </c>
      <c r="B52" s="260" t="s">
        <v>57</v>
      </c>
      <c r="C52" s="493">
        <f aca="true" t="shared" si="38" ref="C52:O52">SUM(C53)</f>
        <v>1554155797</v>
      </c>
      <c r="D52" s="301">
        <f t="shared" si="38"/>
        <v>1600780471</v>
      </c>
      <c r="E52" s="301">
        <f t="shared" si="38"/>
        <v>1524413636</v>
      </c>
      <c r="F52" s="301">
        <f t="shared" si="38"/>
        <v>1570146045.08</v>
      </c>
      <c r="G52" s="301">
        <f t="shared" si="38"/>
        <v>1617250426.4324</v>
      </c>
      <c r="H52" s="301">
        <f t="shared" si="38"/>
        <v>1665767939.225372</v>
      </c>
      <c r="I52" s="301">
        <f t="shared" si="38"/>
        <v>1715740977.4021332</v>
      </c>
      <c r="J52" s="301">
        <f t="shared" si="38"/>
        <v>1767213206.7241974</v>
      </c>
      <c r="K52" s="301">
        <f t="shared" si="38"/>
        <v>1820229602.9259233</v>
      </c>
      <c r="L52" s="301">
        <f t="shared" si="38"/>
        <v>1874836491.0137012</v>
      </c>
      <c r="M52" s="301">
        <f t="shared" si="38"/>
        <v>1931081585.7441123</v>
      </c>
      <c r="N52" s="301">
        <f t="shared" si="38"/>
        <v>1989014033.3164356</v>
      </c>
      <c r="O52" s="301">
        <f t="shared" si="38"/>
        <v>2048684454.3159287</v>
      </c>
      <c r="P52" s="321">
        <f t="shared" si="35"/>
        <v>21125158869.180206</v>
      </c>
      <c r="Q52" s="1008"/>
      <c r="R52" s="1008">
        <f>+E51</f>
        <v>2593000</v>
      </c>
      <c r="S52" s="1008">
        <f>+E51-R52</f>
        <v>0</v>
      </c>
      <c r="T52" s="1006"/>
      <c r="U52" s="1006"/>
      <c r="V52" s="1006"/>
      <c r="AE52" s="1004"/>
      <c r="AF52" s="1027">
        <v>0</v>
      </c>
      <c r="AG52" s="1027">
        <v>0</v>
      </c>
      <c r="AH52" s="1024">
        <v>0</v>
      </c>
      <c r="AI52" s="1024">
        <v>0</v>
      </c>
      <c r="AJ52" s="1024">
        <v>0</v>
      </c>
      <c r="AK52" s="1024">
        <v>0</v>
      </c>
      <c r="AL52" s="1024">
        <v>0</v>
      </c>
      <c r="AM52" s="1024">
        <v>0</v>
      </c>
      <c r="AN52" s="996">
        <v>0</v>
      </c>
      <c r="AO52" s="996">
        <v>0</v>
      </c>
      <c r="AP52" s="996">
        <v>0</v>
      </c>
    </row>
    <row r="53" spans="1:42" ht="15">
      <c r="A53" s="990" t="s">
        <v>54</v>
      </c>
      <c r="B53" s="998" t="s">
        <v>53</v>
      </c>
      <c r="C53" s="492">
        <f>+'INGRESOS PROYECTADOS MARCO FISC'!E66</f>
        <v>1554155797</v>
      </c>
      <c r="D53" s="321">
        <f>+'INGRESOS 2014'!G65</f>
        <v>1600780471</v>
      </c>
      <c r="E53" s="321">
        <f>+'INGRESOS 2014'!H65</f>
        <v>1524413636</v>
      </c>
      <c r="F53" s="321">
        <f>+E53*(1+$AM$12)</f>
        <v>1570146045.08</v>
      </c>
      <c r="G53" s="321">
        <f>+F53*(1+$AN$12)</f>
        <v>1617250426.4324</v>
      </c>
      <c r="H53" s="321">
        <f>+G53*(1+$AO$12)</f>
        <v>1665767939.225372</v>
      </c>
      <c r="I53" s="321">
        <f>+H53*(1+$AP$12)</f>
        <v>1715740977.4021332</v>
      </c>
      <c r="J53" s="321">
        <f>+I53*(1+$AQ$12)</f>
        <v>1767213206.7241974</v>
      </c>
      <c r="K53" s="321">
        <f>+J53*(1+$AR$12)</f>
        <v>1820229602.9259233</v>
      </c>
      <c r="L53" s="321">
        <f>+K53*(1+$AR$12)</f>
        <v>1874836491.0137012</v>
      </c>
      <c r="M53" s="321">
        <f>+L53*(1+$AR$12)</f>
        <v>1931081585.7441123</v>
      </c>
      <c r="N53" s="321">
        <f>+M53*(1+$AR$12)</f>
        <v>1989014033.3164356</v>
      </c>
      <c r="O53" s="321">
        <f>+N53*(1+$AR$12)</f>
        <v>2048684454.3159287</v>
      </c>
      <c r="P53" s="321">
        <f t="shared" si="35"/>
        <v>21125158869.180206</v>
      </c>
      <c r="Q53" s="1008"/>
      <c r="S53" s="1008" t="e">
        <f>+#REF!-R53</f>
        <v>#REF!</v>
      </c>
      <c r="T53" s="1006"/>
      <c r="U53" s="1006"/>
      <c r="V53" s="1006"/>
      <c r="AE53" s="1004"/>
      <c r="AF53" s="1027"/>
      <c r="AG53" s="1027"/>
      <c r="AH53" s="1024"/>
      <c r="AI53" s="1024"/>
      <c r="AJ53" s="1024"/>
      <c r="AK53" s="1024"/>
      <c r="AL53" s="1024"/>
      <c r="AM53" s="1024"/>
      <c r="AN53" s="996"/>
      <c r="AO53" s="996"/>
      <c r="AP53" s="996"/>
    </row>
    <row r="54" spans="1:55" s="244" customFormat="1" ht="15">
      <c r="A54" s="983" t="s">
        <v>378</v>
      </c>
      <c r="B54" s="1000"/>
      <c r="C54" s="299"/>
      <c r="D54" s="349"/>
      <c r="E54" s="349"/>
      <c r="F54" s="349"/>
      <c r="G54" s="349"/>
      <c r="H54" s="349"/>
      <c r="I54" s="349"/>
      <c r="J54" s="349"/>
      <c r="K54" s="349"/>
      <c r="L54" s="349"/>
      <c r="M54" s="349"/>
      <c r="N54" s="349"/>
      <c r="O54" s="349"/>
      <c r="P54" s="349"/>
      <c r="Q54" s="349"/>
      <c r="R54" s="1008"/>
      <c r="S54" s="1008"/>
      <c r="T54" s="1008"/>
      <c r="U54" s="1008"/>
      <c r="V54" s="1008"/>
      <c r="W54" s="1006"/>
      <c r="X54" s="1006"/>
      <c r="Y54" s="1006"/>
      <c r="Z54" s="1006"/>
      <c r="AA54" s="1006"/>
      <c r="AB54" s="1006"/>
      <c r="AC54" s="1006"/>
      <c r="AD54" s="1006"/>
      <c r="AE54" s="1028"/>
      <c r="AF54" s="1029"/>
      <c r="AG54" s="1029"/>
      <c r="AH54" s="1029"/>
      <c r="AI54" s="1029"/>
      <c r="AJ54" s="1029"/>
      <c r="AK54" s="1029"/>
      <c r="AL54" s="1029"/>
      <c r="AM54" s="1029"/>
      <c r="AN54" s="999"/>
      <c r="AO54" s="999"/>
      <c r="AP54" s="999"/>
      <c r="AQ54" s="298"/>
      <c r="AR54" s="298"/>
      <c r="AS54" s="349"/>
      <c r="AT54" s="349"/>
      <c r="AU54" s="349"/>
      <c r="AV54" s="349"/>
      <c r="AW54" s="349"/>
      <c r="AX54" s="349"/>
      <c r="AY54" s="349"/>
      <c r="AZ54" s="349"/>
      <c r="BA54" s="349"/>
      <c r="BB54" s="349"/>
      <c r="BC54" s="349"/>
    </row>
    <row r="55" spans="2:4" ht="15">
      <c r="B55" s="1031"/>
      <c r="D55" s="252"/>
    </row>
    <row r="57" spans="2:7" ht="15.75" thickBot="1">
      <c r="B57" s="1001"/>
      <c r="E57" s="1002"/>
      <c r="F57" s="1002"/>
      <c r="G57" s="1002"/>
    </row>
    <row r="58" spans="2:5" ht="15">
      <c r="B58" s="988" t="s">
        <v>1600</v>
      </c>
      <c r="E58" s="245" t="s">
        <v>1599</v>
      </c>
    </row>
    <row r="59" spans="2:5" ht="15">
      <c r="B59" s="1000" t="s">
        <v>1602</v>
      </c>
      <c r="E59" s="349" t="s">
        <v>1601</v>
      </c>
    </row>
    <row r="63" ht="15">
      <c r="B63" s="988"/>
    </row>
  </sheetData>
  <sheetProtection/>
  <mergeCells count="5">
    <mergeCell ref="A4:P4"/>
    <mergeCell ref="A1:P1"/>
    <mergeCell ref="A6:A8"/>
    <mergeCell ref="A2:P2"/>
    <mergeCell ref="A3:P3"/>
  </mergeCells>
  <printOptions/>
  <pageMargins left="0.45" right="0.45" top="2" bottom="1.75" header="0.3" footer="0.3"/>
  <pageSetup horizontalDpi="300" verticalDpi="300" orientation="landscape" paperSize="5" scale="60"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A2:AG72"/>
  <sheetViews>
    <sheetView zoomScalePageLayoutView="0" workbookViewId="0" topLeftCell="A1">
      <pane ySplit="8" topLeftCell="A30" activePane="bottomLeft" state="frozen"/>
      <selection pane="topLeft" activeCell="A1" sqref="A1"/>
      <selection pane="bottomLeft" activeCell="G8" sqref="G8"/>
    </sheetView>
  </sheetViews>
  <sheetFormatPr defaultColWidth="11.421875" defaultRowHeight="15"/>
  <cols>
    <col min="1" max="1" width="23.00390625" style="1" customWidth="1"/>
    <col min="2" max="2" width="14.00390625" style="1" hidden="1" customWidth="1"/>
    <col min="3" max="3" width="17.57421875" style="1" hidden="1" customWidth="1"/>
    <col min="4" max="4" width="16.140625" style="1" hidden="1" customWidth="1"/>
    <col min="5" max="5" width="16.57421875" style="1" hidden="1" customWidth="1"/>
    <col min="6" max="6" width="15.57421875" style="1" hidden="1" customWidth="1"/>
    <col min="7" max="7" width="17.7109375" style="1039" customWidth="1"/>
    <col min="8" max="9" width="17.57421875" style="1" customWidth="1"/>
    <col min="10" max="10" width="16.8515625" style="1" customWidth="1"/>
    <col min="11" max="11" width="16.57421875" style="1" customWidth="1"/>
    <col min="12" max="12" width="20.00390625" style="1" customWidth="1"/>
    <col min="13" max="13" width="18.8515625" style="1" customWidth="1"/>
    <col min="14" max="14" width="17.8515625" style="1" customWidth="1"/>
    <col min="15" max="15" width="18.57421875" style="1" customWidth="1"/>
    <col min="16" max="17" width="18.28125" style="1" customWidth="1"/>
    <col min="18" max="18" width="18.140625" style="1" customWidth="1"/>
    <col min="19" max="19" width="18.8515625" style="1" hidden="1" customWidth="1"/>
    <col min="20" max="20" width="10.140625" style="1" hidden="1" customWidth="1"/>
    <col min="21" max="23" width="6.7109375" style="1" hidden="1" customWidth="1"/>
    <col min="24" max="26" width="6.28125" style="1" hidden="1" customWidth="1"/>
    <col min="27" max="27" width="6.421875" style="1" hidden="1" customWidth="1"/>
    <col min="28" max="28" width="5.421875" style="1" hidden="1" customWidth="1"/>
    <col min="29" max="31" width="5.28125" style="1" hidden="1" customWidth="1"/>
    <col min="32" max="35" width="0" style="1" hidden="1" customWidth="1"/>
    <col min="36" max="16384" width="11.421875" style="1" customWidth="1"/>
  </cols>
  <sheetData>
    <row r="2" spans="1:30" ht="20.25">
      <c r="A2" s="1195" t="s">
        <v>256</v>
      </c>
      <c r="B2" s="1195"/>
      <c r="C2" s="1195"/>
      <c r="D2" s="1195"/>
      <c r="E2" s="1195"/>
      <c r="F2" s="1195"/>
      <c r="G2" s="1195"/>
      <c r="H2" s="1195"/>
      <c r="I2" s="1195"/>
      <c r="J2" s="1195"/>
      <c r="K2" s="1195"/>
      <c r="L2" s="1195"/>
      <c r="M2" s="1195"/>
      <c r="N2" s="1195"/>
      <c r="O2" s="558"/>
      <c r="P2" s="558"/>
      <c r="Q2" s="558"/>
      <c r="R2" s="558"/>
      <c r="S2" s="553"/>
      <c r="T2" s="563"/>
      <c r="U2" s="563"/>
      <c r="V2" s="563"/>
      <c r="W2" s="563"/>
      <c r="X2" s="563"/>
      <c r="Y2" s="563"/>
      <c r="Z2" s="563"/>
      <c r="AA2" s="563"/>
      <c r="AB2" s="563"/>
      <c r="AC2" s="563"/>
      <c r="AD2" s="563"/>
    </row>
    <row r="3" spans="1:30" ht="20.25">
      <c r="A3" s="1195" t="s">
        <v>396</v>
      </c>
      <c r="B3" s="1195"/>
      <c r="C3" s="1195"/>
      <c r="D3" s="1195"/>
      <c r="E3" s="1195"/>
      <c r="F3" s="1195"/>
      <c r="G3" s="1195"/>
      <c r="H3" s="1195"/>
      <c r="I3" s="1195"/>
      <c r="J3" s="1195"/>
      <c r="K3" s="1195"/>
      <c r="L3" s="1195"/>
      <c r="M3" s="1195"/>
      <c r="N3" s="1195"/>
      <c r="O3" s="558"/>
      <c r="P3" s="558"/>
      <c r="Q3" s="558"/>
      <c r="R3" s="558"/>
      <c r="S3" s="553"/>
      <c r="T3" s="563"/>
      <c r="U3" s="563"/>
      <c r="V3" s="563"/>
      <c r="W3" s="563"/>
      <c r="X3" s="563"/>
      <c r="Y3" s="563"/>
      <c r="Z3" s="563"/>
      <c r="AA3" s="563"/>
      <c r="AB3" s="563"/>
      <c r="AC3" s="563"/>
      <c r="AD3" s="563"/>
    </row>
    <row r="4" spans="1:31" ht="25.5" customHeight="1">
      <c r="A4" s="1202" t="s">
        <v>1753</v>
      </c>
      <c r="B4" s="1202"/>
      <c r="C4" s="1202"/>
      <c r="D4" s="1202"/>
      <c r="E4" s="1202"/>
      <c r="F4" s="1202"/>
      <c r="G4" s="1202"/>
      <c r="H4" s="1202"/>
      <c r="I4" s="1202"/>
      <c r="J4" s="1202"/>
      <c r="K4" s="1202"/>
      <c r="L4" s="1202"/>
      <c r="M4" s="1202"/>
      <c r="N4" s="1202"/>
      <c r="O4" s="577"/>
      <c r="P4" s="577"/>
      <c r="Q4" s="577"/>
      <c r="R4" s="577"/>
      <c r="S4" s="577"/>
      <c r="T4" s="577"/>
      <c r="U4" s="577"/>
      <c r="V4" s="577"/>
      <c r="W4" s="577"/>
      <c r="X4" s="577"/>
      <c r="Y4" s="577"/>
      <c r="Z4" s="577"/>
      <c r="AA4" s="577"/>
      <c r="AB4" s="577"/>
      <c r="AC4" s="577"/>
      <c r="AD4" s="577"/>
      <c r="AE4" s="18"/>
    </row>
    <row r="5" spans="1:31" ht="12.75" customHeight="1" thickBot="1">
      <c r="A5" s="578"/>
      <c r="B5" s="578"/>
      <c r="C5" s="578"/>
      <c r="D5" s="578"/>
      <c r="E5" s="578"/>
      <c r="F5" s="578"/>
      <c r="G5" s="1038"/>
      <c r="H5" s="578"/>
      <c r="I5" s="578"/>
      <c r="J5" s="578"/>
      <c r="K5" s="578"/>
      <c r="L5" s="578"/>
      <c r="M5" s="578"/>
      <c r="N5" s="578"/>
      <c r="O5" s="578"/>
      <c r="P5" s="578"/>
      <c r="Q5" s="578"/>
      <c r="R5" s="578"/>
      <c r="S5" s="578"/>
      <c r="T5" s="578"/>
      <c r="U5" s="578"/>
      <c r="V5" s="578"/>
      <c r="W5" s="578"/>
      <c r="X5" s="578"/>
      <c r="Y5" s="578"/>
      <c r="Z5" s="578"/>
      <c r="AA5" s="578"/>
      <c r="AB5" s="578"/>
      <c r="AC5" s="578"/>
      <c r="AD5" s="578"/>
      <c r="AE5" s="19"/>
    </row>
    <row r="6" spans="1:33" ht="12.75">
      <c r="A6" s="1200" t="s">
        <v>259</v>
      </c>
      <c r="B6" s="1203" t="s">
        <v>260</v>
      </c>
      <c r="C6" s="1193">
        <f>+(B6+1)</f>
        <v>2010</v>
      </c>
      <c r="D6" s="1193">
        <f aca="true" t="shared" si="0" ref="D6:L6">+(C6+1)</f>
        <v>2011</v>
      </c>
      <c r="E6" s="1193">
        <f t="shared" si="0"/>
        <v>2012</v>
      </c>
      <c r="F6" s="1193">
        <f>+(E6+1)</f>
        <v>2013</v>
      </c>
      <c r="G6" s="1198">
        <f t="shared" si="0"/>
        <v>2014</v>
      </c>
      <c r="H6" s="1193">
        <f t="shared" si="0"/>
        <v>2015</v>
      </c>
      <c r="I6" s="1193">
        <f t="shared" si="0"/>
        <v>2016</v>
      </c>
      <c r="J6" s="1193">
        <f t="shared" si="0"/>
        <v>2017</v>
      </c>
      <c r="K6" s="1193">
        <f t="shared" si="0"/>
        <v>2018</v>
      </c>
      <c r="L6" s="1193">
        <f t="shared" si="0"/>
        <v>2019</v>
      </c>
      <c r="M6" s="1193">
        <f>+(L6+1)</f>
        <v>2020</v>
      </c>
      <c r="N6" s="1193">
        <f>+(M6+1)</f>
        <v>2021</v>
      </c>
      <c r="O6" s="1193">
        <f>+(N6+1)</f>
        <v>2022</v>
      </c>
      <c r="P6" s="1193">
        <f>+(O6+1)</f>
        <v>2023</v>
      </c>
      <c r="Q6" s="1193">
        <f>+(P6+1)</f>
        <v>2024</v>
      </c>
      <c r="R6" s="1196" t="s">
        <v>252</v>
      </c>
      <c r="S6" s="35"/>
      <c r="T6" s="21"/>
      <c r="U6" s="22">
        <v>2008</v>
      </c>
      <c r="V6" s="22">
        <f>+U6+1</f>
        <v>2009</v>
      </c>
      <c r="W6" s="27">
        <v>2009</v>
      </c>
      <c r="X6" s="27">
        <v>2010</v>
      </c>
      <c r="Y6" s="27">
        <v>2011</v>
      </c>
      <c r="Z6" s="27">
        <v>2012</v>
      </c>
      <c r="AA6" s="27">
        <v>2013</v>
      </c>
      <c r="AB6" s="27">
        <v>2014</v>
      </c>
      <c r="AC6" s="27">
        <v>2015</v>
      </c>
      <c r="AD6" s="27">
        <v>2016</v>
      </c>
      <c r="AE6" s="27">
        <v>2017</v>
      </c>
      <c r="AF6" s="27">
        <v>2018</v>
      </c>
      <c r="AG6" s="27">
        <v>2019</v>
      </c>
    </row>
    <row r="7" spans="1:33" ht="13.5" thickBot="1">
      <c r="A7" s="1201"/>
      <c r="B7" s="1204"/>
      <c r="C7" s="1194"/>
      <c r="D7" s="1194"/>
      <c r="E7" s="1194"/>
      <c r="F7" s="1194"/>
      <c r="G7" s="1199"/>
      <c r="H7" s="1194"/>
      <c r="I7" s="1194"/>
      <c r="J7" s="1194"/>
      <c r="K7" s="1194"/>
      <c r="L7" s="1194"/>
      <c r="M7" s="1194"/>
      <c r="N7" s="1194"/>
      <c r="O7" s="1194"/>
      <c r="P7" s="1194"/>
      <c r="Q7" s="1194"/>
      <c r="R7" s="1197"/>
      <c r="S7" s="35"/>
      <c r="T7" s="5" t="s">
        <v>272</v>
      </c>
      <c r="U7" s="23">
        <v>0.04</v>
      </c>
      <c r="V7" s="23">
        <v>0.035</v>
      </c>
      <c r="W7" s="24">
        <v>0.03</v>
      </c>
      <c r="X7" s="25">
        <v>0.03</v>
      </c>
      <c r="Y7" s="26">
        <v>0.03</v>
      </c>
      <c r="Z7" s="26">
        <v>0.03</v>
      </c>
      <c r="AA7" s="26">
        <v>0.03</v>
      </c>
      <c r="AB7" s="26">
        <v>0.03</v>
      </c>
      <c r="AC7" s="26">
        <v>0.03</v>
      </c>
      <c r="AD7" s="26">
        <v>0.03</v>
      </c>
      <c r="AE7" s="26">
        <v>0.03</v>
      </c>
      <c r="AF7" s="26">
        <v>0.03</v>
      </c>
      <c r="AG7" s="26">
        <v>0.03</v>
      </c>
    </row>
    <row r="8" spans="1:31" ht="38.25">
      <c r="A8" s="1050" t="s">
        <v>283</v>
      </c>
      <c r="B8" s="1051" t="e">
        <f>+B9+B22</f>
        <v>#REF!</v>
      </c>
      <c r="C8" s="1051" t="e">
        <f>+C9+C22</f>
        <v>#REF!</v>
      </c>
      <c r="D8" s="1052" t="e">
        <f>+D9+D22</f>
        <v>#REF!</v>
      </c>
      <c r="E8" s="1052">
        <f>+E9+E22</f>
        <v>14197929717</v>
      </c>
      <c r="F8" s="1052">
        <f>+F9+F22</f>
        <v>14003245027</v>
      </c>
      <c r="G8" s="1052">
        <f>+(+G9+G22)-(+'ICLD 2014'!E8*3%)</f>
        <v>15871917222.2</v>
      </c>
      <c r="H8" s="1052">
        <f>+(+H9+H22)-(+'ICLD 2014'!F8*3%)</f>
        <v>16348074738.866</v>
      </c>
      <c r="I8" s="1052">
        <f>+(+I9+I22)-(+'ICLD 2014'!G8*3%)</f>
        <v>16838516981.03198</v>
      </c>
      <c r="J8" s="1052">
        <f>+(+J9+J22)-(+'ICLD 2014'!H8*3%)</f>
        <v>17343672490.46294</v>
      </c>
      <c r="K8" s="1052">
        <f>+(+K9+K22)-(+'ICLD 2014'!I8*3%)</f>
        <v>17863982665.17683</v>
      </c>
      <c r="L8" s="1052">
        <f>+(+L9+L22)-(+'ICLD 2014'!J8*3%)</f>
        <v>18399902145.13213</v>
      </c>
      <c r="M8" s="1052">
        <f>+(+M9+M22)-(+'ICLD 2014'!K8*3%)</f>
        <v>18451328049.447803</v>
      </c>
      <c r="N8" s="1052">
        <f>+(+N9+N22)-(+'ICLD 2014'!L8*3%)</f>
        <v>19004867890.931244</v>
      </c>
      <c r="O8" s="1052">
        <f>+(+O9+O22)-(+'ICLD 2014'!M8*3%)</f>
        <v>19059425632.819744</v>
      </c>
      <c r="P8" s="1052">
        <f>+(+P9+P22)-(+'ICLD 2014'!N8*3%)</f>
        <v>19631208401.804337</v>
      </c>
      <c r="Q8" s="1052"/>
      <c r="R8" s="1052">
        <f aca="true" t="shared" si="1" ref="R8:R41">SUM(E8:P8)</f>
        <v>207014070961.873</v>
      </c>
      <c r="S8" s="36"/>
      <c r="W8" s="27"/>
      <c r="X8" s="27"/>
      <c r="Y8" s="27"/>
      <c r="Z8" s="27"/>
      <c r="AA8" s="27"/>
      <c r="AB8" s="27"/>
      <c r="AC8" s="27"/>
      <c r="AD8" s="27"/>
      <c r="AE8" s="27"/>
    </row>
    <row r="9" spans="1:33" ht="25.5">
      <c r="A9" s="1053" t="s">
        <v>274</v>
      </c>
      <c r="B9" s="1054" t="e">
        <f aca="true" t="shared" si="2" ref="B9:N9">+B10+B12</f>
        <v>#REF!</v>
      </c>
      <c r="C9" s="1055" t="e">
        <f t="shared" si="2"/>
        <v>#REF!</v>
      </c>
      <c r="D9" s="1055" t="e">
        <f t="shared" si="2"/>
        <v>#REF!</v>
      </c>
      <c r="E9" s="1055">
        <f t="shared" si="2"/>
        <v>12544990940</v>
      </c>
      <c r="F9" s="1055">
        <f t="shared" si="2"/>
        <v>12261252779</v>
      </c>
      <c r="G9" s="1055">
        <f>+G10+G12</f>
        <v>14658406624</v>
      </c>
      <c r="H9" s="1055">
        <f>+H10+H12</f>
        <v>15098158822.72</v>
      </c>
      <c r="I9" s="1055">
        <f t="shared" si="2"/>
        <v>15551103587.4016</v>
      </c>
      <c r="J9" s="1055">
        <f t="shared" si="2"/>
        <v>16017636695.023647</v>
      </c>
      <c r="K9" s="1055">
        <f t="shared" si="2"/>
        <v>16498165795.874361</v>
      </c>
      <c r="L9" s="1055">
        <f t="shared" si="2"/>
        <v>16993110769.750587</v>
      </c>
      <c r="M9" s="1055">
        <f>+M10+M12</f>
        <v>16993110769.750587</v>
      </c>
      <c r="N9" s="1055">
        <f t="shared" si="2"/>
        <v>17502904092.84311</v>
      </c>
      <c r="O9" s="1055">
        <f>+O10+O12</f>
        <v>17502904092.84311</v>
      </c>
      <c r="P9" s="1055">
        <f>+P10+P12</f>
        <v>18027991215.628407</v>
      </c>
      <c r="Q9" s="1055"/>
      <c r="R9" s="1055">
        <f t="shared" si="1"/>
        <v>189649736184.83542</v>
      </c>
      <c r="S9" s="39"/>
      <c r="V9" s="26">
        <v>0.03</v>
      </c>
      <c r="W9" s="26">
        <v>0.03</v>
      </c>
      <c r="X9" s="26">
        <v>0.03</v>
      </c>
      <c r="Y9" s="26">
        <v>0.03</v>
      </c>
      <c r="Z9" s="26">
        <v>0.03</v>
      </c>
      <c r="AA9" s="26">
        <v>0.03</v>
      </c>
      <c r="AB9" s="26">
        <v>0.03</v>
      </c>
      <c r="AC9" s="26">
        <v>0.03</v>
      </c>
      <c r="AD9" s="26">
        <v>0.03</v>
      </c>
      <c r="AE9" s="26">
        <v>0.03</v>
      </c>
      <c r="AF9" s="26">
        <v>0.03</v>
      </c>
      <c r="AG9" s="26">
        <v>0.03</v>
      </c>
    </row>
    <row r="10" spans="1:33" ht="12.75">
      <c r="A10" s="37" t="s">
        <v>284</v>
      </c>
      <c r="B10" s="38" t="e">
        <f aca="true" t="shared" si="3" ref="B10:P10">SUM(B11:B11)</f>
        <v>#REF!</v>
      </c>
      <c r="C10" s="38" t="e">
        <f t="shared" si="3"/>
        <v>#REF!</v>
      </c>
      <c r="D10" s="38" t="e">
        <f t="shared" si="3"/>
        <v>#REF!</v>
      </c>
      <c r="E10" s="38">
        <f t="shared" si="3"/>
        <v>216506000</v>
      </c>
      <c r="F10" s="38">
        <f t="shared" si="3"/>
        <v>347450639</v>
      </c>
      <c r="G10" s="38">
        <f t="shared" si="3"/>
        <v>394533355</v>
      </c>
      <c r="H10" s="38">
        <f>SUM(H11:H11)</f>
        <v>406369355.65</v>
      </c>
      <c r="I10" s="38">
        <f t="shared" si="3"/>
        <v>418560436.3195</v>
      </c>
      <c r="J10" s="38">
        <f t="shared" si="3"/>
        <v>431117249.40908504</v>
      </c>
      <c r="K10" s="38">
        <f t="shared" si="3"/>
        <v>444050766.8913576</v>
      </c>
      <c r="L10" s="38">
        <f t="shared" si="3"/>
        <v>457372289.89809835</v>
      </c>
      <c r="M10" s="38">
        <f t="shared" si="3"/>
        <v>457372289.89809835</v>
      </c>
      <c r="N10" s="38">
        <f t="shared" si="3"/>
        <v>471093458.5950414</v>
      </c>
      <c r="O10" s="38">
        <f t="shared" si="3"/>
        <v>471093458.5950414</v>
      </c>
      <c r="P10" s="38">
        <f t="shared" si="3"/>
        <v>485226262.3528926</v>
      </c>
      <c r="Q10" s="38"/>
      <c r="R10" s="38">
        <f t="shared" si="1"/>
        <v>5000745561.609115</v>
      </c>
      <c r="S10" s="39"/>
      <c r="V10" s="26">
        <v>0.03</v>
      </c>
      <c r="W10" s="26">
        <v>0.03</v>
      </c>
      <c r="X10" s="26">
        <v>0.03</v>
      </c>
      <c r="Y10" s="26">
        <v>0.03</v>
      </c>
      <c r="Z10" s="26">
        <v>0.03</v>
      </c>
      <c r="AA10" s="26">
        <v>0.03</v>
      </c>
      <c r="AB10" s="26">
        <v>0.03</v>
      </c>
      <c r="AC10" s="26">
        <v>0.03</v>
      </c>
      <c r="AD10" s="26">
        <v>0.03</v>
      </c>
      <c r="AE10" s="26">
        <v>0.03</v>
      </c>
      <c r="AF10" s="26">
        <v>0.03</v>
      </c>
      <c r="AG10" s="26">
        <v>0.03</v>
      </c>
    </row>
    <row r="11" spans="1:33" ht="25.5">
      <c r="A11" s="40" t="s">
        <v>275</v>
      </c>
      <c r="B11" s="41" t="e">
        <f>+#REF!</f>
        <v>#REF!</v>
      </c>
      <c r="C11" s="41" t="e">
        <f>+'ICLD 2014'!#REF!</f>
        <v>#REF!</v>
      </c>
      <c r="D11" s="41" t="e">
        <f>+'ICLD 2014'!#REF!</f>
        <v>#REF!</v>
      </c>
      <c r="E11" s="489">
        <f>+'INGRESOS PROYECTADOS MARCO FISC'!E11</f>
        <v>216506000</v>
      </c>
      <c r="F11" s="41">
        <f>+'ICLD 2014'!D12</f>
        <v>347450639</v>
      </c>
      <c r="G11" s="41">
        <f>+'ICLD 2014'!E12</f>
        <v>394533355</v>
      </c>
      <c r="H11" s="41">
        <f>+'ICLD 2014'!F12</f>
        <v>406369355.65</v>
      </c>
      <c r="I11" s="41">
        <f>+'ICLD 2014'!G12</f>
        <v>418560436.3195</v>
      </c>
      <c r="J11" s="41">
        <f>+'ICLD 2014'!H12</f>
        <v>431117249.40908504</v>
      </c>
      <c r="K11" s="41">
        <f>+'ICLD 2014'!I12</f>
        <v>444050766.8913576</v>
      </c>
      <c r="L11" s="41">
        <f>+'ICLD 2014'!J12</f>
        <v>457372289.89809835</v>
      </c>
      <c r="M11" s="41">
        <f>+'ICLD 2014'!K12</f>
        <v>457372289.89809835</v>
      </c>
      <c r="N11" s="41">
        <f>+'ICLD 2014'!L12</f>
        <v>471093458.5950414</v>
      </c>
      <c r="O11" s="41">
        <f>+'ICLD 2014'!M12</f>
        <v>471093458.5950414</v>
      </c>
      <c r="P11" s="41">
        <f>+'ICLD 2014'!N12</f>
        <v>485226262.3528926</v>
      </c>
      <c r="Q11" s="41"/>
      <c r="R11" s="38">
        <f t="shared" si="1"/>
        <v>5000745561.609115</v>
      </c>
      <c r="S11" s="39"/>
      <c r="V11" s="26">
        <v>0.03</v>
      </c>
      <c r="W11" s="26">
        <v>0.03</v>
      </c>
      <c r="X11" s="26">
        <v>0.03</v>
      </c>
      <c r="Y11" s="26">
        <v>0.03</v>
      </c>
      <c r="Z11" s="26">
        <v>0.03</v>
      </c>
      <c r="AA11" s="26">
        <v>0.03</v>
      </c>
      <c r="AB11" s="26">
        <v>0.03</v>
      </c>
      <c r="AC11" s="26">
        <v>0.03</v>
      </c>
      <c r="AD11" s="26">
        <v>0.03</v>
      </c>
      <c r="AE11" s="26">
        <v>0.03</v>
      </c>
      <c r="AF11" s="26">
        <v>0.03</v>
      </c>
      <c r="AG11" s="26">
        <v>0.03</v>
      </c>
    </row>
    <row r="12" spans="1:33" ht="12.75">
      <c r="A12" s="37" t="s">
        <v>285</v>
      </c>
      <c r="B12" s="38" t="e">
        <f aca="true" t="shared" si="4" ref="B12:P12">SUM(B13:B21)</f>
        <v>#REF!</v>
      </c>
      <c r="C12" s="38" t="e">
        <f t="shared" si="4"/>
        <v>#REF!</v>
      </c>
      <c r="D12" s="38" t="e">
        <f t="shared" si="4"/>
        <v>#REF!</v>
      </c>
      <c r="E12" s="490">
        <f t="shared" si="4"/>
        <v>12328484940</v>
      </c>
      <c r="F12" s="38">
        <f t="shared" si="4"/>
        <v>11913802140</v>
      </c>
      <c r="G12" s="38">
        <f t="shared" si="4"/>
        <v>14263873269</v>
      </c>
      <c r="H12" s="38">
        <f t="shared" si="4"/>
        <v>14691789467.07</v>
      </c>
      <c r="I12" s="38">
        <f t="shared" si="4"/>
        <v>15132543151.0821</v>
      </c>
      <c r="J12" s="38">
        <f t="shared" si="4"/>
        <v>15586519445.614563</v>
      </c>
      <c r="K12" s="38">
        <f t="shared" si="4"/>
        <v>16054115028.983004</v>
      </c>
      <c r="L12" s="38">
        <f t="shared" si="4"/>
        <v>16535738479.85249</v>
      </c>
      <c r="M12" s="38">
        <f t="shared" si="4"/>
        <v>16535738479.85249</v>
      </c>
      <c r="N12" s="38">
        <f t="shared" si="4"/>
        <v>17031810634.248066</v>
      </c>
      <c r="O12" s="38">
        <f t="shared" si="4"/>
        <v>17031810634.248066</v>
      </c>
      <c r="P12" s="38">
        <f t="shared" si="4"/>
        <v>17542764953.275513</v>
      </c>
      <c r="Q12" s="38"/>
      <c r="R12" s="38">
        <f t="shared" si="1"/>
        <v>184648990623.22632</v>
      </c>
      <c r="S12" s="39"/>
      <c r="V12" s="26">
        <v>0.03</v>
      </c>
      <c r="W12" s="26">
        <v>0.03</v>
      </c>
      <c r="X12" s="26">
        <v>0.03</v>
      </c>
      <c r="Y12" s="26">
        <v>0.03</v>
      </c>
      <c r="Z12" s="26">
        <v>0.03</v>
      </c>
      <c r="AA12" s="26">
        <v>0.03</v>
      </c>
      <c r="AB12" s="26">
        <v>0.03</v>
      </c>
      <c r="AC12" s="26">
        <v>0.03</v>
      </c>
      <c r="AD12" s="26">
        <v>0.03</v>
      </c>
      <c r="AE12" s="26">
        <v>0.03</v>
      </c>
      <c r="AF12" s="26">
        <v>0.03</v>
      </c>
      <c r="AG12" s="26">
        <v>0.03</v>
      </c>
    </row>
    <row r="13" spans="1:33" ht="12.75">
      <c r="A13" s="40" t="s">
        <v>254</v>
      </c>
      <c r="B13" s="41" t="e">
        <f>+#REF!</f>
        <v>#REF!</v>
      </c>
      <c r="C13" s="41" t="e">
        <f>+'ICLD 2014'!#REF!</f>
        <v>#REF!</v>
      </c>
      <c r="D13" s="41" t="e">
        <f>+'ICLD 2014'!#REF!</f>
        <v>#REF!</v>
      </c>
      <c r="E13" s="489">
        <f>+'INGRESOS PROYECTADOS MARCO FISC'!E14</f>
        <v>10122360000</v>
      </c>
      <c r="F13" s="41">
        <f>+'ICLD 2014'!D15</f>
        <v>10419153854</v>
      </c>
      <c r="G13" s="41">
        <f>+'ICLD 2014'!E15</f>
        <v>12489850000</v>
      </c>
      <c r="H13" s="41">
        <f>+'ICLD 2014'!F15</f>
        <v>12864545500</v>
      </c>
      <c r="I13" s="41">
        <f>+'ICLD 2014'!G15</f>
        <v>13250481865</v>
      </c>
      <c r="J13" s="41">
        <f>+'ICLD 2014'!H15</f>
        <v>13647996320.95</v>
      </c>
      <c r="K13" s="41">
        <f>+'ICLD 2014'!I15</f>
        <v>14057436210.5785</v>
      </c>
      <c r="L13" s="41">
        <f>+'ICLD 2014'!J15</f>
        <v>14479159296.895855</v>
      </c>
      <c r="M13" s="41">
        <f>+'ICLD 2014'!K15</f>
        <v>14479159296.895855</v>
      </c>
      <c r="N13" s="41">
        <f>+'ICLD 2014'!L15</f>
        <v>14913534075.802732</v>
      </c>
      <c r="O13" s="41">
        <f>+'ICLD 2014'!M15</f>
        <v>14913534075.802732</v>
      </c>
      <c r="P13" s="41">
        <f>+'ICLD 2014'!N15</f>
        <v>15360940098.076815</v>
      </c>
      <c r="Q13" s="41"/>
      <c r="R13" s="38">
        <f t="shared" si="1"/>
        <v>160998150594.0025</v>
      </c>
      <c r="S13" s="39"/>
      <c r="V13" s="26">
        <v>0.03</v>
      </c>
      <c r="W13" s="26">
        <v>0.03</v>
      </c>
      <c r="X13" s="26">
        <v>0.03</v>
      </c>
      <c r="Y13" s="26">
        <v>0.03</v>
      </c>
      <c r="Z13" s="26">
        <v>0.03</v>
      </c>
      <c r="AA13" s="26">
        <v>0.03</v>
      </c>
      <c r="AB13" s="26">
        <v>0.03</v>
      </c>
      <c r="AC13" s="26">
        <v>0.03</v>
      </c>
      <c r="AD13" s="26">
        <v>0.03</v>
      </c>
      <c r="AE13" s="26">
        <v>0.03</v>
      </c>
      <c r="AF13" s="26">
        <v>0.03</v>
      </c>
      <c r="AG13" s="26">
        <v>0.03</v>
      </c>
    </row>
    <row r="14" spans="1:33" ht="12.75">
      <c r="A14" s="40" t="s">
        <v>286</v>
      </c>
      <c r="B14" s="41" t="e">
        <f>+#REF!</f>
        <v>#REF!</v>
      </c>
      <c r="C14" s="41" t="e">
        <f>+'ICLD 2014'!#REF!</f>
        <v>#REF!</v>
      </c>
      <c r="D14" s="41" t="e">
        <f>+'ICLD 2014'!#REF!</f>
        <v>#REF!</v>
      </c>
      <c r="E14" s="489">
        <f>+'INGRESOS PROYECTADOS MARCO FISC'!E17</f>
        <v>542436790</v>
      </c>
      <c r="F14" s="41">
        <f>+'ICLD 2014'!D18</f>
        <v>871175029</v>
      </c>
      <c r="G14" s="41">
        <f>+'ICLD 2014'!E18</f>
        <v>932222469</v>
      </c>
      <c r="H14" s="41">
        <f>+'ICLD 2014'!F18</f>
        <v>960189143.07</v>
      </c>
      <c r="I14" s="41">
        <f>+'ICLD 2014'!G18</f>
        <v>988994817.3621001</v>
      </c>
      <c r="J14" s="41">
        <f>+'ICLD 2014'!H18</f>
        <v>1018664661.8829632</v>
      </c>
      <c r="K14" s="41">
        <f>+'ICLD 2014'!I18</f>
        <v>1049224601.7394521</v>
      </c>
      <c r="L14" s="41">
        <f>+'ICLD 2014'!J18</f>
        <v>1080701339.7916358</v>
      </c>
      <c r="M14" s="41">
        <f>+'ICLD 2014'!K18</f>
        <v>1080701339.7916358</v>
      </c>
      <c r="N14" s="41">
        <f>+'ICLD 2014'!L18</f>
        <v>1113122379.985385</v>
      </c>
      <c r="O14" s="41">
        <f>+'ICLD 2014'!M18</f>
        <v>1113122379.985385</v>
      </c>
      <c r="P14" s="41">
        <f>+'ICLD 2014'!N18</f>
        <v>1146516051.3849466</v>
      </c>
      <c r="Q14" s="41"/>
      <c r="R14" s="38">
        <f t="shared" si="1"/>
        <v>11897071002.993505</v>
      </c>
      <c r="S14" s="39"/>
      <c r="T14" s="28" t="s">
        <v>276</v>
      </c>
      <c r="U14" s="29">
        <v>0.045</v>
      </c>
      <c r="V14" s="29">
        <v>0.04</v>
      </c>
      <c r="W14" s="30">
        <v>0.035</v>
      </c>
      <c r="X14" s="25">
        <v>0.03</v>
      </c>
      <c r="Y14" s="26">
        <v>0.02</v>
      </c>
      <c r="Z14" s="26">
        <v>0.02</v>
      </c>
      <c r="AA14" s="26">
        <v>0.02</v>
      </c>
      <c r="AB14" s="26">
        <v>0.02</v>
      </c>
      <c r="AC14" s="26">
        <v>0.02</v>
      </c>
      <c r="AD14" s="26">
        <v>0.02</v>
      </c>
      <c r="AE14" s="26">
        <v>0.02</v>
      </c>
      <c r="AF14" s="26">
        <v>0.02</v>
      </c>
      <c r="AG14" s="26">
        <v>0.02</v>
      </c>
    </row>
    <row r="15" spans="1:31" ht="38.25">
      <c r="A15" s="40" t="s">
        <v>500</v>
      </c>
      <c r="B15" s="41" t="e">
        <f>+#REF!</f>
        <v>#REF!</v>
      </c>
      <c r="C15" s="41" t="e">
        <f>+'ICLD 2014'!#REF!</f>
        <v>#REF!</v>
      </c>
      <c r="D15" s="41" t="e">
        <f>+'ICLD 2014'!#REF!</f>
        <v>#REF!</v>
      </c>
      <c r="E15" s="489">
        <f>+'INGRESOS PROYECTADOS MARCO FISC'!E21</f>
        <v>530450</v>
      </c>
      <c r="F15" s="41">
        <f>+'ICLD 2014'!D22</f>
        <v>0</v>
      </c>
      <c r="G15" s="41">
        <f>+'ICLD 2014'!E22</f>
        <v>500000</v>
      </c>
      <c r="H15" s="41">
        <f>+'ICLD 2014'!F22</f>
        <v>515000</v>
      </c>
      <c r="I15" s="41">
        <f>+'ICLD 2014'!G22</f>
        <v>530450</v>
      </c>
      <c r="J15" s="41">
        <f>+'ICLD 2014'!H22</f>
        <v>546363.5</v>
      </c>
      <c r="K15" s="41">
        <f>+'ICLD 2014'!I22</f>
        <v>562754.405</v>
      </c>
      <c r="L15" s="41">
        <f>+'ICLD 2014'!J22</f>
        <v>579637.03715</v>
      </c>
      <c r="M15" s="41">
        <f>+'ICLD 2014'!K22</f>
        <v>579637.03715</v>
      </c>
      <c r="N15" s="41">
        <f>+'ICLD 2014'!L22</f>
        <v>597026.1482645</v>
      </c>
      <c r="O15" s="41">
        <f>+'ICLD 2014'!M22</f>
        <v>597026.1482645</v>
      </c>
      <c r="P15" s="41">
        <f>+'ICLD 2014'!N22</f>
        <v>614936.932712435</v>
      </c>
      <c r="Q15" s="41"/>
      <c r="R15" s="38">
        <f t="shared" si="1"/>
        <v>6153281.208541436</v>
      </c>
      <c r="S15" s="39"/>
      <c r="U15" s="29"/>
      <c r="V15" s="29"/>
      <c r="W15" s="27"/>
      <c r="X15" s="27"/>
      <c r="Y15" s="27"/>
      <c r="Z15" s="27"/>
      <c r="AA15" s="27"/>
      <c r="AB15" s="27"/>
      <c r="AC15" s="27"/>
      <c r="AD15" s="27"/>
      <c r="AE15" s="27"/>
    </row>
    <row r="16" spans="1:31" ht="25.5">
      <c r="A16" s="40" t="s">
        <v>287</v>
      </c>
      <c r="B16" s="41" t="e">
        <f>+#REF!</f>
        <v>#REF!</v>
      </c>
      <c r="C16" s="41" t="e">
        <f>+'ICLD 2014'!#REF!</f>
        <v>#REF!</v>
      </c>
      <c r="D16" s="41" t="e">
        <f>+'ICLD 2014'!#REF!</f>
        <v>#REF!</v>
      </c>
      <c r="E16" s="489">
        <f>+'INGRESOS PROYECTADOS MARCO FISC'!E25</f>
        <v>2591350</v>
      </c>
      <c r="F16" s="41">
        <f>+'ICLD 2014'!D23</f>
        <v>17019914</v>
      </c>
      <c r="G16" s="41">
        <f>+'ICLD 2014'!E23</f>
        <v>7500000</v>
      </c>
      <c r="H16" s="41">
        <f>+'ICLD 2014'!F23</f>
        <v>7725000</v>
      </c>
      <c r="I16" s="41">
        <f>+'ICLD 2014'!G23</f>
        <v>7956750</v>
      </c>
      <c r="J16" s="41">
        <f>+'ICLD 2014'!H23</f>
        <v>8195452.5</v>
      </c>
      <c r="K16" s="41">
        <f>+'ICLD 2014'!I23</f>
        <v>8441316.075000001</v>
      </c>
      <c r="L16" s="41">
        <f>+'ICLD 2014'!J23</f>
        <v>8694555.55725</v>
      </c>
      <c r="M16" s="41">
        <f>+'ICLD 2014'!K23</f>
        <v>8694555.55725</v>
      </c>
      <c r="N16" s="41">
        <f>+'ICLD 2014'!L23</f>
        <v>8955392.2239675</v>
      </c>
      <c r="O16" s="41">
        <f>+'ICLD 2014'!M23</f>
        <v>8955392.2239675</v>
      </c>
      <c r="P16" s="41">
        <f>+'ICLD 2014'!N23</f>
        <v>9224053.990686525</v>
      </c>
      <c r="Q16" s="41"/>
      <c r="R16" s="38">
        <f t="shared" si="1"/>
        <v>103953732.12812151</v>
      </c>
      <c r="S16" s="39"/>
      <c r="U16" s="29">
        <v>0</v>
      </c>
      <c r="V16" s="29">
        <v>0</v>
      </c>
      <c r="W16" s="26">
        <v>0</v>
      </c>
      <c r="X16" s="26">
        <v>0</v>
      </c>
      <c r="Y16" s="26">
        <v>0</v>
      </c>
      <c r="Z16" s="26">
        <v>0</v>
      </c>
      <c r="AA16" s="26">
        <v>0</v>
      </c>
      <c r="AB16" s="26">
        <v>0</v>
      </c>
      <c r="AC16" s="26">
        <v>0</v>
      </c>
      <c r="AD16" s="26">
        <v>0</v>
      </c>
      <c r="AE16" s="26">
        <v>0</v>
      </c>
    </row>
    <row r="17" spans="1:31" ht="25.5">
      <c r="A17" s="40" t="s">
        <v>510</v>
      </c>
      <c r="B17" s="41"/>
      <c r="C17" s="41" t="e">
        <f>+'ICLD 2014'!#REF!</f>
        <v>#REF!</v>
      </c>
      <c r="D17" s="41" t="e">
        <f>+'ICLD 2014'!#REF!</f>
        <v>#REF!</v>
      </c>
      <c r="E17" s="489">
        <f>+'INGRESOS PROYECTADOS MARCO FISC'!E10</f>
        <v>1609000</v>
      </c>
      <c r="F17" s="41">
        <f>+'ICLD 2014'!D11</f>
        <v>0</v>
      </c>
      <c r="G17" s="41">
        <f>+'ICLD 2014'!E11</f>
        <v>2000000</v>
      </c>
      <c r="H17" s="41">
        <f>+'ICLD 2014'!F11</f>
        <v>2060000</v>
      </c>
      <c r="I17" s="41">
        <f>+'ICLD 2014'!G11</f>
        <v>2121800</v>
      </c>
      <c r="J17" s="41">
        <f>+'ICLD 2014'!H11</f>
        <v>2185454</v>
      </c>
      <c r="K17" s="41">
        <f>+'ICLD 2014'!I11</f>
        <v>2251017.62</v>
      </c>
      <c r="L17" s="41">
        <f>+'ICLD 2014'!J11</f>
        <v>2318548.1486</v>
      </c>
      <c r="M17" s="41">
        <f>+'ICLD 2014'!K11</f>
        <v>2318548.1486</v>
      </c>
      <c r="N17" s="41">
        <f>+'ICLD 2014'!L11</f>
        <v>2388104.593058</v>
      </c>
      <c r="O17" s="41">
        <f>+'ICLD 2014'!M11</f>
        <v>2388104.593058</v>
      </c>
      <c r="P17" s="41">
        <f>+'ICLD 2014'!N11</f>
        <v>2459747.73084974</v>
      </c>
      <c r="Q17" s="41"/>
      <c r="R17" s="38">
        <f t="shared" si="1"/>
        <v>24100324.834165744</v>
      </c>
      <c r="S17" s="39"/>
      <c r="U17" s="29"/>
      <c r="V17" s="29"/>
      <c r="W17" s="26"/>
      <c r="X17" s="26"/>
      <c r="Y17" s="26"/>
      <c r="Z17" s="26"/>
      <c r="AA17" s="26"/>
      <c r="AB17" s="26"/>
      <c r="AC17" s="26"/>
      <c r="AD17" s="26"/>
      <c r="AE17" s="26"/>
    </row>
    <row r="18" spans="1:31" ht="25.5">
      <c r="A18" s="40" t="s">
        <v>499</v>
      </c>
      <c r="B18" s="41"/>
      <c r="C18" s="41" t="e">
        <f>+'ICLD 2014'!#REF!</f>
        <v>#REF!</v>
      </c>
      <c r="D18" s="41" t="e">
        <f>+'ICLD 2014'!#REF!</f>
        <v>#REF!</v>
      </c>
      <c r="E18" s="489">
        <f>+'INGRESOS PROYECTADOS MARCO FISC'!E20</f>
        <v>500000</v>
      </c>
      <c r="F18" s="41">
        <f>+'ICLD 2014'!D21</f>
        <v>850000</v>
      </c>
      <c r="G18" s="41">
        <f>+'ICLD 2014'!E21</f>
        <v>1000000</v>
      </c>
      <c r="H18" s="41">
        <f>+'ICLD 2014'!F21</f>
        <v>1030000</v>
      </c>
      <c r="I18" s="41">
        <f>+'ICLD 2014'!G21</f>
        <v>1060900</v>
      </c>
      <c r="J18" s="41">
        <f>+'ICLD 2014'!H21</f>
        <v>1092727</v>
      </c>
      <c r="K18" s="41">
        <f>+'ICLD 2014'!I21</f>
        <v>1125508.81</v>
      </c>
      <c r="L18" s="41">
        <f>+'ICLD 2014'!J21</f>
        <v>1159274.0743</v>
      </c>
      <c r="M18" s="41">
        <f>+'ICLD 2014'!K21</f>
        <v>1159274.0743</v>
      </c>
      <c r="N18" s="41">
        <f>+'ICLD 2014'!L21</f>
        <v>1194052.296529</v>
      </c>
      <c r="O18" s="41">
        <f>+'ICLD 2014'!M21</f>
        <v>1194052.296529</v>
      </c>
      <c r="P18" s="41">
        <f>+'ICLD 2014'!N21</f>
        <v>1229873.86542487</v>
      </c>
      <c r="Q18" s="41"/>
      <c r="R18" s="38">
        <f t="shared" si="1"/>
        <v>12595662.417082872</v>
      </c>
      <c r="S18" s="39"/>
      <c r="U18" s="29">
        <v>0</v>
      </c>
      <c r="V18" s="29">
        <v>0</v>
      </c>
      <c r="W18" s="26">
        <v>0</v>
      </c>
      <c r="X18" s="26">
        <v>0</v>
      </c>
      <c r="Y18" s="26">
        <v>0</v>
      </c>
      <c r="Z18" s="26">
        <v>0</v>
      </c>
      <c r="AA18" s="26">
        <v>0</v>
      </c>
      <c r="AB18" s="26">
        <v>0</v>
      </c>
      <c r="AC18" s="26">
        <v>0</v>
      </c>
      <c r="AD18" s="26">
        <v>0</v>
      </c>
      <c r="AE18" s="26">
        <v>0</v>
      </c>
    </row>
    <row r="19" spans="1:31" ht="12.75">
      <c r="A19" s="40" t="s">
        <v>288</v>
      </c>
      <c r="B19" s="41" t="e">
        <f>+#REF!</f>
        <v>#REF!</v>
      </c>
      <c r="C19" s="41" t="e">
        <f>+'ICLD 2014'!#REF!</f>
        <v>#REF!</v>
      </c>
      <c r="D19" s="41" t="e">
        <f>+'ICLD 2014'!#REF!</f>
        <v>#REF!</v>
      </c>
      <c r="E19" s="489">
        <f>(+'INGRESOS PROYECTADOS MARCO FISC'!E9)*80%</f>
        <v>1656416000</v>
      </c>
      <c r="F19" s="41">
        <f>+'ICLD 2014'!D10</f>
        <v>602040000</v>
      </c>
      <c r="G19" s="41">
        <f>+'ICLD 2014'!E10</f>
        <v>826800800</v>
      </c>
      <c r="H19" s="41">
        <f>+'ICLD 2014'!F10</f>
        <v>851604824</v>
      </c>
      <c r="I19" s="41">
        <f>+'ICLD 2014'!G10</f>
        <v>877152968.72</v>
      </c>
      <c r="J19" s="41">
        <f>+'ICLD 2014'!H10</f>
        <v>903467557.7816</v>
      </c>
      <c r="K19" s="41">
        <f>+'ICLD 2014'!I10</f>
        <v>930571584.515048</v>
      </c>
      <c r="L19" s="41">
        <f>+'ICLD 2014'!J10</f>
        <v>958488732.0504994</v>
      </c>
      <c r="M19" s="41">
        <f>+'ICLD 2014'!K10</f>
        <v>958488732.0504994</v>
      </c>
      <c r="N19" s="41">
        <f>+'ICLD 2014'!L10</f>
        <v>987243394.0120144</v>
      </c>
      <c r="O19" s="41">
        <f>+'ICLD 2014'!M10</f>
        <v>987243394.0120144</v>
      </c>
      <c r="P19" s="41">
        <f>+'ICLD 2014'!N10</f>
        <v>1016860695.8323748</v>
      </c>
      <c r="Q19" s="41"/>
      <c r="R19" s="38">
        <f t="shared" si="1"/>
        <v>11556378682.97405</v>
      </c>
      <c r="S19" s="39"/>
      <c r="U19" s="29">
        <v>0</v>
      </c>
      <c r="V19" s="29">
        <v>0</v>
      </c>
      <c r="W19" s="26">
        <v>0</v>
      </c>
      <c r="X19" s="26">
        <v>0</v>
      </c>
      <c r="Y19" s="26">
        <v>0</v>
      </c>
      <c r="Z19" s="26">
        <v>0</v>
      </c>
      <c r="AA19" s="26">
        <v>0</v>
      </c>
      <c r="AB19" s="26">
        <v>0</v>
      </c>
      <c r="AC19" s="26">
        <v>0</v>
      </c>
      <c r="AD19" s="26">
        <v>0</v>
      </c>
      <c r="AE19" s="26">
        <v>0</v>
      </c>
    </row>
    <row r="20" spans="1:31" ht="25.5">
      <c r="A20" s="40" t="s">
        <v>277</v>
      </c>
      <c r="B20" s="41" t="e">
        <f>+#REF!</f>
        <v>#REF!</v>
      </c>
      <c r="C20" s="41" t="e">
        <f>+'ICLD 2014'!#REF!</f>
        <v>#REF!</v>
      </c>
      <c r="D20" s="41" t="e">
        <f>+'ICLD 2014'!#REF!</f>
        <v>#REF!</v>
      </c>
      <c r="E20" s="489">
        <f>+'INGRESOS PROYECTADOS MARCO FISC'!E27</f>
        <v>980450</v>
      </c>
      <c r="F20" s="41">
        <f>+'ICLD 2014'!D25</f>
        <v>805000</v>
      </c>
      <c r="G20" s="41">
        <f>+'ICLD 2014'!E25</f>
        <v>1000000</v>
      </c>
      <c r="H20" s="41">
        <f>+'ICLD 2014'!F25</f>
        <v>1030000</v>
      </c>
      <c r="I20" s="41">
        <f>+'ICLD 2014'!G25</f>
        <v>1060900</v>
      </c>
      <c r="J20" s="41">
        <f>+'ICLD 2014'!H25</f>
        <v>1092727</v>
      </c>
      <c r="K20" s="41">
        <f>+'ICLD 2014'!I25</f>
        <v>1125508.81</v>
      </c>
      <c r="L20" s="41">
        <f>+'ICLD 2014'!J25</f>
        <v>1159274.0743</v>
      </c>
      <c r="M20" s="41">
        <f>+'ICLD 2014'!K25</f>
        <v>1159274.0743</v>
      </c>
      <c r="N20" s="41">
        <f>+'ICLD 2014'!L25</f>
        <v>1194052.296529</v>
      </c>
      <c r="O20" s="41">
        <f>+'ICLD 2014'!M25</f>
        <v>1194052.296529</v>
      </c>
      <c r="P20" s="41">
        <f>+'ICLD 2014'!N25</f>
        <v>1229873.86542487</v>
      </c>
      <c r="Q20" s="41"/>
      <c r="R20" s="38">
        <f t="shared" si="1"/>
        <v>13031112.417082872</v>
      </c>
      <c r="S20" s="39"/>
      <c r="U20" s="29"/>
      <c r="V20" s="29"/>
      <c r="W20" s="26"/>
      <c r="X20" s="26"/>
      <c r="Y20" s="26"/>
      <c r="Z20" s="26"/>
      <c r="AA20" s="26"/>
      <c r="AB20" s="26"/>
      <c r="AC20" s="26"/>
      <c r="AD20" s="26"/>
      <c r="AE20" s="26"/>
    </row>
    <row r="21" spans="1:31" ht="25.5">
      <c r="A21" s="40" t="s">
        <v>289</v>
      </c>
      <c r="B21" s="41" t="e">
        <f>+#REF!</f>
        <v>#REF!</v>
      </c>
      <c r="C21" s="41" t="e">
        <f>+'ICLD 2014'!#REF!</f>
        <v>#REF!</v>
      </c>
      <c r="D21" s="41" t="e">
        <f>+'ICLD 2014'!#REF!</f>
        <v>#REF!</v>
      </c>
      <c r="E21" s="489">
        <f>+'INGRESOS PROYECTADOS MARCO FISC'!E33</f>
        <v>1060900</v>
      </c>
      <c r="F21" s="41">
        <f>+'ICLD 2014'!D27</f>
        <v>2758343</v>
      </c>
      <c r="G21" s="41">
        <f>+'ICLD 2014'!E27</f>
        <v>3000000</v>
      </c>
      <c r="H21" s="41">
        <f>+'ICLD 2014'!F27</f>
        <v>3090000</v>
      </c>
      <c r="I21" s="41">
        <f>+'ICLD 2014'!G27</f>
        <v>3182700</v>
      </c>
      <c r="J21" s="41">
        <f>+'ICLD 2014'!H27</f>
        <v>3278181</v>
      </c>
      <c r="K21" s="41">
        <f>+'ICLD 2014'!I27</f>
        <v>3376526.43</v>
      </c>
      <c r="L21" s="41">
        <f>+'ICLD 2014'!J27</f>
        <v>3477822.2229000004</v>
      </c>
      <c r="M21" s="41">
        <f>+'ICLD 2014'!K27</f>
        <v>3477822.2229000004</v>
      </c>
      <c r="N21" s="41">
        <f>+'ICLD 2014'!L27</f>
        <v>3582156.8895870005</v>
      </c>
      <c r="O21" s="41">
        <f>+'ICLD 2014'!M27</f>
        <v>3582156.8895870005</v>
      </c>
      <c r="P21" s="41">
        <f>+'ICLD 2014'!N27</f>
        <v>3689621.5962746106</v>
      </c>
      <c r="Q21" s="41"/>
      <c r="R21" s="38">
        <f t="shared" si="1"/>
        <v>37556230.25124861</v>
      </c>
      <c r="S21" s="39"/>
      <c r="U21" s="29">
        <v>0</v>
      </c>
      <c r="V21" s="29">
        <v>0</v>
      </c>
      <c r="W21" s="26">
        <v>0</v>
      </c>
      <c r="X21" s="26">
        <v>0</v>
      </c>
      <c r="Y21" s="26">
        <v>0</v>
      </c>
      <c r="Z21" s="26">
        <v>0</v>
      </c>
      <c r="AA21" s="26">
        <v>0</v>
      </c>
      <c r="AB21" s="26">
        <v>0</v>
      </c>
      <c r="AC21" s="26">
        <v>0</v>
      </c>
      <c r="AD21" s="26">
        <v>0</v>
      </c>
      <c r="AE21" s="26">
        <v>0</v>
      </c>
    </row>
    <row r="22" spans="1:31" ht="25.5">
      <c r="A22" s="37" t="s">
        <v>278</v>
      </c>
      <c r="B22" s="38" t="e">
        <f aca="true" t="shared" si="5" ref="B22:P22">SUM(B23+B38)</f>
        <v>#REF!</v>
      </c>
      <c r="C22" s="38" t="e">
        <f t="shared" si="5"/>
        <v>#REF!</v>
      </c>
      <c r="D22" s="38" t="e">
        <f t="shared" si="5"/>
        <v>#REF!</v>
      </c>
      <c r="E22" s="38">
        <f t="shared" si="5"/>
        <v>1652938777</v>
      </c>
      <c r="F22" s="38">
        <f t="shared" si="5"/>
        <v>1741992248</v>
      </c>
      <c r="G22" s="38">
        <f t="shared" si="5"/>
        <v>1704394636</v>
      </c>
      <c r="H22" s="38">
        <f t="shared" si="5"/>
        <v>1755526475.08</v>
      </c>
      <c r="I22" s="38">
        <f t="shared" si="5"/>
        <v>1808192269.3324</v>
      </c>
      <c r="J22" s="38">
        <f t="shared" si="5"/>
        <v>1862438037.412372</v>
      </c>
      <c r="K22" s="38">
        <f t="shared" si="5"/>
        <v>1918311178.5347433</v>
      </c>
      <c r="L22" s="38">
        <f t="shared" si="5"/>
        <v>1975860513.8907857</v>
      </c>
      <c r="M22" s="38">
        <f t="shared" si="5"/>
        <v>2028876910.0925117</v>
      </c>
      <c r="N22" s="38">
        <f t="shared" si="5"/>
        <v>2089743217.395287</v>
      </c>
      <c r="O22" s="38">
        <f t="shared" si="5"/>
        <v>2145988312.125698</v>
      </c>
      <c r="P22" s="38">
        <f t="shared" si="5"/>
        <v>2210367961.489469</v>
      </c>
      <c r="Q22" s="38"/>
      <c r="R22" s="38">
        <f t="shared" si="1"/>
        <v>22894630536.353268</v>
      </c>
      <c r="S22" s="42"/>
      <c r="U22" s="29">
        <v>0</v>
      </c>
      <c r="V22" s="29">
        <v>0</v>
      </c>
      <c r="W22" s="26">
        <v>0</v>
      </c>
      <c r="X22" s="26">
        <v>0</v>
      </c>
      <c r="Y22" s="26">
        <v>0</v>
      </c>
      <c r="Z22" s="26">
        <v>0</v>
      </c>
      <c r="AA22" s="26">
        <v>0</v>
      </c>
      <c r="AB22" s="26">
        <v>0</v>
      </c>
      <c r="AC22" s="26">
        <v>0</v>
      </c>
      <c r="AD22" s="26">
        <v>0</v>
      </c>
      <c r="AE22" s="26">
        <v>0</v>
      </c>
    </row>
    <row r="23" spans="1:31" ht="25.5">
      <c r="A23" s="37" t="s">
        <v>290</v>
      </c>
      <c r="B23" s="38" t="e">
        <f aca="true" t="shared" si="6" ref="B23:Q23">SUM(B24:B37)</f>
        <v>#REF!</v>
      </c>
      <c r="C23" s="38" t="e">
        <f t="shared" si="6"/>
        <v>#REF!</v>
      </c>
      <c r="D23" s="38" t="e">
        <f t="shared" si="6"/>
        <v>#REF!</v>
      </c>
      <c r="E23" s="38">
        <f t="shared" si="6"/>
        <v>98782980</v>
      </c>
      <c r="F23" s="38">
        <f t="shared" si="6"/>
        <v>141211777</v>
      </c>
      <c r="G23" s="38">
        <f t="shared" si="6"/>
        <v>179981000</v>
      </c>
      <c r="H23" s="38">
        <f t="shared" si="6"/>
        <v>185380430</v>
      </c>
      <c r="I23" s="38">
        <f t="shared" si="6"/>
        <v>190941842.9</v>
      </c>
      <c r="J23" s="38">
        <f t="shared" si="6"/>
        <v>196670098.18700004</v>
      </c>
      <c r="K23" s="38">
        <f t="shared" si="6"/>
        <v>202570201.13261</v>
      </c>
      <c r="L23" s="38">
        <f t="shared" si="6"/>
        <v>208647307.16658828</v>
      </c>
      <c r="M23" s="38">
        <f t="shared" si="6"/>
        <v>208647307.16658828</v>
      </c>
      <c r="N23" s="38">
        <f t="shared" si="6"/>
        <v>214906726.38158593</v>
      </c>
      <c r="O23" s="38">
        <f t="shared" si="6"/>
        <v>214906726.38158593</v>
      </c>
      <c r="P23" s="38">
        <f t="shared" si="6"/>
        <v>221353928.1730335</v>
      </c>
      <c r="Q23" s="38">
        <f t="shared" si="6"/>
        <v>66885460.29726614</v>
      </c>
      <c r="R23" s="38">
        <f t="shared" si="1"/>
        <v>2264000324.4889917</v>
      </c>
      <c r="S23" s="39"/>
      <c r="U23" s="29">
        <v>0</v>
      </c>
      <c r="V23" s="29">
        <v>0</v>
      </c>
      <c r="W23" s="26">
        <v>0</v>
      </c>
      <c r="X23" s="26">
        <v>0</v>
      </c>
      <c r="Y23" s="26">
        <v>0</v>
      </c>
      <c r="Z23" s="26">
        <v>0</v>
      </c>
      <c r="AA23" s="26">
        <v>0</v>
      </c>
      <c r="AB23" s="26">
        <v>0</v>
      </c>
      <c r="AC23" s="26">
        <v>0</v>
      </c>
      <c r="AD23" s="26">
        <v>0</v>
      </c>
      <c r="AE23" s="26">
        <v>0</v>
      </c>
    </row>
    <row r="24" spans="1:31" ht="12.75">
      <c r="A24" s="40" t="s">
        <v>503</v>
      </c>
      <c r="B24" s="41" t="e">
        <f>+#REF!</f>
        <v>#REF!</v>
      </c>
      <c r="C24" s="41" t="e">
        <f>+'ICLD 2014'!#REF!</f>
        <v>#REF!</v>
      </c>
      <c r="D24" s="41" t="e">
        <f>+'ICLD 2014'!#REF!</f>
        <v>#REF!</v>
      </c>
      <c r="E24" s="489">
        <f>+'INGRESOS PROYECTADOS MARCO FISC'!E36</f>
        <v>31827000</v>
      </c>
      <c r="F24" s="41">
        <f>+'ICLD 2014'!D30</f>
        <v>40788436</v>
      </c>
      <c r="G24" s="41">
        <f>+'ICLD 2014'!E30</f>
        <v>54384000</v>
      </c>
      <c r="H24" s="41">
        <f>+'ICLD 2014'!F30</f>
        <v>56015520</v>
      </c>
      <c r="I24" s="41">
        <f>+'ICLD 2014'!G30</f>
        <v>57695985.6</v>
      </c>
      <c r="J24" s="41">
        <f>+'ICLD 2014'!H30</f>
        <v>59426865.168000005</v>
      </c>
      <c r="K24" s="41">
        <f>+'ICLD 2014'!I30</f>
        <v>61209671.123040006</v>
      </c>
      <c r="L24" s="41">
        <f>+'ICLD 2014'!J30</f>
        <v>63045961.256731205</v>
      </c>
      <c r="M24" s="41">
        <f>+'ICLD 2014'!K30</f>
        <v>63045961.256731205</v>
      </c>
      <c r="N24" s="41">
        <f>+'ICLD 2014'!L30</f>
        <v>64937340.094433144</v>
      </c>
      <c r="O24" s="41">
        <f>+'ICLD 2014'!M30</f>
        <v>64937340.094433144</v>
      </c>
      <c r="P24" s="41">
        <f>+'ICLD 2014'!N30</f>
        <v>66885460.29726614</v>
      </c>
      <c r="Q24" s="41">
        <f>+'ICLD 2014'!O30</f>
        <v>66885460.29726614</v>
      </c>
      <c r="R24" s="38">
        <f t="shared" si="1"/>
        <v>684199540.8906349</v>
      </c>
      <c r="S24" s="39"/>
      <c r="U24" s="29">
        <v>0</v>
      </c>
      <c r="V24" s="29">
        <v>0</v>
      </c>
      <c r="W24" s="24">
        <v>0</v>
      </c>
      <c r="X24" s="24">
        <v>0</v>
      </c>
      <c r="Y24" s="24">
        <v>0</v>
      </c>
      <c r="Z24" s="24">
        <v>0</v>
      </c>
      <c r="AA24" s="24">
        <v>0</v>
      </c>
      <c r="AB24" s="24">
        <v>0</v>
      </c>
      <c r="AC24" s="24">
        <v>0</v>
      </c>
      <c r="AD24" s="24">
        <v>0</v>
      </c>
      <c r="AE24" s="24">
        <v>0</v>
      </c>
    </row>
    <row r="25" spans="1:33" ht="12.75">
      <c r="A25" s="40" t="s">
        <v>502</v>
      </c>
      <c r="B25" s="41" t="e">
        <f>+#REF!</f>
        <v>#REF!</v>
      </c>
      <c r="C25" s="41" t="e">
        <f>+'ICLD 2014'!#REF!</f>
        <v>#REF!</v>
      </c>
      <c r="D25" s="41" t="e">
        <f>+'ICLD 2014'!#REF!</f>
        <v>#REF!</v>
      </c>
      <c r="E25" s="489">
        <f>+'INGRESOS PROYECTADOS MARCO FISC'!E35</f>
        <v>31827000</v>
      </c>
      <c r="F25" s="41">
        <f>+'ICLD 2014'!D29</f>
        <v>31011796</v>
      </c>
      <c r="G25" s="41">
        <f>+'ICLD 2014'!E29</f>
        <v>41000000</v>
      </c>
      <c r="H25" s="41">
        <f>+'ICLD 2014'!F29</f>
        <v>42230000</v>
      </c>
      <c r="I25" s="41">
        <f>+'ICLD 2014'!G29</f>
        <v>43496900</v>
      </c>
      <c r="J25" s="41">
        <f>+'ICLD 2014'!H29</f>
        <v>44801807</v>
      </c>
      <c r="K25" s="41">
        <f>+'ICLD 2014'!I29</f>
        <v>46145861.21</v>
      </c>
      <c r="L25" s="41">
        <f>+'ICLD 2014'!J29</f>
        <v>47530237.0463</v>
      </c>
      <c r="M25" s="41">
        <f>+'ICLD 2014'!K29</f>
        <v>47530237.0463</v>
      </c>
      <c r="N25" s="41">
        <f>+'ICLD 2014'!L29</f>
        <v>48956144.157689005</v>
      </c>
      <c r="O25" s="41">
        <f>+'ICLD 2014'!M29</f>
        <v>48956144.157689005</v>
      </c>
      <c r="P25" s="41">
        <f>+'ICLD 2014'!N29</f>
        <v>50424828.48241968</v>
      </c>
      <c r="Q25" s="41"/>
      <c r="R25" s="38">
        <f t="shared" si="1"/>
        <v>523910955.10039765</v>
      </c>
      <c r="S25" s="39"/>
      <c r="U25" s="29">
        <v>0.025</v>
      </c>
      <c r="V25" s="29">
        <v>0.02</v>
      </c>
      <c r="W25" s="29">
        <v>0.02</v>
      </c>
      <c r="X25" s="29">
        <v>0.02</v>
      </c>
      <c r="Y25" s="29">
        <v>0.02</v>
      </c>
      <c r="Z25" s="29">
        <v>0.02</v>
      </c>
      <c r="AA25" s="29">
        <v>0.02</v>
      </c>
      <c r="AB25" s="29">
        <v>0.02</v>
      </c>
      <c r="AC25" s="29">
        <v>0.02</v>
      </c>
      <c r="AD25" s="29">
        <v>0.02</v>
      </c>
      <c r="AE25" s="29">
        <v>0.02</v>
      </c>
      <c r="AF25" s="29">
        <v>0.02</v>
      </c>
      <c r="AG25" s="29">
        <v>0.02</v>
      </c>
    </row>
    <row r="26" spans="1:33" ht="12.75">
      <c r="A26" s="40" t="s">
        <v>291</v>
      </c>
      <c r="B26" s="41"/>
      <c r="C26" s="41"/>
      <c r="D26" s="41"/>
      <c r="E26" s="489"/>
      <c r="F26" s="41"/>
      <c r="G26" s="1032">
        <f>+'ICLD 2014'!E34</f>
        <v>6000000</v>
      </c>
      <c r="H26" s="1032">
        <f>+'ICLD 2014'!F34</f>
        <v>6180000</v>
      </c>
      <c r="I26" s="1032">
        <f>+'ICLD 2014'!G34</f>
        <v>6365400</v>
      </c>
      <c r="J26" s="1032">
        <f>+'ICLD 2014'!H34</f>
        <v>6556362</v>
      </c>
      <c r="K26" s="1032">
        <f>+'ICLD 2014'!I34</f>
        <v>6753052.86</v>
      </c>
      <c r="L26" s="1032">
        <f>+'ICLD 2014'!J34</f>
        <v>6955644.445800001</v>
      </c>
      <c r="M26" s="1032">
        <f>+'ICLD 2014'!K34</f>
        <v>6955644.445800001</v>
      </c>
      <c r="N26" s="1032">
        <f>+'ICLD 2014'!L34</f>
        <v>7164313.779174001</v>
      </c>
      <c r="O26" s="1032">
        <f>+'ICLD 2014'!M34</f>
        <v>7164313.779174001</v>
      </c>
      <c r="P26" s="1032">
        <f>+'ICLD 2014'!N34</f>
        <v>7379243.192549221</v>
      </c>
      <c r="Q26" s="1032"/>
      <c r="R26" s="38">
        <f t="shared" si="1"/>
        <v>67473974.50249723</v>
      </c>
      <c r="S26" s="39"/>
      <c r="U26" s="29">
        <v>0.035</v>
      </c>
      <c r="V26" s="29">
        <v>0.03</v>
      </c>
      <c r="W26" s="24">
        <v>0.025</v>
      </c>
      <c r="X26" s="24">
        <v>0.025</v>
      </c>
      <c r="Y26" s="24">
        <v>0.025</v>
      </c>
      <c r="Z26" s="24">
        <v>0.025</v>
      </c>
      <c r="AA26" s="24">
        <v>0.025</v>
      </c>
      <c r="AB26" s="24">
        <v>0.025</v>
      </c>
      <c r="AC26" s="24">
        <v>0.025</v>
      </c>
      <c r="AD26" s="24">
        <v>0.025</v>
      </c>
      <c r="AE26" s="24">
        <v>0.025</v>
      </c>
      <c r="AF26" s="24">
        <v>0.025</v>
      </c>
      <c r="AG26" s="24">
        <v>0.025</v>
      </c>
    </row>
    <row r="27" spans="1:31" ht="12.75">
      <c r="A27" s="40" t="s">
        <v>514</v>
      </c>
      <c r="B27" s="41" t="e">
        <f>+#REF!</f>
        <v>#REF!</v>
      </c>
      <c r="C27" s="41" t="e">
        <f>+'ICLD 2014'!#REF!</f>
        <v>#REF!</v>
      </c>
      <c r="D27" s="41" t="e">
        <f>+'ICLD 2014'!#REF!</f>
        <v>#REF!</v>
      </c>
      <c r="E27" s="489">
        <f>+'ICLD 2014'!C39</f>
        <v>13004850</v>
      </c>
      <c r="F27" s="41">
        <f>+'ICLD 2014'!D39</f>
        <v>13073876</v>
      </c>
      <c r="G27" s="41">
        <f>+'ICLD 2014'!E39</f>
        <v>19000000</v>
      </c>
      <c r="H27" s="41">
        <f>+'ICLD 2014'!F39</f>
        <v>19570000</v>
      </c>
      <c r="I27" s="41">
        <f>+'ICLD 2014'!G39</f>
        <v>20157100</v>
      </c>
      <c r="J27" s="41">
        <f>+'ICLD 2014'!H39</f>
        <v>20761813</v>
      </c>
      <c r="K27" s="41">
        <f>+'ICLD 2014'!I39</f>
        <v>21384667.390000004</v>
      </c>
      <c r="L27" s="41">
        <f>+'ICLD 2014'!J39</f>
        <v>22026207.4117</v>
      </c>
      <c r="M27" s="41">
        <f>+'ICLD 2014'!K39</f>
        <v>22026207.4117</v>
      </c>
      <c r="N27" s="41">
        <f>+'ICLD 2014'!L39</f>
        <v>22686993.634051003</v>
      </c>
      <c r="O27" s="41">
        <f>+'ICLD 2014'!M39</f>
        <v>22686993.634051003</v>
      </c>
      <c r="P27" s="41">
        <f>+'ICLD 2014'!N39</f>
        <v>23367603.44307253</v>
      </c>
      <c r="Q27" s="41"/>
      <c r="R27" s="38">
        <f t="shared" si="1"/>
        <v>239746311.92457452</v>
      </c>
      <c r="S27" s="39"/>
      <c r="U27" s="29"/>
      <c r="V27" s="29"/>
      <c r="W27" s="24"/>
      <c r="X27" s="24"/>
      <c r="Y27" s="24"/>
      <c r="Z27" s="24"/>
      <c r="AA27" s="24"/>
      <c r="AB27" s="24"/>
      <c r="AC27" s="24"/>
      <c r="AD27" s="24"/>
      <c r="AE27" s="24"/>
    </row>
    <row r="28" spans="1:31" ht="25.5">
      <c r="A28" s="40" t="s">
        <v>504</v>
      </c>
      <c r="B28" s="41" t="e">
        <f>+#REF!</f>
        <v>#REF!</v>
      </c>
      <c r="C28" s="41" t="e">
        <f>+'ICLD 2014'!#REF!</f>
        <v>#REF!</v>
      </c>
      <c r="D28" s="41" t="e">
        <f>+'ICLD 2014'!#REF!</f>
        <v>#REF!</v>
      </c>
      <c r="E28" s="489">
        <f>+'INGRESOS PROYECTADOS MARCO FISC'!E37</f>
        <v>5482700</v>
      </c>
      <c r="F28" s="41">
        <f>+'ICLD 2014'!D31</f>
        <v>14701451</v>
      </c>
      <c r="G28" s="41">
        <f>+'ICLD 2014'!E31</f>
        <v>15000000</v>
      </c>
      <c r="H28" s="41">
        <f>+'ICLD 2014'!F31</f>
        <v>15450000</v>
      </c>
      <c r="I28" s="41">
        <f>+'ICLD 2014'!G31</f>
        <v>15913500</v>
      </c>
      <c r="J28" s="41">
        <f>+'ICLD 2014'!H31</f>
        <v>16390905</v>
      </c>
      <c r="K28" s="41">
        <f>+'ICLD 2014'!I31</f>
        <v>16882632.150000002</v>
      </c>
      <c r="L28" s="41">
        <f>+'ICLD 2014'!J31</f>
        <v>17389111.1145</v>
      </c>
      <c r="M28" s="41">
        <f>+'ICLD 2014'!K31</f>
        <v>17389111.1145</v>
      </c>
      <c r="N28" s="41">
        <f>+'ICLD 2014'!L31</f>
        <v>17910784.447935</v>
      </c>
      <c r="O28" s="41">
        <f>+'ICLD 2014'!M31</f>
        <v>17910784.447935</v>
      </c>
      <c r="P28" s="41">
        <f>+'ICLD 2014'!N31</f>
        <v>18448107.98137305</v>
      </c>
      <c r="Q28" s="41"/>
      <c r="R28" s="38">
        <f t="shared" si="1"/>
        <v>188869087.25624302</v>
      </c>
      <c r="S28" s="39"/>
      <c r="U28" s="29"/>
      <c r="V28" s="29"/>
      <c r="W28" s="24"/>
      <c r="X28" s="24"/>
      <c r="Y28" s="24"/>
      <c r="Z28" s="24"/>
      <c r="AA28" s="24"/>
      <c r="AB28" s="24"/>
      <c r="AC28" s="24"/>
      <c r="AD28" s="24"/>
      <c r="AE28" s="24"/>
    </row>
    <row r="29" spans="1:31" ht="12.75">
      <c r="A29" s="40" t="s">
        <v>505</v>
      </c>
      <c r="B29" s="41"/>
      <c r="C29" s="41" t="e">
        <f>+'ICLD 2014'!#REF!</f>
        <v>#REF!</v>
      </c>
      <c r="D29" s="41" t="e">
        <f>+'ICLD 2014'!#REF!</f>
        <v>#REF!</v>
      </c>
      <c r="E29" s="489">
        <f>+'INGRESOS PROYECTADOS MARCO FISC'!E38</f>
        <v>230450</v>
      </c>
      <c r="F29" s="41">
        <f>+'ICLD 2014'!D32</f>
        <v>0</v>
      </c>
      <c r="G29" s="41">
        <f>+'ICLD 2014'!E32</f>
        <v>500000</v>
      </c>
      <c r="H29" s="41">
        <f>+'ICLD 2014'!F32</f>
        <v>515000</v>
      </c>
      <c r="I29" s="41">
        <f>+'ICLD 2014'!G32</f>
        <v>530450</v>
      </c>
      <c r="J29" s="41">
        <f>+'ICLD 2014'!H32</f>
        <v>546363.5</v>
      </c>
      <c r="K29" s="41">
        <f>+'ICLD 2014'!I32</f>
        <v>562754.405</v>
      </c>
      <c r="L29" s="41">
        <f>+'ICLD 2014'!J32</f>
        <v>579637.03715</v>
      </c>
      <c r="M29" s="41">
        <f>+'ICLD 2014'!K32</f>
        <v>579637.03715</v>
      </c>
      <c r="N29" s="41">
        <f>+'ICLD 2014'!L32</f>
        <v>597026.1482645</v>
      </c>
      <c r="O29" s="41">
        <f>+'ICLD 2014'!M32</f>
        <v>597026.1482645</v>
      </c>
      <c r="P29" s="41">
        <f>+'ICLD 2014'!N32</f>
        <v>614936.932712435</v>
      </c>
      <c r="Q29" s="41"/>
      <c r="R29" s="38">
        <f t="shared" si="1"/>
        <v>5853281.208541436</v>
      </c>
      <c r="S29" s="39"/>
      <c r="U29" s="29"/>
      <c r="V29" s="29"/>
      <c r="W29" s="24"/>
      <c r="X29" s="24"/>
      <c r="Y29" s="24"/>
      <c r="Z29" s="24"/>
      <c r="AA29" s="24"/>
      <c r="AB29" s="24"/>
      <c r="AC29" s="24"/>
      <c r="AD29" s="24"/>
      <c r="AE29" s="24"/>
    </row>
    <row r="30" spans="1:31" ht="38.25">
      <c r="A30" s="40" t="s">
        <v>506</v>
      </c>
      <c r="B30" s="41" t="e">
        <f>+#REF!</f>
        <v>#REF!</v>
      </c>
      <c r="C30" s="41" t="e">
        <f>+'ICLD 2014'!#REF!</f>
        <v>#REF!</v>
      </c>
      <c r="D30" s="41" t="e">
        <f>+'ICLD 2014'!#REF!</f>
        <v>#REF!</v>
      </c>
      <c r="E30" s="489">
        <f>+'INGRESOS PROYECTADOS MARCO FISC'!E40</f>
        <v>530450</v>
      </c>
      <c r="F30" s="41">
        <f>+'ICLD 2014'!D35</f>
        <v>1748636</v>
      </c>
      <c r="G30" s="41">
        <f>+'ICLD 2014'!E35</f>
        <v>2000000</v>
      </c>
      <c r="H30" s="41">
        <f>+'ICLD 2014'!F35</f>
        <v>2060000</v>
      </c>
      <c r="I30" s="41">
        <f>+'ICLD 2014'!G35</f>
        <v>2121800</v>
      </c>
      <c r="J30" s="41">
        <f>+'ICLD 2014'!H35</f>
        <v>2185454</v>
      </c>
      <c r="K30" s="41">
        <f>+'ICLD 2014'!I35</f>
        <v>2251017.62</v>
      </c>
      <c r="L30" s="41">
        <f>+'ICLD 2014'!J35</f>
        <v>2318548.1486</v>
      </c>
      <c r="M30" s="41">
        <f>+'ICLD 2014'!K35</f>
        <v>2318548.1486</v>
      </c>
      <c r="N30" s="41">
        <f>+'ICLD 2014'!L35</f>
        <v>2388104.593058</v>
      </c>
      <c r="O30" s="41">
        <f>+'ICLD 2014'!M35</f>
        <v>2388104.593058</v>
      </c>
      <c r="P30" s="41">
        <f>+'ICLD 2014'!N35</f>
        <v>2459747.73084974</v>
      </c>
      <c r="Q30" s="41"/>
      <c r="R30" s="38">
        <f t="shared" si="1"/>
        <v>24770410.834165744</v>
      </c>
      <c r="S30" s="39"/>
      <c r="U30" s="29"/>
      <c r="V30" s="29"/>
      <c r="W30" s="24"/>
      <c r="X30" s="24"/>
      <c r="Y30" s="24"/>
      <c r="Z30" s="24"/>
      <c r="AA30" s="24"/>
      <c r="AB30" s="24"/>
      <c r="AC30" s="24"/>
      <c r="AD30" s="24"/>
      <c r="AE30" s="24"/>
    </row>
    <row r="31" spans="1:31" ht="25.5">
      <c r="A31" s="40" t="s">
        <v>507</v>
      </c>
      <c r="B31" s="41"/>
      <c r="C31" s="41" t="e">
        <f>+'ICLD 2014'!#REF!</f>
        <v>#REF!</v>
      </c>
      <c r="D31" s="41" t="e">
        <f>+'ICLD 2014'!#REF!</f>
        <v>#REF!</v>
      </c>
      <c r="E31" s="489">
        <f>+'INGRESOS PROYECTADOS MARCO FISC'!E41</f>
        <v>230450</v>
      </c>
      <c r="F31" s="41">
        <f>+'ICLD 2014'!D36</f>
        <v>0</v>
      </c>
      <c r="G31" s="41">
        <f>+'ICLD 2014'!E36</f>
        <v>200000</v>
      </c>
      <c r="H31" s="41">
        <f>+'ICLD 2014'!F36</f>
        <v>206000</v>
      </c>
      <c r="I31" s="41">
        <f>+'ICLD 2014'!G36</f>
        <v>212180</v>
      </c>
      <c r="J31" s="41">
        <f>+'ICLD 2014'!H36</f>
        <v>218545.4</v>
      </c>
      <c r="K31" s="41">
        <f>+'ICLD 2014'!I36</f>
        <v>225101.762</v>
      </c>
      <c r="L31" s="41">
        <f>+'ICLD 2014'!J36</f>
        <v>231854.81485999998</v>
      </c>
      <c r="M31" s="41">
        <f>+'ICLD 2014'!K36</f>
        <v>231854.81485999998</v>
      </c>
      <c r="N31" s="41">
        <f>+'ICLD 2014'!L36</f>
        <v>238810.4593058</v>
      </c>
      <c r="O31" s="41">
        <f>+'ICLD 2014'!M36</f>
        <v>238810.4593058</v>
      </c>
      <c r="P31" s="41">
        <f>+'ICLD 2014'!N36</f>
        <v>245974.773084974</v>
      </c>
      <c r="Q31" s="41"/>
      <c r="R31" s="38">
        <f t="shared" si="1"/>
        <v>2479582.483416574</v>
      </c>
      <c r="S31" s="39"/>
      <c r="U31" s="29"/>
      <c r="V31" s="29"/>
      <c r="W31" s="24"/>
      <c r="X31" s="24"/>
      <c r="Y31" s="24"/>
      <c r="Z31" s="24"/>
      <c r="AA31" s="24"/>
      <c r="AB31" s="24"/>
      <c r="AC31" s="24"/>
      <c r="AD31" s="24"/>
      <c r="AE31" s="24"/>
    </row>
    <row r="32" spans="1:31" ht="12.75">
      <c r="A32" s="40" t="s">
        <v>508</v>
      </c>
      <c r="B32" s="41"/>
      <c r="C32" s="41" t="e">
        <f>+'ICLD 2014'!#REF!</f>
        <v>#REF!</v>
      </c>
      <c r="D32" s="41" t="e">
        <f>+'ICLD 2014'!#REF!</f>
        <v>#REF!</v>
      </c>
      <c r="E32" s="489">
        <f>+'INGRESOS PROYECTADOS MARCO FISC'!E42</f>
        <v>230450</v>
      </c>
      <c r="F32" s="41">
        <f>+'ICLD 2014'!D37</f>
        <v>164944</v>
      </c>
      <c r="G32" s="41">
        <f>+'ICLD 2014'!E37</f>
        <v>200000</v>
      </c>
      <c r="H32" s="41">
        <f>+'ICLD 2014'!F37</f>
        <v>206000</v>
      </c>
      <c r="I32" s="41">
        <f>+'ICLD 2014'!G37</f>
        <v>212180</v>
      </c>
      <c r="J32" s="41">
        <f>+'ICLD 2014'!H37</f>
        <v>218545.4</v>
      </c>
      <c r="K32" s="41">
        <f>+'ICLD 2014'!I37</f>
        <v>225101.762</v>
      </c>
      <c r="L32" s="41">
        <f>+'ICLD 2014'!J37</f>
        <v>231854.81485999998</v>
      </c>
      <c r="M32" s="41">
        <f>+'ICLD 2014'!K37</f>
        <v>231854.81485999998</v>
      </c>
      <c r="N32" s="41">
        <f>+'ICLD 2014'!L37</f>
        <v>238810.4593058</v>
      </c>
      <c r="O32" s="41">
        <f>+'ICLD 2014'!M37</f>
        <v>238810.4593058</v>
      </c>
      <c r="P32" s="41">
        <f>+'ICLD 2014'!N37</f>
        <v>245974.773084974</v>
      </c>
      <c r="Q32" s="41"/>
      <c r="R32" s="38">
        <f t="shared" si="1"/>
        <v>2644526.483416574</v>
      </c>
      <c r="S32" s="39"/>
      <c r="U32" s="29"/>
      <c r="V32" s="29"/>
      <c r="W32" s="24"/>
      <c r="X32" s="24"/>
      <c r="Y32" s="24"/>
      <c r="Z32" s="24"/>
      <c r="AA32" s="24"/>
      <c r="AB32" s="24"/>
      <c r="AC32" s="24"/>
      <c r="AD32" s="24"/>
      <c r="AE32" s="24"/>
    </row>
    <row r="33" spans="1:31" ht="12.75">
      <c r="A33" s="40" t="s">
        <v>280</v>
      </c>
      <c r="B33" s="41"/>
      <c r="C33" s="41" t="e">
        <f>+'ICLD 2014'!#REF!+'ICLD 2014'!#REF!</f>
        <v>#REF!</v>
      </c>
      <c r="D33" s="41" t="e">
        <f>+'ICLD 2014'!#REF!+'ICLD 2014'!#REF!</f>
        <v>#REF!</v>
      </c>
      <c r="E33" s="489">
        <f>+'INGRESOS PROYECTADOS MARCO FISC'!E43</f>
        <v>530450</v>
      </c>
      <c r="F33" s="41">
        <f>+'ICLD 2014'!D33+'ICLD 2014'!D38</f>
        <v>0</v>
      </c>
      <c r="G33" s="41">
        <f>+'ICLD 2014'!E33+'ICLD 2014'!E38</f>
        <v>200000</v>
      </c>
      <c r="H33" s="41">
        <f>+'ICLD 2014'!F33+'ICLD 2014'!F38</f>
        <v>206000</v>
      </c>
      <c r="I33" s="41">
        <f>+'ICLD 2014'!G33+'ICLD 2014'!G38</f>
        <v>212180</v>
      </c>
      <c r="J33" s="41">
        <f>+'ICLD 2014'!H33+'ICLD 2014'!H38</f>
        <v>218545.4</v>
      </c>
      <c r="K33" s="41">
        <f>+'ICLD 2014'!I33+'ICLD 2014'!I38</f>
        <v>225101.762</v>
      </c>
      <c r="L33" s="41">
        <f>+'ICLD 2014'!J33+'ICLD 2014'!J38</f>
        <v>231854.81485999998</v>
      </c>
      <c r="M33" s="41">
        <f>+'ICLD 2014'!K33+'ICLD 2014'!K38</f>
        <v>231854.81485999998</v>
      </c>
      <c r="N33" s="41">
        <f>+'ICLD 2014'!L33+'ICLD 2014'!L38</f>
        <v>238810.4593058</v>
      </c>
      <c r="O33" s="41">
        <f>+'ICLD 2014'!M33+'ICLD 2014'!M38</f>
        <v>238810.4593058</v>
      </c>
      <c r="P33" s="41">
        <f>+'ICLD 2014'!N33+'ICLD 2014'!N38</f>
        <v>245974.773084974</v>
      </c>
      <c r="Q33" s="41"/>
      <c r="R33" s="38">
        <f t="shared" si="1"/>
        <v>2779582.483416574</v>
      </c>
      <c r="S33" s="39"/>
      <c r="U33" s="29"/>
      <c r="V33" s="29"/>
      <c r="W33" s="24"/>
      <c r="X33" s="24"/>
      <c r="Y33" s="24"/>
      <c r="Z33" s="24"/>
      <c r="AA33" s="24"/>
      <c r="AB33" s="24"/>
      <c r="AC33" s="24"/>
      <c r="AD33" s="24"/>
      <c r="AE33" s="24"/>
    </row>
    <row r="34" spans="1:31" ht="25.5">
      <c r="A34" s="40" t="s">
        <v>279</v>
      </c>
      <c r="B34" s="41"/>
      <c r="C34" s="41" t="e">
        <f>+'ICLD 2014'!#REF!</f>
        <v>#REF!</v>
      </c>
      <c r="D34" s="41" t="e">
        <f>+'ICLD 2014'!#REF!</f>
        <v>#REF!</v>
      </c>
      <c r="E34" s="489">
        <v>0</v>
      </c>
      <c r="F34" s="41">
        <f>+'ICLD 2014'!D45</f>
        <v>25296168</v>
      </c>
      <c r="G34" s="41">
        <f>+'ICLD 2014'!E45</f>
        <v>30000000</v>
      </c>
      <c r="H34" s="41">
        <f>+'ICLD 2014'!F45</f>
        <v>30900000</v>
      </c>
      <c r="I34" s="41">
        <f>+'ICLD 2014'!G45</f>
        <v>31827000</v>
      </c>
      <c r="J34" s="41">
        <f>+'ICLD 2014'!H45</f>
        <v>32781810</v>
      </c>
      <c r="K34" s="41">
        <f>+'ICLD 2014'!I45</f>
        <v>33765264.300000004</v>
      </c>
      <c r="L34" s="41">
        <f>+'ICLD 2014'!J45</f>
        <v>34778222.229</v>
      </c>
      <c r="M34" s="41">
        <f>+'ICLD 2014'!K45</f>
        <v>34778222.229</v>
      </c>
      <c r="N34" s="41">
        <f>+'ICLD 2014'!L45</f>
        <v>35821568.89587</v>
      </c>
      <c r="O34" s="41">
        <f>+'ICLD 2014'!M45</f>
        <v>35821568.89587</v>
      </c>
      <c r="P34" s="41">
        <f>+'ICLD 2014'!N45</f>
        <v>36896215.9627461</v>
      </c>
      <c r="Q34" s="41"/>
      <c r="R34" s="38">
        <f t="shared" si="1"/>
        <v>362666040.51248604</v>
      </c>
      <c r="S34" s="39"/>
      <c r="U34" s="29"/>
      <c r="V34" s="29"/>
      <c r="W34" s="27"/>
      <c r="X34" s="27"/>
      <c r="Y34" s="27"/>
      <c r="Z34" s="27"/>
      <c r="AA34" s="27"/>
      <c r="AB34" s="27"/>
      <c r="AC34" s="27"/>
      <c r="AD34" s="27"/>
      <c r="AE34" s="27"/>
    </row>
    <row r="35" spans="1:31" ht="12.75">
      <c r="A35" s="40" t="s">
        <v>509</v>
      </c>
      <c r="B35" s="41" t="e">
        <f>+#REF!</f>
        <v>#REF!</v>
      </c>
      <c r="C35" s="41"/>
      <c r="D35" s="41"/>
      <c r="E35" s="489">
        <f>+'INGRESOS PROYECTADOS MARCO FISC'!E52</f>
        <v>10813850</v>
      </c>
      <c r="F35" s="41"/>
      <c r="G35" s="41"/>
      <c r="H35" s="41"/>
      <c r="I35" s="41"/>
      <c r="J35" s="41"/>
      <c r="K35" s="41"/>
      <c r="L35" s="41"/>
      <c r="M35" s="41"/>
      <c r="N35" s="41"/>
      <c r="O35" s="41"/>
      <c r="P35" s="41"/>
      <c r="Q35" s="41"/>
      <c r="R35" s="38">
        <f t="shared" si="1"/>
        <v>10813850</v>
      </c>
      <c r="S35" s="39"/>
      <c r="U35" s="29"/>
      <c r="V35" s="29"/>
      <c r="W35" s="27"/>
      <c r="X35" s="27"/>
      <c r="Y35" s="27"/>
      <c r="Z35" s="27"/>
      <c r="AA35" s="27"/>
      <c r="AB35" s="27"/>
      <c r="AC35" s="27"/>
      <c r="AD35" s="27"/>
      <c r="AE35" s="27"/>
    </row>
    <row r="36" spans="1:31" ht="12.75">
      <c r="A36" s="40" t="s">
        <v>501</v>
      </c>
      <c r="B36" s="41" t="e">
        <f>+#REF!</f>
        <v>#REF!</v>
      </c>
      <c r="C36" s="41" t="e">
        <f>+'ICLD 2014'!#REF!</f>
        <v>#REF!</v>
      </c>
      <c r="D36" s="41" t="e">
        <f>+'ICLD 2014'!#REF!</f>
        <v>#REF!</v>
      </c>
      <c r="E36" s="41">
        <f>+'INGRESOS PROYECTADOS MARCO FISC'!E26</f>
        <v>362180</v>
      </c>
      <c r="F36" s="41">
        <f>+'ICLD 2014'!D24</f>
        <v>0</v>
      </c>
      <c r="G36" s="41">
        <f>+'ICLD 2014'!E24</f>
        <v>700000</v>
      </c>
      <c r="H36" s="41">
        <f>+'ICLD 2014'!F24</f>
        <v>721000</v>
      </c>
      <c r="I36" s="41">
        <f>+'ICLD 2014'!G24</f>
        <v>742630</v>
      </c>
      <c r="J36" s="41">
        <f>+'ICLD 2014'!H24</f>
        <v>764908.9</v>
      </c>
      <c r="K36" s="41">
        <f>+'ICLD 2014'!I24</f>
        <v>787856.167</v>
      </c>
      <c r="L36" s="41">
        <f>+'ICLD 2014'!J24</f>
        <v>811491.85201</v>
      </c>
      <c r="M36" s="41">
        <f>+'ICLD 2014'!K24</f>
        <v>811491.85201</v>
      </c>
      <c r="N36" s="41">
        <f>+'ICLD 2014'!L24</f>
        <v>835836.6075703001</v>
      </c>
      <c r="O36" s="41">
        <f>+'ICLD 2014'!M24</f>
        <v>835836.6075703001</v>
      </c>
      <c r="P36" s="41">
        <f>+'ICLD 2014'!N24</f>
        <v>860911.7057974092</v>
      </c>
      <c r="Q36" s="41"/>
      <c r="R36" s="38">
        <f t="shared" si="1"/>
        <v>8234143.69195801</v>
      </c>
      <c r="S36" s="39"/>
      <c r="U36" s="29"/>
      <c r="V36" s="29"/>
      <c r="W36" s="27"/>
      <c r="X36" s="27"/>
      <c r="Y36" s="27"/>
      <c r="Z36" s="27"/>
      <c r="AA36" s="27"/>
      <c r="AB36" s="27"/>
      <c r="AC36" s="27"/>
      <c r="AD36" s="27"/>
      <c r="AE36" s="27"/>
    </row>
    <row r="37" spans="1:33" ht="25.5">
      <c r="A37" s="311" t="s">
        <v>593</v>
      </c>
      <c r="B37" s="41" t="e">
        <f>+#REF!+#REF!+#REF!+#REF!+7000000</f>
        <v>#REF!</v>
      </c>
      <c r="C37" s="43" t="e">
        <f>+'ICLD 2014'!#REF!</f>
        <v>#REF!</v>
      </c>
      <c r="D37" s="43" t="e">
        <f>+'ICLD 2014'!#REF!</f>
        <v>#REF!</v>
      </c>
      <c r="E37" s="43">
        <f>+'ICLD 2014'!C48</f>
        <v>3713150</v>
      </c>
      <c r="F37" s="43">
        <f>+'ICLD 2014'!D48</f>
        <v>14426470</v>
      </c>
      <c r="G37" s="43">
        <f>+'ICLD 2014'!E48</f>
        <v>10797000</v>
      </c>
      <c r="H37" s="43">
        <f>+'ICLD 2014'!F48</f>
        <v>11120910</v>
      </c>
      <c r="I37" s="43">
        <f>+'ICLD 2014'!G48</f>
        <v>11454537.3</v>
      </c>
      <c r="J37" s="43">
        <f>+'ICLD 2014'!H48</f>
        <v>11798173.419</v>
      </c>
      <c r="K37" s="43">
        <f>+'ICLD 2014'!I48</f>
        <v>12152118.62157</v>
      </c>
      <c r="L37" s="43">
        <f>+'ICLD 2014'!J48</f>
        <v>12516682.1802171</v>
      </c>
      <c r="M37" s="43">
        <f>+'ICLD 2014'!K48</f>
        <v>12516682.1802171</v>
      </c>
      <c r="N37" s="43">
        <f>+'ICLD 2014'!L48</f>
        <v>12892182.645623613</v>
      </c>
      <c r="O37" s="43">
        <f>+'ICLD 2014'!M48</f>
        <v>12892182.645623613</v>
      </c>
      <c r="P37" s="43">
        <f>+'ICLD 2014'!N48</f>
        <v>13278948.124992322</v>
      </c>
      <c r="Q37" s="43"/>
      <c r="R37" s="38">
        <f t="shared" si="1"/>
        <v>139559037.11724374</v>
      </c>
      <c r="S37" s="44"/>
      <c r="U37" s="29">
        <v>0.025</v>
      </c>
      <c r="V37" s="29">
        <v>0.02</v>
      </c>
      <c r="W37" s="29">
        <v>0.02</v>
      </c>
      <c r="X37" s="29">
        <v>0.02</v>
      </c>
      <c r="Y37" s="29">
        <v>0.02</v>
      </c>
      <c r="Z37" s="29">
        <v>0.02</v>
      </c>
      <c r="AA37" s="29">
        <v>0.02</v>
      </c>
      <c r="AB37" s="29">
        <v>0.02</v>
      </c>
      <c r="AC37" s="29">
        <v>0.02</v>
      </c>
      <c r="AD37" s="29">
        <v>0.02</v>
      </c>
      <c r="AE37" s="29">
        <v>0.02</v>
      </c>
      <c r="AF37" s="29">
        <v>0.02</v>
      </c>
      <c r="AG37" s="29">
        <v>0.02</v>
      </c>
    </row>
    <row r="38" spans="1:33" ht="12.75">
      <c r="A38" s="45" t="s">
        <v>292</v>
      </c>
      <c r="B38" s="46" t="e">
        <f>+#REF!</f>
        <v>#REF!</v>
      </c>
      <c r="C38" s="47" t="e">
        <f>+'ICLD 2014'!#REF!</f>
        <v>#REF!</v>
      </c>
      <c r="D38" s="47" t="e">
        <f>+'ICLD 2014'!#REF!</f>
        <v>#REF!</v>
      </c>
      <c r="E38" s="47">
        <f>+'INGRESOS PROYECTADOS MARCO FISC'!E66</f>
        <v>1554155797</v>
      </c>
      <c r="F38" s="47">
        <f>+'ICLD 2014'!D52</f>
        <v>1600780471</v>
      </c>
      <c r="G38" s="47">
        <f>+'ICLD 2014'!E52</f>
        <v>1524413636</v>
      </c>
      <c r="H38" s="47">
        <f>+'ICLD 2014'!F52</f>
        <v>1570146045.08</v>
      </c>
      <c r="I38" s="47">
        <f>+'ICLD 2014'!G52</f>
        <v>1617250426.4324</v>
      </c>
      <c r="J38" s="47">
        <f>+'ICLD 2014'!H52</f>
        <v>1665767939.225372</v>
      </c>
      <c r="K38" s="47">
        <f>+'ICLD 2014'!I52</f>
        <v>1715740977.4021332</v>
      </c>
      <c r="L38" s="47">
        <f>+'ICLD 2014'!J52</f>
        <v>1767213206.7241974</v>
      </c>
      <c r="M38" s="47">
        <f>+'ICLD 2014'!K52</f>
        <v>1820229602.9259233</v>
      </c>
      <c r="N38" s="47">
        <f>+'ICLD 2014'!L52</f>
        <v>1874836491.0137012</v>
      </c>
      <c r="O38" s="47">
        <f>+'ICLD 2014'!M52</f>
        <v>1931081585.7441123</v>
      </c>
      <c r="P38" s="47">
        <f>+'ICLD 2014'!N52</f>
        <v>1989014033.3164356</v>
      </c>
      <c r="Q38" s="47"/>
      <c r="R38" s="38">
        <f t="shared" si="1"/>
        <v>20630630211.864277</v>
      </c>
      <c r="S38" s="39"/>
      <c r="U38" s="29">
        <v>0.025</v>
      </c>
      <c r="V38" s="29">
        <v>0.02</v>
      </c>
      <c r="W38" s="24">
        <v>0.01</v>
      </c>
      <c r="X38" s="24">
        <v>0.01</v>
      </c>
      <c r="Y38" s="24">
        <v>0.01</v>
      </c>
      <c r="Z38" s="24">
        <v>0.01</v>
      </c>
      <c r="AA38" s="24">
        <v>0.01</v>
      </c>
      <c r="AB38" s="24">
        <v>0.01</v>
      </c>
      <c r="AC38" s="24">
        <v>0.01</v>
      </c>
      <c r="AD38" s="24">
        <v>0.01</v>
      </c>
      <c r="AE38" s="24">
        <v>0.01</v>
      </c>
      <c r="AF38" s="24">
        <v>0.01</v>
      </c>
      <c r="AG38" s="24">
        <v>0.01</v>
      </c>
    </row>
    <row r="39" spans="1:33" ht="24">
      <c r="A39" s="586" t="s">
        <v>263</v>
      </c>
      <c r="B39" s="587">
        <f>+B40+B41+B42</f>
        <v>4487608426</v>
      </c>
      <c r="C39" s="490" t="e">
        <f>+C40+C41+C42+C46+C47</f>
        <v>#REF!</v>
      </c>
      <c r="D39" s="490" t="e">
        <f>+D40+D41+D42</f>
        <v>#REF!</v>
      </c>
      <c r="E39" s="490">
        <f>+E40+E41</f>
        <v>7934010106</v>
      </c>
      <c r="F39" s="490">
        <f>+F40+F41</f>
        <v>8330953105.513254</v>
      </c>
      <c r="G39" s="38">
        <f>+G40+G41</f>
        <v>9333972835.554321</v>
      </c>
      <c r="H39" s="38">
        <f>+H40+H41</f>
        <v>9377092020.620949</v>
      </c>
      <c r="I39" s="38">
        <f aca="true" t="shared" si="7" ref="I39:Q39">+I40+I41</f>
        <v>9658404781.239578</v>
      </c>
      <c r="J39" s="38">
        <f t="shared" si="7"/>
        <v>9948156924.676765</v>
      </c>
      <c r="K39" s="38">
        <f t="shared" si="7"/>
        <v>10246601632.41707</v>
      </c>
      <c r="L39" s="38">
        <f t="shared" si="7"/>
        <v>10553999681.38958</v>
      </c>
      <c r="M39" s="38">
        <f t="shared" si="7"/>
        <v>10870619671.831268</v>
      </c>
      <c r="N39" s="38">
        <f t="shared" si="7"/>
        <v>11196738261.986206</v>
      </c>
      <c r="O39" s="38">
        <f t="shared" si="7"/>
        <v>11532640409.845795</v>
      </c>
      <c r="P39" s="38">
        <f t="shared" si="7"/>
        <v>11878619622.141167</v>
      </c>
      <c r="Q39" s="38">
        <f t="shared" si="7"/>
        <v>0</v>
      </c>
      <c r="R39" s="490">
        <f t="shared" si="1"/>
        <v>120861809053.21594</v>
      </c>
      <c r="S39" s="49"/>
      <c r="U39" s="29">
        <v>0.035</v>
      </c>
      <c r="V39" s="29">
        <v>0.03</v>
      </c>
      <c r="W39" s="24">
        <v>0.025</v>
      </c>
      <c r="X39" s="24">
        <v>0.01</v>
      </c>
      <c r="Y39" s="24">
        <v>0.01</v>
      </c>
      <c r="Z39" s="24">
        <v>0.01</v>
      </c>
      <c r="AA39" s="24">
        <v>0.01</v>
      </c>
      <c r="AB39" s="24">
        <v>0.01</v>
      </c>
      <c r="AC39" s="24">
        <v>0.01</v>
      </c>
      <c r="AD39" s="24">
        <v>0.01</v>
      </c>
      <c r="AE39" s="24">
        <v>0.01</v>
      </c>
      <c r="AF39" s="24">
        <v>0.01</v>
      </c>
      <c r="AG39" s="24">
        <v>0.01</v>
      </c>
    </row>
    <row r="40" spans="1:31" ht="12.75">
      <c r="A40" s="482" t="s">
        <v>264</v>
      </c>
      <c r="B40" s="14">
        <f>+'MARCO GASTOS'!B14</f>
        <v>1543320302</v>
      </c>
      <c r="C40" s="41">
        <f>+'FUNCIONAMIENTO 2014'!D8</f>
        <v>2641978082</v>
      </c>
      <c r="D40" s="41" t="e">
        <f>+'FUNCIONAMIENTO 2014'!#REF!</f>
        <v>#REF!</v>
      </c>
      <c r="E40" s="41">
        <f>+'FUNCIONAMIENTO 2014'!E8</f>
        <v>3599671319</v>
      </c>
      <c r="F40" s="41">
        <f>+'FUNCIONAMIENTO 2014'!F8</f>
        <v>4056153616.513254</v>
      </c>
      <c r="G40" s="41">
        <f>+'FUNCIONAMIENTO 2014'!G8</f>
        <v>4664490600</v>
      </c>
      <c r="H40" s="41">
        <f>+'FUNCIONAMIENTO 2014'!H8</f>
        <v>4804425318</v>
      </c>
      <c r="I40" s="41">
        <f>+'FUNCIONAMIENTO 2014'!I8</f>
        <v>4948558077.54</v>
      </c>
      <c r="J40" s="41">
        <f>+'FUNCIONAMIENTO 2014'!J8</f>
        <v>5097014819.8661995</v>
      </c>
      <c r="K40" s="41">
        <f>+'FUNCIONAMIENTO 2014'!K8</f>
        <v>5249925264.462187</v>
      </c>
      <c r="L40" s="41">
        <f>+'FUNCIONAMIENTO 2014'!L8</f>
        <v>5407423022.396051</v>
      </c>
      <c r="M40" s="41">
        <f>+'FUNCIONAMIENTO 2014'!M8</f>
        <v>5569645713.067932</v>
      </c>
      <c r="N40" s="41">
        <f>+'FUNCIONAMIENTO 2014'!N8</f>
        <v>5736735084.459971</v>
      </c>
      <c r="O40" s="41">
        <f>+'FUNCIONAMIENTO 2014'!O8</f>
        <v>5908837136.993771</v>
      </c>
      <c r="P40" s="41">
        <f>+'FUNCIONAMIENTO 2014'!P8</f>
        <v>6086102251.103582</v>
      </c>
      <c r="Q40" s="41"/>
      <c r="R40" s="38">
        <f t="shared" si="1"/>
        <v>61128982223.40295</v>
      </c>
      <c r="S40" s="50"/>
      <c r="U40" s="29">
        <v>0</v>
      </c>
      <c r="V40" s="29">
        <v>0</v>
      </c>
      <c r="W40" s="24">
        <v>0</v>
      </c>
      <c r="X40" s="24">
        <v>0</v>
      </c>
      <c r="Y40" s="24">
        <v>0</v>
      </c>
      <c r="Z40" s="24">
        <v>0</v>
      </c>
      <c r="AA40" s="24">
        <v>0</v>
      </c>
      <c r="AB40" s="24">
        <v>0</v>
      </c>
      <c r="AC40" s="24">
        <v>0</v>
      </c>
      <c r="AD40" s="24">
        <v>0</v>
      </c>
      <c r="AE40" s="24">
        <v>0</v>
      </c>
    </row>
    <row r="41" spans="1:31" ht="12.75">
      <c r="A41" s="483" t="s">
        <v>265</v>
      </c>
      <c r="B41" s="14">
        <f>+'MARCO GASTOS'!B15</f>
        <v>2202771005</v>
      </c>
      <c r="C41" s="41">
        <f>+'FUNCIONAMIENTO 2014'!D45-'FUNCIONAMIENTO 2014'!D69-'FUNCIONAMIENTO 2014'!D61</f>
        <v>2582368154</v>
      </c>
      <c r="D41" s="41" t="e">
        <f>+'FUNCIONAMIENTO 2014'!#REF!-'FUNCIONAMIENTO 2014'!#REF!-'FUNCIONAMIENTO 2014'!#REF!</f>
        <v>#REF!</v>
      </c>
      <c r="E41" s="41">
        <f>+'FUNCIONAMIENTO 2014'!E45+'FUNCIONAMIENTO 2014'!E89</f>
        <v>4334338787</v>
      </c>
      <c r="F41" s="41">
        <f>+'FUNCIONAMIENTO 2014'!F45+'FUNCIONAMIENTO 2014'!F89</f>
        <v>4274799489</v>
      </c>
      <c r="G41" s="41">
        <f>+'FUNCIONAMIENTO 2014'!G45+'FUNCIONAMIENTO 2014'!G89+'FUNCIONAMIENTO 2014'!G112</f>
        <v>4669482235.55432</v>
      </c>
      <c r="H41" s="41">
        <f>+'FUNCIONAMIENTO 2014'!H45+'FUNCIONAMIENTO 2014'!H89+'FUNCIONAMIENTO 2014'!H112</f>
        <v>4572666702.62095</v>
      </c>
      <c r="I41" s="41">
        <f>+'FUNCIONAMIENTO 2014'!I45+'FUNCIONAMIENTO 2014'!I89+'FUNCIONAMIENTO 2014'!I112</f>
        <v>4709846703.699578</v>
      </c>
      <c r="J41" s="41">
        <f>+'FUNCIONAMIENTO 2014'!J45+'FUNCIONAMIENTO 2014'!J89+'FUNCIONAMIENTO 2014'!J112</f>
        <v>4851142104.810565</v>
      </c>
      <c r="K41" s="41">
        <f>+'FUNCIONAMIENTO 2014'!K45+'FUNCIONAMIENTO 2014'!K89+'FUNCIONAMIENTO 2014'!K112</f>
        <v>4996676367.954884</v>
      </c>
      <c r="L41" s="41">
        <f>+'FUNCIONAMIENTO 2014'!L45+'FUNCIONAMIENTO 2014'!L89+'FUNCIONAMIENTO 2014'!L112</f>
        <v>5146576658.993528</v>
      </c>
      <c r="M41" s="41">
        <f>+'FUNCIONAMIENTO 2014'!M45+'FUNCIONAMIENTO 2014'!M89+'FUNCIONAMIENTO 2014'!M112</f>
        <v>5300973958.763335</v>
      </c>
      <c r="N41" s="41">
        <f>+'FUNCIONAMIENTO 2014'!N45+'FUNCIONAMIENTO 2014'!N89+'FUNCIONAMIENTO 2014'!N112</f>
        <v>5460003177.526236</v>
      </c>
      <c r="O41" s="41">
        <f>+'FUNCIONAMIENTO 2014'!O45+'FUNCIONAMIENTO 2014'!O89+'FUNCIONAMIENTO 2014'!O112</f>
        <v>5623803272.852023</v>
      </c>
      <c r="P41" s="41">
        <f>+'FUNCIONAMIENTO 2014'!P45+'FUNCIONAMIENTO 2014'!P89+'FUNCIONAMIENTO 2014'!P112</f>
        <v>5792517371.037585</v>
      </c>
      <c r="Q41" s="41">
        <f>+'FUNCIONAMIENTO 2014'!Q45+'FUNCIONAMIENTO 2014'!Q89+'FUNCIONAMIENTO 2014'!Q112</f>
        <v>0</v>
      </c>
      <c r="R41" s="38">
        <f t="shared" si="1"/>
        <v>59732826829.813</v>
      </c>
      <c r="S41" s="50"/>
      <c r="U41" s="29">
        <v>0</v>
      </c>
      <c r="V41" s="29">
        <v>0</v>
      </c>
      <c r="W41" s="24">
        <v>0</v>
      </c>
      <c r="X41" s="24">
        <v>0</v>
      </c>
      <c r="Y41" s="24">
        <v>0</v>
      </c>
      <c r="Z41" s="24">
        <v>0</v>
      </c>
      <c r="AA41" s="24">
        <v>0</v>
      </c>
      <c r="AB41" s="24">
        <v>0</v>
      </c>
      <c r="AC41" s="24">
        <v>0</v>
      </c>
      <c r="AD41" s="24">
        <v>0</v>
      </c>
      <c r="AE41" s="24">
        <v>0</v>
      </c>
    </row>
    <row r="42" spans="1:31" ht="12.75">
      <c r="A42" s="484" t="s">
        <v>1603</v>
      </c>
      <c r="B42" s="13">
        <f>B43+B44+B45</f>
        <v>741517119</v>
      </c>
      <c r="C42" s="51" t="e">
        <f>C43+C44+C45+C46+C47+C48+#REF!</f>
        <v>#REF!</v>
      </c>
      <c r="D42" s="51" t="e">
        <f>D43+D44+D45+D46+D47+D48+#REF!</f>
        <v>#REF!</v>
      </c>
      <c r="E42" s="51" t="e">
        <f>E43+E44+E45+E46+E47+E48+#REF!</f>
        <v>#REF!</v>
      </c>
      <c r="F42" s="38">
        <f>F43+F44+F45+F46+F47+F48</f>
        <v>1864436979</v>
      </c>
      <c r="G42" s="38">
        <f>G43+G44+G45+G46+G47+G48</f>
        <v>1984460523.3543198</v>
      </c>
      <c r="H42" s="38">
        <f>H43+H44+H45+H46+H47+H48</f>
        <v>2043994339.0549498</v>
      </c>
      <c r="I42" s="38">
        <f aca="true" t="shared" si="8" ref="I42:Q42">I43+I44+I45+I46+I47+I48</f>
        <v>2105314169.226598</v>
      </c>
      <c r="J42" s="38">
        <f t="shared" si="8"/>
        <v>2168473594.303396</v>
      </c>
      <c r="K42" s="38">
        <f t="shared" si="8"/>
        <v>2233527802.1324983</v>
      </c>
      <c r="L42" s="38">
        <f t="shared" si="8"/>
        <v>2300533636.196473</v>
      </c>
      <c r="M42" s="38">
        <f t="shared" si="8"/>
        <v>2354068063.0131416</v>
      </c>
      <c r="N42" s="38">
        <f t="shared" si="8"/>
        <v>2424690104.9035363</v>
      </c>
      <c r="O42" s="38">
        <f t="shared" si="8"/>
        <v>2481484778.31334</v>
      </c>
      <c r="P42" s="38">
        <f t="shared" si="8"/>
        <v>2555929321.6627407</v>
      </c>
      <c r="Q42" s="38">
        <f t="shared" si="8"/>
        <v>0</v>
      </c>
      <c r="R42" s="38">
        <f>SUM(F42:P42)</f>
        <v>24516913311.160995</v>
      </c>
      <c r="S42" s="50"/>
      <c r="U42" s="29">
        <v>0</v>
      </c>
      <c r="V42" s="29">
        <v>0</v>
      </c>
      <c r="W42" s="24">
        <v>0</v>
      </c>
      <c r="X42" s="24">
        <v>0</v>
      </c>
      <c r="Y42" s="24">
        <v>0</v>
      </c>
      <c r="Z42" s="24">
        <v>0</v>
      </c>
      <c r="AA42" s="24">
        <v>0</v>
      </c>
      <c r="AB42" s="24">
        <v>0</v>
      </c>
      <c r="AC42" s="24">
        <v>0</v>
      </c>
      <c r="AD42" s="24">
        <v>0</v>
      </c>
      <c r="AE42" s="24">
        <v>0</v>
      </c>
    </row>
    <row r="43" spans="1:31" ht="12.75">
      <c r="A43" s="482" t="s">
        <v>1597</v>
      </c>
      <c r="B43" s="14">
        <f>+'MARCO GASTOS'!B17</f>
        <v>290699205</v>
      </c>
      <c r="C43" s="41">
        <f>+'FUNCIONAMIENTO 2014'!D90</f>
        <v>417445193</v>
      </c>
      <c r="D43" s="41" t="e">
        <f>+'FUNCIONAMIENTO 2014'!#REF!</f>
        <v>#REF!</v>
      </c>
      <c r="E43" s="41">
        <f>+'FUNCIONAMIENTO 2014'!E91</f>
        <v>360921907</v>
      </c>
      <c r="F43" s="41">
        <f>+'FUNCIONAMIENTO 2014'!F91</f>
        <v>401339387</v>
      </c>
      <c r="G43" s="41">
        <f>+'FUNCIONAMIENTO 2014'!G91</f>
        <v>430720573.998</v>
      </c>
      <c r="H43" s="41">
        <f>+'FUNCIONAMIENTO 2014'!H91</f>
        <v>443642191.21794003</v>
      </c>
      <c r="I43" s="41">
        <f>+'FUNCIONAMIENTO 2014'!I91</f>
        <v>456951456.95447826</v>
      </c>
      <c r="J43" s="41">
        <f>+'FUNCIONAMIENTO 2014'!J91</f>
        <v>470660000.66311264</v>
      </c>
      <c r="K43" s="41">
        <f>+'FUNCIONAMIENTO 2014'!K91</f>
        <v>484779800.68300605</v>
      </c>
      <c r="L43" s="41">
        <f>+'FUNCIONAMIENTO 2014'!L91</f>
        <v>499323194.7034962</v>
      </c>
      <c r="M43" s="41">
        <f>+'FUNCIONAMIENTO 2014'!M91</f>
        <v>514302890.54460114</v>
      </c>
      <c r="N43" s="41">
        <f>+'FUNCIONAMIENTO 2014'!N91</f>
        <v>529731977.2609392</v>
      </c>
      <c r="O43" s="41">
        <f>+'FUNCIONAMIENTO 2014'!O91</f>
        <v>545623936.5787674</v>
      </c>
      <c r="P43" s="41">
        <f>+'FUNCIONAMIENTO 2014'!P91</f>
        <v>561992654.6761304</v>
      </c>
      <c r="Q43" s="41"/>
      <c r="R43" s="38">
        <f aca="true" t="shared" si="9" ref="R43:R48">SUM(E43:P43)</f>
        <v>5699989971.280472</v>
      </c>
      <c r="S43" s="52"/>
      <c r="U43" s="29">
        <v>0</v>
      </c>
      <c r="V43" s="29">
        <v>0</v>
      </c>
      <c r="W43" s="24">
        <v>0</v>
      </c>
      <c r="X43" s="24">
        <v>0</v>
      </c>
      <c r="Y43" s="24">
        <v>0</v>
      </c>
      <c r="Z43" s="24">
        <v>0</v>
      </c>
      <c r="AA43" s="24">
        <v>0</v>
      </c>
      <c r="AB43" s="24">
        <v>0</v>
      </c>
      <c r="AC43" s="24">
        <v>0</v>
      </c>
      <c r="AD43" s="24">
        <v>0</v>
      </c>
      <c r="AE43" s="24">
        <v>0</v>
      </c>
    </row>
    <row r="44" spans="1:31" ht="16.5" customHeight="1">
      <c r="A44" s="483" t="s">
        <v>293</v>
      </c>
      <c r="B44" s="14"/>
      <c r="C44" s="41"/>
      <c r="D44" s="41">
        <f>+C44*(1+'INGRESOS PROYECTADOS MARCO FISC'!$AI$10)</f>
        <v>0</v>
      </c>
      <c r="E44" s="41">
        <f>+'FUNCIONAMIENTO 2014'!E93</f>
        <v>155216880</v>
      </c>
      <c r="F44" s="41">
        <f>+'FUNCIONAMIENTO 2014'!F93</f>
        <v>112005000</v>
      </c>
      <c r="G44" s="41">
        <f>+'FUNCIONAMIENTO 2014'!G93</f>
        <v>171662400</v>
      </c>
      <c r="H44" s="41">
        <f>+'FUNCIONAMIENTO 2014'!H93</f>
        <v>176812272</v>
      </c>
      <c r="I44" s="41">
        <f>+'FUNCIONAMIENTO 2014'!I93</f>
        <v>182116640.16</v>
      </c>
      <c r="J44" s="41">
        <f>+'FUNCIONAMIENTO 2014'!J93</f>
        <v>187580139.3648</v>
      </c>
      <c r="K44" s="41">
        <f>+'FUNCIONAMIENTO 2014'!K93</f>
        <v>193207543.545744</v>
      </c>
      <c r="L44" s="41">
        <f>+'FUNCIONAMIENTO 2014'!L93</f>
        <v>199003769.85211632</v>
      </c>
      <c r="M44" s="41">
        <f>+'FUNCIONAMIENTO 2014'!M93</f>
        <v>204973882.94767982</v>
      </c>
      <c r="N44" s="41">
        <f>+'FUNCIONAMIENTO 2014'!N93</f>
        <v>211123099.43611023</v>
      </c>
      <c r="O44" s="41">
        <f>+'FUNCIONAMIENTO 2014'!O93</f>
        <v>217456792.41919354</v>
      </c>
      <c r="P44" s="41">
        <f>+'FUNCIONAMIENTO 2014'!P93</f>
        <v>223980496.19176936</v>
      </c>
      <c r="Q44" s="41"/>
      <c r="R44" s="38">
        <f t="shared" si="9"/>
        <v>2235138915.917413</v>
      </c>
      <c r="S44" s="52"/>
      <c r="U44" s="29">
        <v>0</v>
      </c>
      <c r="V44" s="29">
        <v>0</v>
      </c>
      <c r="W44" s="24">
        <v>0</v>
      </c>
      <c r="X44" s="24">
        <v>0</v>
      </c>
      <c r="Y44" s="24">
        <v>0</v>
      </c>
      <c r="Z44" s="24">
        <v>0</v>
      </c>
      <c r="AA44" s="24">
        <v>0</v>
      </c>
      <c r="AB44" s="24">
        <v>0</v>
      </c>
      <c r="AC44" s="24">
        <v>0</v>
      </c>
      <c r="AD44" s="24">
        <v>0</v>
      </c>
      <c r="AE44" s="24">
        <v>0</v>
      </c>
    </row>
    <row r="45" spans="1:31" ht="12.75">
      <c r="A45" s="485" t="s">
        <v>592</v>
      </c>
      <c r="B45" s="14">
        <f>+'MARCO GASTOS'!B16</f>
        <v>450817914</v>
      </c>
      <c r="C45" s="41">
        <f>+'FUNCIONAMIENTO 2014'!D95</f>
        <v>178500000</v>
      </c>
      <c r="D45" s="41" t="e">
        <f>+'FUNCIONAMIENTO 2014'!#REF!</f>
        <v>#REF!</v>
      </c>
      <c r="E45" s="41">
        <f>+'FUNCIONAMIENTO 2014'!E95+'FUNCIONAMIENTO 2014'!E102</f>
        <v>1065908402.61</v>
      </c>
      <c r="F45" s="41">
        <f>+'FUNCIONAMIENTO 2014'!F95+'FUNCIONAMIENTO 2014'!F102</f>
        <v>1315332592</v>
      </c>
      <c r="G45" s="41">
        <f>+'FUNCIONAMIENTO 2014'!G95+'FUNCIONAMIENTO 2014'!G102</f>
        <v>850693511.55632</v>
      </c>
      <c r="H45" s="41">
        <f>+'FUNCIONAMIENTO 2014'!H95+'FUNCIONAMIENTO 2014'!H102</f>
        <v>876214316.9030097</v>
      </c>
      <c r="I45" s="41">
        <f>+'FUNCIONAMIENTO 2014'!I95+'FUNCIONAMIENTO 2014'!I102</f>
        <v>902500746.4101</v>
      </c>
      <c r="J45" s="41">
        <f>+'FUNCIONAMIENTO 2014'!J95+'FUNCIONAMIENTO 2014'!J102</f>
        <v>929575768.802403</v>
      </c>
      <c r="K45" s="41">
        <f>+'FUNCIONAMIENTO 2014'!K95+'FUNCIONAMIENTO 2014'!K102</f>
        <v>957463041.8664751</v>
      </c>
      <c r="L45" s="41">
        <f>+'FUNCIONAMIENTO 2014'!L95+'FUNCIONAMIENTO 2014'!L102</f>
        <v>986186933.1224693</v>
      </c>
      <c r="M45" s="41">
        <f>+'FUNCIONAMIENTO 2014'!M95+'FUNCIONAMIENTO 2014'!M102</f>
        <v>1015772541.1161433</v>
      </c>
      <c r="N45" s="41">
        <f>+'FUNCIONAMIENTO 2014'!N95+'FUNCIONAMIENTO 2014'!N102</f>
        <v>1046245717.3496276</v>
      </c>
      <c r="O45" s="41">
        <f>+'FUNCIONAMIENTO 2014'!O95+'FUNCIONAMIENTO 2014'!O102</f>
        <v>1077633088.8701165</v>
      </c>
      <c r="P45" s="41">
        <f>+'FUNCIONAMIENTO 2014'!P95+'FUNCIONAMIENTO 2014'!P102</f>
        <v>1109962081.53622</v>
      </c>
      <c r="Q45" s="41"/>
      <c r="R45" s="38">
        <f t="shared" si="9"/>
        <v>12133488742.142885</v>
      </c>
      <c r="S45" s="52"/>
      <c r="U45" s="29">
        <v>0</v>
      </c>
      <c r="V45" s="29">
        <v>0</v>
      </c>
      <c r="W45" s="24">
        <v>0</v>
      </c>
      <c r="X45" s="24">
        <v>0</v>
      </c>
      <c r="Y45" s="24">
        <v>0</v>
      </c>
      <c r="Z45" s="24">
        <v>0</v>
      </c>
      <c r="AA45" s="24">
        <v>0</v>
      </c>
      <c r="AB45" s="24">
        <v>0</v>
      </c>
      <c r="AC45" s="24">
        <v>0</v>
      </c>
      <c r="AD45" s="24">
        <v>0</v>
      </c>
      <c r="AE45" s="24">
        <v>0</v>
      </c>
    </row>
    <row r="46" spans="1:31" ht="12.75">
      <c r="A46" s="485" t="s">
        <v>587</v>
      </c>
      <c r="B46" s="14"/>
      <c r="C46" s="41">
        <f>+'FUNCIONAMIENTO 2014'!D61</f>
        <v>3500000</v>
      </c>
      <c r="D46" s="41" t="e">
        <f>+'FUNCIONAMIENTO 2014'!#REF!</f>
        <v>#REF!</v>
      </c>
      <c r="E46" s="41">
        <f>+'FUNCIONAMIENTO 2014'!E61</f>
        <v>7000000</v>
      </c>
      <c r="F46" s="41">
        <f>+'FUNCIONAMIENTO 2014'!F61</f>
        <v>7350000</v>
      </c>
      <c r="G46" s="41">
        <f>+'FUNCIONAMIENTO 2014'!G61</f>
        <v>8500000</v>
      </c>
      <c r="H46" s="41">
        <f>+'FUNCIONAMIENTO 2014'!H61</f>
        <v>8755000</v>
      </c>
      <c r="I46" s="41">
        <f>+'FUNCIONAMIENTO 2014'!I61</f>
        <v>9017650</v>
      </c>
      <c r="J46" s="41">
        <f>+'FUNCIONAMIENTO 2014'!J61</f>
        <v>9288179.5</v>
      </c>
      <c r="K46" s="41">
        <f>+'FUNCIONAMIENTO 2014'!K61</f>
        <v>9566824.885</v>
      </c>
      <c r="L46" s="41">
        <f>+'FUNCIONAMIENTO 2014'!L61</f>
        <v>9853829.63155</v>
      </c>
      <c r="M46" s="41">
        <f>+'FUNCIONAMIENTO 2014'!M61</f>
        <v>10149444.520496499</v>
      </c>
      <c r="N46" s="41">
        <f>+'FUNCIONAMIENTO 2014'!N61</f>
        <v>10453927.856111394</v>
      </c>
      <c r="O46" s="41">
        <f>+'FUNCIONAMIENTO 2014'!O61</f>
        <v>10767545.691794736</v>
      </c>
      <c r="P46" s="41">
        <f>+'FUNCIONAMIENTO 2014'!P61</f>
        <v>11090572.062548578</v>
      </c>
      <c r="Q46" s="41"/>
      <c r="R46" s="38">
        <f t="shared" si="9"/>
        <v>111792974.14750122</v>
      </c>
      <c r="S46" s="52"/>
      <c r="U46" s="29"/>
      <c r="V46" s="29"/>
      <c r="W46" s="24"/>
      <c r="X46" s="24"/>
      <c r="Y46" s="24"/>
      <c r="Z46" s="24"/>
      <c r="AA46" s="24"/>
      <c r="AB46" s="24"/>
      <c r="AC46" s="24"/>
      <c r="AD46" s="24"/>
      <c r="AE46" s="24"/>
    </row>
    <row r="47" spans="1:31" ht="33.75">
      <c r="A47" s="485" t="s">
        <v>1608</v>
      </c>
      <c r="B47" s="14"/>
      <c r="C47" s="41">
        <f>+'FUNCIONAMIENTO 2014'!D69</f>
        <v>16000000</v>
      </c>
      <c r="D47" s="41" t="e">
        <f>+'FUNCIONAMIENTO 2014'!#REF!</f>
        <v>#REF!</v>
      </c>
      <c r="E47" s="41">
        <f>+'FUNCIONAMIENTO 2014'!E69+'FUNCIONAMIENTO 2014'!E29</f>
        <v>27877000</v>
      </c>
      <c r="F47" s="41">
        <f>+'FUNCIONAMIENTO 2014'!F69+'FUNCIONAMIENTO 2014'!F29</f>
        <v>28410000</v>
      </c>
      <c r="G47" s="41">
        <f>+'FUNCIONAMIENTO 2014'!G69+'FUNCIONAMIENTO 2014'!G29</f>
        <v>32000000</v>
      </c>
      <c r="H47" s="41">
        <f>+'FUNCIONAMIENTO 2014'!H69+'FUNCIONAMIENTO 2014'!H29</f>
        <v>32960000</v>
      </c>
      <c r="I47" s="41">
        <f>+'FUNCIONAMIENTO 2014'!I69+'FUNCIONAMIENTO 2014'!I29</f>
        <v>33948800</v>
      </c>
      <c r="J47" s="41">
        <f>+'FUNCIONAMIENTO 2014'!J69+'FUNCIONAMIENTO 2014'!J29</f>
        <v>34967264</v>
      </c>
      <c r="K47" s="41">
        <f>+'FUNCIONAMIENTO 2014'!K69+'FUNCIONAMIENTO 2014'!K29</f>
        <v>36016281.92</v>
      </c>
      <c r="L47" s="41">
        <f>+'FUNCIONAMIENTO 2014'!L69+'FUNCIONAMIENTO 2014'!L29</f>
        <v>37096770.37760001</v>
      </c>
      <c r="M47" s="41">
        <f>+'FUNCIONAMIENTO 2014'!M69+'FUNCIONAMIENTO 2014'!M29</f>
        <v>38209673.488928005</v>
      </c>
      <c r="N47" s="41">
        <f>+'FUNCIONAMIENTO 2014'!N69+'FUNCIONAMIENTO 2014'!N29</f>
        <v>39355963.69359585</v>
      </c>
      <c r="O47" s="41">
        <f>+'FUNCIONAMIENTO 2014'!O69+'FUNCIONAMIENTO 2014'!O29</f>
        <v>40536642.60440373</v>
      </c>
      <c r="P47" s="41">
        <f>+'FUNCIONAMIENTO 2014'!P69+'FUNCIONAMIENTO 2014'!P29</f>
        <v>41752741.88253584</v>
      </c>
      <c r="Q47" s="41"/>
      <c r="R47" s="38">
        <f t="shared" si="9"/>
        <v>423131137.9670634</v>
      </c>
      <c r="S47" s="52"/>
      <c r="U47" s="29"/>
      <c r="V47" s="29"/>
      <c r="W47" s="24"/>
      <c r="X47" s="24"/>
      <c r="Y47" s="24"/>
      <c r="Z47" s="24"/>
      <c r="AA47" s="24"/>
      <c r="AB47" s="24"/>
      <c r="AC47" s="24"/>
      <c r="AD47" s="24"/>
      <c r="AE47" s="24"/>
    </row>
    <row r="48" spans="1:31" ht="22.5">
      <c r="A48" s="486" t="s">
        <v>1742</v>
      </c>
      <c r="B48" s="13"/>
      <c r="C48" s="48"/>
      <c r="D48" s="41"/>
      <c r="E48" s="41"/>
      <c r="F48" s="41"/>
      <c r="G48" s="41">
        <f>+'ICLD 2014'!E8*3%</f>
        <v>490884037.79999995</v>
      </c>
      <c r="H48" s="41">
        <f>+'ICLD 2014'!F8*3%</f>
        <v>505610558.93399996</v>
      </c>
      <c r="I48" s="41">
        <f>+'ICLD 2014'!G8*3%</f>
        <v>520778875.70202</v>
      </c>
      <c r="J48" s="41">
        <f>+'ICLD 2014'!H8*3%</f>
        <v>536402241.9730806</v>
      </c>
      <c r="K48" s="41">
        <f>+'ICLD 2014'!I8*3%</f>
        <v>552494309.2322731</v>
      </c>
      <c r="L48" s="41">
        <f>+'ICLD 2014'!J8*3%</f>
        <v>569069138.5092412</v>
      </c>
      <c r="M48" s="41">
        <f>+'ICLD 2014'!K8*3%</f>
        <v>570659630.395293</v>
      </c>
      <c r="N48" s="41">
        <f>+'ICLD 2014'!L8*3%</f>
        <v>587779419.3071519</v>
      </c>
      <c r="O48" s="41">
        <f>+'ICLD 2014'!M8*3%</f>
        <v>589466772.1490643</v>
      </c>
      <c r="P48" s="41">
        <f>+'ICLD 2014'!N8*3%</f>
        <v>607150775.3135362</v>
      </c>
      <c r="Q48" s="41"/>
      <c r="R48" s="38">
        <f t="shared" si="9"/>
        <v>5530295759.31566</v>
      </c>
      <c r="S48" s="50"/>
      <c r="U48" s="29">
        <v>0</v>
      </c>
      <c r="V48" s="29">
        <v>0</v>
      </c>
      <c r="W48" s="26">
        <v>0</v>
      </c>
      <c r="X48" s="26">
        <v>0</v>
      </c>
      <c r="Y48" s="26">
        <v>0</v>
      </c>
      <c r="Z48" s="26">
        <v>0</v>
      </c>
      <c r="AA48" s="26">
        <v>0</v>
      </c>
      <c r="AB48" s="26">
        <v>0</v>
      </c>
      <c r="AC48" s="26">
        <v>0</v>
      </c>
      <c r="AD48" s="26">
        <v>0</v>
      </c>
      <c r="AE48" s="26">
        <v>0</v>
      </c>
    </row>
    <row r="49" spans="1:33" ht="12.75">
      <c r="A49" s="575"/>
      <c r="B49" s="50"/>
      <c r="C49" s="576"/>
      <c r="D49" s="576"/>
      <c r="E49" s="576"/>
      <c r="F49" s="576"/>
      <c r="G49" s="576"/>
      <c r="H49" s="576"/>
      <c r="I49" s="576"/>
      <c r="J49" s="576"/>
      <c r="K49" s="576"/>
      <c r="L49" s="576"/>
      <c r="M49" s="576"/>
      <c r="N49" s="576"/>
      <c r="O49" s="576"/>
      <c r="P49" s="576"/>
      <c r="Q49" s="576"/>
      <c r="R49" s="42"/>
      <c r="S49" s="50"/>
      <c r="U49" s="29"/>
      <c r="V49" s="29"/>
      <c r="W49" s="24"/>
      <c r="X49" s="24"/>
      <c r="Y49" s="24"/>
      <c r="Z49" s="24"/>
      <c r="AA49" s="24"/>
      <c r="AB49" s="24"/>
      <c r="AC49" s="24"/>
      <c r="AD49" s="24"/>
      <c r="AE49" s="24"/>
      <c r="AF49" s="24"/>
      <c r="AG49" s="24"/>
    </row>
    <row r="50" spans="1:33" ht="12.75">
      <c r="A50" s="575"/>
      <c r="B50" s="50"/>
      <c r="C50" s="576"/>
      <c r="D50" s="576"/>
      <c r="E50" s="576"/>
      <c r="F50" s="576"/>
      <c r="G50" s="576"/>
      <c r="H50" s="576"/>
      <c r="I50" s="576"/>
      <c r="J50" s="576"/>
      <c r="K50" s="576"/>
      <c r="L50" s="576"/>
      <c r="M50" s="576"/>
      <c r="N50" s="576"/>
      <c r="O50" s="576"/>
      <c r="P50" s="576"/>
      <c r="Q50" s="576"/>
      <c r="R50" s="42"/>
      <c r="S50" s="50"/>
      <c r="U50" s="29"/>
      <c r="V50" s="29"/>
      <c r="W50" s="24"/>
      <c r="X50" s="24"/>
      <c r="Y50" s="24"/>
      <c r="Z50" s="24"/>
      <c r="AA50" s="24"/>
      <c r="AB50" s="24"/>
      <c r="AC50" s="24"/>
      <c r="AD50" s="24"/>
      <c r="AE50" s="24"/>
      <c r="AF50" s="24"/>
      <c r="AG50" s="24"/>
    </row>
    <row r="51" spans="1:32" ht="13.5" thickBot="1">
      <c r="A51" s="54"/>
      <c r="T51" s="4"/>
      <c r="U51" s="29"/>
      <c r="V51" s="29"/>
      <c r="W51" s="27"/>
      <c r="X51" s="27"/>
      <c r="Y51" s="27"/>
      <c r="Z51" s="27"/>
      <c r="AA51" s="27"/>
      <c r="AB51" s="27"/>
      <c r="AC51" s="27"/>
      <c r="AD51" s="27"/>
      <c r="AE51" s="27"/>
      <c r="AF51" s="4"/>
    </row>
    <row r="52" spans="1:31" ht="13.5" thickBot="1">
      <c r="A52" s="566" t="s">
        <v>294</v>
      </c>
      <c r="B52" s="567" t="e">
        <f aca="true" t="shared" si="10" ref="B52:P52">B8</f>
        <v>#REF!</v>
      </c>
      <c r="C52" s="567" t="e">
        <f t="shared" si="10"/>
        <v>#REF!</v>
      </c>
      <c r="D52" s="567" t="e">
        <f t="shared" si="10"/>
        <v>#REF!</v>
      </c>
      <c r="E52" s="567">
        <f t="shared" si="10"/>
        <v>14197929717</v>
      </c>
      <c r="F52" s="567">
        <f t="shared" si="10"/>
        <v>14003245027</v>
      </c>
      <c r="G52" s="1040">
        <f>G8</f>
        <v>15871917222.2</v>
      </c>
      <c r="H52" s="567">
        <f t="shared" si="10"/>
        <v>16348074738.866</v>
      </c>
      <c r="I52" s="567">
        <f t="shared" si="10"/>
        <v>16838516981.03198</v>
      </c>
      <c r="J52" s="567">
        <f t="shared" si="10"/>
        <v>17343672490.46294</v>
      </c>
      <c r="K52" s="567">
        <f t="shared" si="10"/>
        <v>17863982665.17683</v>
      </c>
      <c r="L52" s="567">
        <f t="shared" si="10"/>
        <v>18399902145.13213</v>
      </c>
      <c r="M52" s="567">
        <f t="shared" si="10"/>
        <v>18451328049.447803</v>
      </c>
      <c r="N52" s="567">
        <f t="shared" si="10"/>
        <v>19004867890.931244</v>
      </c>
      <c r="O52" s="567">
        <f t="shared" si="10"/>
        <v>19059425632.819744</v>
      </c>
      <c r="P52" s="567">
        <f t="shared" si="10"/>
        <v>19631208401.804337</v>
      </c>
      <c r="Q52" s="1033"/>
      <c r="R52" s="568">
        <f>SUM(E52:P52)</f>
        <v>207014070961.873</v>
      </c>
      <c r="S52" s="49"/>
      <c r="U52" s="29"/>
      <c r="V52" s="29"/>
      <c r="W52" s="27"/>
      <c r="X52" s="27"/>
      <c r="Y52" s="27"/>
      <c r="Z52" s="27"/>
      <c r="AA52" s="27"/>
      <c r="AB52" s="27"/>
      <c r="AC52" s="27"/>
      <c r="AD52" s="27"/>
      <c r="AE52" s="27"/>
    </row>
    <row r="53" spans="1:19" ht="39" thickBot="1">
      <c r="A53" s="569" t="s">
        <v>295</v>
      </c>
      <c r="B53" s="570">
        <f>B39-B43-B44</f>
        <v>4196909221</v>
      </c>
      <c r="C53" s="570" t="e">
        <f>C39-C43-C46-C47</f>
        <v>#REF!</v>
      </c>
      <c r="D53" s="570" t="e">
        <f>+D39-D43</f>
        <v>#REF!</v>
      </c>
      <c r="E53" s="570">
        <f>E39-E43-E44</f>
        <v>7417871319</v>
      </c>
      <c r="F53" s="582">
        <f>+F39-F43-F44-F46-F47</f>
        <v>7781848718.513254</v>
      </c>
      <c r="G53" s="1041">
        <f>+G39-G43-G44-G46-G47</f>
        <v>8691089861.556322</v>
      </c>
      <c r="H53" s="1041">
        <f>+H39-H43-H44-H46-H47</f>
        <v>8714922557.40301</v>
      </c>
      <c r="I53" s="1041">
        <f aca="true" t="shared" si="11" ref="I53:P53">+I39-I43-I44-I46-I47</f>
        <v>8976370234.1251</v>
      </c>
      <c r="J53" s="1041">
        <f t="shared" si="11"/>
        <v>9245661341.148853</v>
      </c>
      <c r="K53" s="1041">
        <f t="shared" si="11"/>
        <v>9523031181.38332</v>
      </c>
      <c r="L53" s="1041">
        <f>+L39-L43-L44-L46-L47</f>
        <v>9808722116.824818</v>
      </c>
      <c r="M53" s="1041">
        <f t="shared" si="11"/>
        <v>10102983780.329563</v>
      </c>
      <c r="N53" s="1041">
        <f t="shared" si="11"/>
        <v>10406073293.73945</v>
      </c>
      <c r="O53" s="1041">
        <f t="shared" si="11"/>
        <v>10718255492.551634</v>
      </c>
      <c r="P53" s="1041">
        <f t="shared" si="11"/>
        <v>11039803157.328184</v>
      </c>
      <c r="Q53" s="1034"/>
      <c r="R53" s="906">
        <f>SUM(E53:P53)</f>
        <v>112426633053.9035</v>
      </c>
      <c r="S53" s="49"/>
    </row>
    <row r="54" spans="1:31" ht="13.5" thickBot="1">
      <c r="A54" s="55"/>
      <c r="B54" s="56"/>
      <c r="C54" s="56"/>
      <c r="D54" s="56"/>
      <c r="E54" s="56"/>
      <c r="F54" s="56"/>
      <c r="G54" s="1042"/>
      <c r="H54" s="56"/>
      <c r="I54" s="56"/>
      <c r="J54" s="56"/>
      <c r="K54" s="56"/>
      <c r="L54" s="56"/>
      <c r="M54" s="56"/>
      <c r="N54" s="56"/>
      <c r="O54" s="56"/>
      <c r="P54" s="56"/>
      <c r="Q54" s="56"/>
      <c r="R54" s="57"/>
      <c r="S54" s="58"/>
      <c r="U54" s="29">
        <v>0</v>
      </c>
      <c r="V54" s="29">
        <v>0</v>
      </c>
      <c r="W54" s="24">
        <v>0</v>
      </c>
      <c r="X54" s="24">
        <v>0</v>
      </c>
      <c r="Y54" s="24">
        <v>0</v>
      </c>
      <c r="Z54" s="24">
        <v>0</v>
      </c>
      <c r="AA54" s="24">
        <v>0</v>
      </c>
      <c r="AB54" s="24">
        <v>0</v>
      </c>
      <c r="AC54" s="24">
        <v>0</v>
      </c>
      <c r="AD54" s="24">
        <v>0</v>
      </c>
      <c r="AE54" s="24">
        <v>0</v>
      </c>
    </row>
    <row r="55" spans="1:31" ht="25.5">
      <c r="A55" s="571" t="s">
        <v>296</v>
      </c>
      <c r="B55" s="572" t="e">
        <f>B53/B52</f>
        <v>#REF!</v>
      </c>
      <c r="C55" s="572" t="e">
        <f aca="true" t="shared" si="12" ref="C55:N55">C53/C52</f>
        <v>#REF!</v>
      </c>
      <c r="D55" s="572" t="e">
        <f t="shared" si="12"/>
        <v>#REF!</v>
      </c>
      <c r="E55" s="572">
        <f t="shared" si="12"/>
        <v>0.5224614762050945</v>
      </c>
      <c r="F55" s="572">
        <f t="shared" si="12"/>
        <v>0.555717528580617</v>
      </c>
      <c r="G55" s="1043">
        <f>G53/G52</f>
        <v>0.5475765617905392</v>
      </c>
      <c r="H55" s="572">
        <f t="shared" si="12"/>
        <v>0.5330855587957466</v>
      </c>
      <c r="I55" s="572">
        <f t="shared" si="12"/>
        <v>0.5330855587957465</v>
      </c>
      <c r="J55" s="572">
        <f t="shared" si="12"/>
        <v>0.5330855587957465</v>
      </c>
      <c r="K55" s="572">
        <f t="shared" si="12"/>
        <v>0.5330855587957465</v>
      </c>
      <c r="L55" s="572">
        <f t="shared" si="12"/>
        <v>0.5330855587957466</v>
      </c>
      <c r="M55" s="572">
        <f>M53/M52</f>
        <v>0.5475477837288746</v>
      </c>
      <c r="N55" s="572">
        <f t="shared" si="12"/>
        <v>0.5475477837288745</v>
      </c>
      <c r="O55" s="572">
        <f>O53/O52</f>
        <v>0.5623598370191769</v>
      </c>
      <c r="P55" s="572">
        <f>P53/P52</f>
        <v>0.5623598370191769</v>
      </c>
      <c r="Q55" s="572"/>
      <c r="R55" s="572"/>
      <c r="S55" s="59"/>
      <c r="U55" s="29"/>
      <c r="V55" s="29"/>
      <c r="W55" s="27"/>
      <c r="X55" s="27"/>
      <c r="Y55" s="27"/>
      <c r="Z55" s="27"/>
      <c r="AA55" s="27"/>
      <c r="AB55" s="27"/>
      <c r="AC55" s="27"/>
      <c r="AD55" s="27"/>
      <c r="AE55" s="27"/>
    </row>
    <row r="56" spans="1:31" ht="13.5" thickBot="1">
      <c r="A56" s="573" t="s">
        <v>297</v>
      </c>
      <c r="B56" s="574">
        <v>0.8</v>
      </c>
      <c r="C56" s="574">
        <v>0.8</v>
      </c>
      <c r="D56" s="574">
        <v>0.8</v>
      </c>
      <c r="E56" s="574">
        <v>0.8</v>
      </c>
      <c r="F56" s="574">
        <v>0.8</v>
      </c>
      <c r="G56" s="1044">
        <v>0.8</v>
      </c>
      <c r="H56" s="574">
        <v>0.8</v>
      </c>
      <c r="I56" s="574">
        <v>0.8</v>
      </c>
      <c r="J56" s="574">
        <v>0.8</v>
      </c>
      <c r="K56" s="574">
        <v>0.8</v>
      </c>
      <c r="L56" s="574">
        <v>0.8</v>
      </c>
      <c r="M56" s="574">
        <v>0.8</v>
      </c>
      <c r="N56" s="574">
        <v>0.8</v>
      </c>
      <c r="O56" s="574">
        <v>0.8</v>
      </c>
      <c r="P56" s="574">
        <v>0.8</v>
      </c>
      <c r="Q56" s="574"/>
      <c r="R56" s="574"/>
      <c r="S56" s="60"/>
      <c r="U56" s="29">
        <v>0</v>
      </c>
      <c r="V56" s="29">
        <v>0</v>
      </c>
      <c r="W56" s="24">
        <v>0</v>
      </c>
      <c r="X56" s="24">
        <v>0</v>
      </c>
      <c r="Y56" s="24">
        <v>0</v>
      </c>
      <c r="Z56" s="24">
        <v>0</v>
      </c>
      <c r="AA56" s="24">
        <v>0</v>
      </c>
      <c r="AB56" s="24">
        <v>0</v>
      </c>
      <c r="AC56" s="24">
        <v>0</v>
      </c>
      <c r="AD56" s="24">
        <v>0</v>
      </c>
      <c r="AE56" s="24">
        <v>0</v>
      </c>
    </row>
    <row r="57" spans="21:31" ht="12.75">
      <c r="U57" s="29">
        <v>0</v>
      </c>
      <c r="V57" s="29">
        <v>0</v>
      </c>
      <c r="W57" s="24">
        <v>0</v>
      </c>
      <c r="X57" s="24">
        <v>0</v>
      </c>
      <c r="Y57" s="24">
        <v>0</v>
      </c>
      <c r="Z57" s="24">
        <v>0</v>
      </c>
      <c r="AA57" s="24">
        <v>0</v>
      </c>
      <c r="AB57" s="24">
        <v>0</v>
      </c>
      <c r="AC57" s="24">
        <v>0</v>
      </c>
      <c r="AD57" s="24">
        <v>0</v>
      </c>
      <c r="AE57" s="24">
        <v>0</v>
      </c>
    </row>
    <row r="58" spans="1:31" ht="12.75">
      <c r="A58" s="28" t="s">
        <v>298</v>
      </c>
      <c r="B58" s="516"/>
      <c r="C58" s="516"/>
      <c r="D58" s="516"/>
      <c r="E58" s="516"/>
      <c r="F58" s="516"/>
      <c r="G58" s="1045"/>
      <c r="H58" s="516"/>
      <c r="I58" s="516"/>
      <c r="U58" s="29">
        <v>0</v>
      </c>
      <c r="V58" s="29">
        <v>0</v>
      </c>
      <c r="W58" s="24">
        <v>0</v>
      </c>
      <c r="X58" s="24">
        <v>0</v>
      </c>
      <c r="Y58" s="24">
        <v>0</v>
      </c>
      <c r="Z58" s="24">
        <v>0</v>
      </c>
      <c r="AA58" s="24">
        <v>0</v>
      </c>
      <c r="AB58" s="24">
        <v>0</v>
      </c>
      <c r="AC58" s="24">
        <v>0</v>
      </c>
      <c r="AD58" s="24">
        <v>0</v>
      </c>
      <c r="AE58" s="24">
        <v>0</v>
      </c>
    </row>
    <row r="59" spans="1:9" ht="21" customHeight="1">
      <c r="A59" s="28" t="s">
        <v>1609</v>
      </c>
      <c r="B59" s="516"/>
      <c r="C59" s="516"/>
      <c r="D59" s="516"/>
      <c r="E59" s="516"/>
      <c r="F59" s="516"/>
      <c r="G59" s="1045"/>
      <c r="H59" s="516"/>
      <c r="I59" s="516"/>
    </row>
    <row r="60" spans="1:17" ht="12.75">
      <c r="A60" s="28" t="s">
        <v>1754</v>
      </c>
      <c r="B60" s="516"/>
      <c r="C60" s="565"/>
      <c r="D60" s="517"/>
      <c r="E60" s="517"/>
      <c r="F60" s="517"/>
      <c r="G60" s="1046"/>
      <c r="H60" s="517"/>
      <c r="I60" s="517"/>
      <c r="J60" s="17"/>
      <c r="K60" s="17"/>
      <c r="L60" s="17"/>
      <c r="M60" s="17"/>
      <c r="N60" s="17"/>
      <c r="O60" s="17"/>
      <c r="P60" s="17"/>
      <c r="Q60" s="17"/>
    </row>
    <row r="61" spans="1:3" ht="12.75">
      <c r="A61" s="28" t="s">
        <v>1755</v>
      </c>
      <c r="C61" s="16"/>
    </row>
    <row r="63" spans="1:31" ht="13.5" thickBot="1">
      <c r="A63" s="564"/>
      <c r="B63" s="564"/>
      <c r="C63" s="518"/>
      <c r="D63" s="518"/>
      <c r="E63" s="518"/>
      <c r="F63" s="17"/>
      <c r="G63" s="1047"/>
      <c r="H63" s="518"/>
      <c r="I63" s="518"/>
      <c r="J63" s="17"/>
      <c r="K63" s="17"/>
      <c r="L63" s="17"/>
      <c r="M63" s="17"/>
      <c r="N63" s="17"/>
      <c r="O63" s="17"/>
      <c r="P63" s="17"/>
      <c r="Q63" s="17"/>
      <c r="U63" s="29"/>
      <c r="V63" s="29"/>
      <c r="W63" s="24"/>
      <c r="X63" s="24"/>
      <c r="Y63" s="24"/>
      <c r="Z63" s="24"/>
      <c r="AA63" s="24"/>
      <c r="AB63" s="24"/>
      <c r="AC63" s="24"/>
      <c r="AD63" s="24"/>
      <c r="AE63" s="24"/>
    </row>
    <row r="64" spans="1:31" ht="18">
      <c r="A64" s="583" t="s">
        <v>1600</v>
      </c>
      <c r="B64" s="584"/>
      <c r="C64" s="585"/>
      <c r="D64" s="585"/>
      <c r="E64" s="585"/>
      <c r="F64" s="34"/>
      <c r="G64" s="1048" t="s">
        <v>1599</v>
      </c>
      <c r="H64" s="34"/>
      <c r="U64" s="29">
        <v>0</v>
      </c>
      <c r="V64" s="29">
        <v>0</v>
      </c>
      <c r="W64" s="24">
        <v>0</v>
      </c>
      <c r="X64" s="24">
        <v>0</v>
      </c>
      <c r="Y64" s="24">
        <v>0</v>
      </c>
      <c r="Z64" s="24">
        <v>0</v>
      </c>
      <c r="AA64" s="24">
        <v>0</v>
      </c>
      <c r="AB64" s="24">
        <v>0</v>
      </c>
      <c r="AC64" s="24">
        <v>0</v>
      </c>
      <c r="AD64" s="24">
        <v>0</v>
      </c>
      <c r="AE64" s="24">
        <v>0</v>
      </c>
    </row>
    <row r="65" spans="1:31" ht="18">
      <c r="A65" s="585" t="s">
        <v>1602</v>
      </c>
      <c r="B65" s="585"/>
      <c r="C65" s="585"/>
      <c r="D65" s="585"/>
      <c r="E65" s="585"/>
      <c r="F65" s="34"/>
      <c r="G65" s="1049" t="s">
        <v>1601</v>
      </c>
      <c r="H65" s="34"/>
      <c r="U65" s="29">
        <v>0</v>
      </c>
      <c r="V65" s="29">
        <v>0</v>
      </c>
      <c r="W65" s="24">
        <v>0</v>
      </c>
      <c r="X65" s="24">
        <v>0</v>
      </c>
      <c r="Y65" s="24">
        <v>0</v>
      </c>
      <c r="Z65" s="24">
        <v>0</v>
      </c>
      <c r="AA65" s="24">
        <v>0</v>
      </c>
      <c r="AB65" s="24">
        <v>0</v>
      </c>
      <c r="AC65" s="24">
        <v>0</v>
      </c>
      <c r="AD65" s="24">
        <v>0</v>
      </c>
      <c r="AE65" s="24">
        <v>0</v>
      </c>
    </row>
    <row r="66" spans="1:31" ht="12.75">
      <c r="A66" s="579"/>
      <c r="B66" s="579"/>
      <c r="C66" s="579"/>
      <c r="D66" s="579"/>
      <c r="E66" s="579"/>
      <c r="U66" s="29">
        <v>0</v>
      </c>
      <c r="V66" s="29">
        <v>0</v>
      </c>
      <c r="W66" s="24">
        <v>0</v>
      </c>
      <c r="X66" s="24">
        <v>0</v>
      </c>
      <c r="Y66" s="24">
        <v>0</v>
      </c>
      <c r="Z66" s="24">
        <v>0</v>
      </c>
      <c r="AA66" s="24">
        <v>0</v>
      </c>
      <c r="AB66" s="24">
        <v>0</v>
      </c>
      <c r="AC66" s="24">
        <v>0</v>
      </c>
      <c r="AD66" s="24">
        <v>0</v>
      </c>
      <c r="AE66" s="24">
        <v>0</v>
      </c>
    </row>
    <row r="67" spans="1:31" ht="12.75">
      <c r="A67" s="579"/>
      <c r="B67" s="579"/>
      <c r="C67" s="579"/>
      <c r="D67" s="579"/>
      <c r="E67" s="579"/>
      <c r="U67" s="29">
        <v>0</v>
      </c>
      <c r="V67" s="29">
        <v>0</v>
      </c>
      <c r="W67" s="24">
        <v>0</v>
      </c>
      <c r="X67" s="24">
        <v>0</v>
      </c>
      <c r="Y67" s="24">
        <v>0</v>
      </c>
      <c r="Z67" s="24">
        <v>0</v>
      </c>
      <c r="AA67" s="24">
        <v>0</v>
      </c>
      <c r="AB67" s="24">
        <v>0</v>
      </c>
      <c r="AC67" s="24">
        <v>0</v>
      </c>
      <c r="AD67" s="24">
        <v>0</v>
      </c>
      <c r="AE67" s="24">
        <v>0</v>
      </c>
    </row>
    <row r="68" spans="1:31" ht="12.75">
      <c r="A68" s="579"/>
      <c r="B68" s="579"/>
      <c r="C68" s="579"/>
      <c r="D68" s="579"/>
      <c r="E68" s="579"/>
      <c r="U68" s="31">
        <v>0</v>
      </c>
      <c r="V68" s="31">
        <v>0</v>
      </c>
      <c r="W68" s="32">
        <v>0</v>
      </c>
      <c r="X68" s="32">
        <v>0</v>
      </c>
      <c r="Y68" s="32">
        <v>0</v>
      </c>
      <c r="Z68" s="32">
        <v>0</v>
      </c>
      <c r="AA68" s="32">
        <v>0</v>
      </c>
      <c r="AB68" s="32">
        <v>0</v>
      </c>
      <c r="AC68" s="32">
        <v>0</v>
      </c>
      <c r="AD68" s="32">
        <v>0</v>
      </c>
      <c r="AE68" s="32">
        <v>0</v>
      </c>
    </row>
    <row r="69" spans="1:31" ht="12.75">
      <c r="A69" s="579"/>
      <c r="B69" s="579"/>
      <c r="C69" s="579"/>
      <c r="D69" s="579"/>
      <c r="E69" s="579"/>
      <c r="U69" s="31">
        <v>0</v>
      </c>
      <c r="V69" s="31">
        <v>0</v>
      </c>
      <c r="W69" s="32">
        <v>0</v>
      </c>
      <c r="X69" s="32">
        <v>0</v>
      </c>
      <c r="Y69" s="32">
        <v>0</v>
      </c>
      <c r="Z69" s="32">
        <v>0</v>
      </c>
      <c r="AA69" s="32">
        <v>0</v>
      </c>
      <c r="AB69" s="32">
        <v>0</v>
      </c>
      <c r="AC69" s="32">
        <v>0</v>
      </c>
      <c r="AD69" s="32">
        <v>0</v>
      </c>
      <c r="AE69" s="32">
        <v>0</v>
      </c>
    </row>
    <row r="70" spans="1:5" ht="12.75">
      <c r="A70" s="579"/>
      <c r="B70" s="579"/>
      <c r="C70" s="579"/>
      <c r="D70" s="579"/>
      <c r="E70" s="579"/>
    </row>
    <row r="71" spans="1:31" ht="15.75">
      <c r="A71" s="580"/>
      <c r="B71" s="579"/>
      <c r="C71" s="579"/>
      <c r="D71" s="579"/>
      <c r="E71" s="579"/>
      <c r="U71" s="29">
        <v>0</v>
      </c>
      <c r="V71" s="29">
        <v>0</v>
      </c>
      <c r="W71" s="24">
        <v>0</v>
      </c>
      <c r="X71" s="24">
        <v>0</v>
      </c>
      <c r="Y71" s="24">
        <v>0</v>
      </c>
      <c r="Z71" s="24">
        <v>0</v>
      </c>
      <c r="AA71" s="24">
        <v>0</v>
      </c>
      <c r="AB71" s="24">
        <v>0</v>
      </c>
      <c r="AC71" s="24">
        <v>0</v>
      </c>
      <c r="AD71" s="24">
        <v>0</v>
      </c>
      <c r="AE71" s="24">
        <v>0</v>
      </c>
    </row>
    <row r="72" spans="1:31" ht="15">
      <c r="A72" s="581"/>
      <c r="B72" s="579"/>
      <c r="C72" s="579"/>
      <c r="D72" s="579"/>
      <c r="E72" s="579"/>
      <c r="U72" s="29">
        <v>0</v>
      </c>
      <c r="V72" s="29">
        <v>0</v>
      </c>
      <c r="W72" s="24">
        <v>0</v>
      </c>
      <c r="X72" s="24">
        <v>0</v>
      </c>
      <c r="Y72" s="24">
        <v>0</v>
      </c>
      <c r="Z72" s="24">
        <v>0</v>
      </c>
      <c r="AA72" s="24">
        <v>0</v>
      </c>
      <c r="AB72" s="24">
        <v>0</v>
      </c>
      <c r="AC72" s="24">
        <v>0</v>
      </c>
      <c r="AD72" s="24">
        <v>0</v>
      </c>
      <c r="AE72" s="24">
        <v>0</v>
      </c>
    </row>
  </sheetData>
  <sheetProtection/>
  <mergeCells count="21">
    <mergeCell ref="N6:N7"/>
    <mergeCell ref="R6:R7"/>
    <mergeCell ref="L6:L7"/>
    <mergeCell ref="H6:H7"/>
    <mergeCell ref="I6:I7"/>
    <mergeCell ref="G6:G7"/>
    <mergeCell ref="A6:A7"/>
    <mergeCell ref="J6:J7"/>
    <mergeCell ref="M6:M7"/>
    <mergeCell ref="K6:K7"/>
    <mergeCell ref="B6:B7"/>
    <mergeCell ref="Q6:Q7"/>
    <mergeCell ref="P6:P7"/>
    <mergeCell ref="O6:O7"/>
    <mergeCell ref="A2:N2"/>
    <mergeCell ref="D6:D7"/>
    <mergeCell ref="C6:C7"/>
    <mergeCell ref="E6:E7"/>
    <mergeCell ref="F6:F7"/>
    <mergeCell ref="A3:N3"/>
    <mergeCell ref="A4:N4"/>
  </mergeCells>
  <printOptions/>
  <pageMargins left="0.3" right="1" top="0.75" bottom="0.7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AF149"/>
  <sheetViews>
    <sheetView workbookViewId="0" topLeftCell="A1">
      <pane ySplit="5" topLeftCell="A6" activePane="bottomLeft" state="frozen"/>
      <selection pane="topLeft" activeCell="A1" sqref="A1"/>
      <selection pane="bottomLeft" activeCell="G5" sqref="G5"/>
    </sheetView>
  </sheetViews>
  <sheetFormatPr defaultColWidth="11.421875" defaultRowHeight="15"/>
  <cols>
    <col min="1" max="1" width="17.00390625" style="328" bestFit="1" customWidth="1"/>
    <col min="2" max="2" width="61.140625" style="713" customWidth="1"/>
    <col min="3" max="3" width="19.28125" style="335" hidden="1" customWidth="1"/>
    <col min="4" max="4" width="21.28125" style="335" hidden="1" customWidth="1"/>
    <col min="5" max="5" width="19.28125" style="335" hidden="1" customWidth="1"/>
    <col min="6" max="6" width="20.57421875" style="335" customWidth="1"/>
    <col min="7" max="7" width="19.00390625" style="335" customWidth="1"/>
    <col min="8" max="8" width="19.28125" style="335" bestFit="1" customWidth="1"/>
    <col min="9" max="17" width="21.28125" style="335" customWidth="1"/>
    <col min="18" max="18" width="9.7109375" style="339" customWidth="1"/>
    <col min="19" max="20" width="18.57421875" style="339" customWidth="1"/>
    <col min="21" max="21" width="11.421875" style="337" customWidth="1"/>
    <col min="22" max="22" width="8.7109375" style="338" customWidth="1"/>
    <col min="23" max="23" width="6.8515625" style="328" customWidth="1"/>
    <col min="24" max="33" width="8.7109375" style="328" customWidth="1"/>
    <col min="34" max="16384" width="11.421875" style="328" customWidth="1"/>
  </cols>
  <sheetData>
    <row r="1" spans="1:6" ht="15.75">
      <c r="A1" s="596"/>
      <c r="B1" s="1207"/>
      <c r="C1" s="1207"/>
      <c r="D1" s="1207"/>
      <c r="E1" s="1207"/>
      <c r="F1" s="1207"/>
    </row>
    <row r="2" spans="1:23" ht="15.75">
      <c r="A2" s="596"/>
      <c r="B2" s="1207"/>
      <c r="C2" s="1207"/>
      <c r="D2" s="1207"/>
      <c r="E2" s="1207"/>
      <c r="F2" s="1207"/>
      <c r="W2" s="478" t="s">
        <v>1598</v>
      </c>
    </row>
    <row r="3" spans="1:6" ht="15.75">
      <c r="A3" s="596"/>
      <c r="B3" s="698"/>
      <c r="C3" s="597"/>
      <c r="D3" s="597"/>
      <c r="E3" s="597"/>
      <c r="F3" s="597"/>
    </row>
    <row r="4" spans="1:32" ht="16.5" thickBot="1">
      <c r="A4" s="1205"/>
      <c r="B4" s="1206"/>
      <c r="C4" s="1206"/>
      <c r="D4" s="616">
        <v>2011</v>
      </c>
      <c r="E4" s="616">
        <v>2012</v>
      </c>
      <c r="F4" s="617"/>
      <c r="G4" s="323">
        <v>2014</v>
      </c>
      <c r="H4" s="323">
        <v>2015</v>
      </c>
      <c r="I4" s="323">
        <v>2016</v>
      </c>
      <c r="J4" s="323">
        <v>2017</v>
      </c>
      <c r="K4" s="323">
        <v>2018</v>
      </c>
      <c r="L4" s="323">
        <v>2019</v>
      </c>
      <c r="M4" s="323">
        <v>2020</v>
      </c>
      <c r="N4" s="323">
        <v>2021</v>
      </c>
      <c r="O4" s="323">
        <v>2022</v>
      </c>
      <c r="P4" s="323">
        <v>2023</v>
      </c>
      <c r="Q4" s="323"/>
      <c r="R4" s="334"/>
      <c r="S4" s="353"/>
      <c r="T4" s="353"/>
      <c r="U4" s="354"/>
      <c r="V4" s="328"/>
      <c r="W4" s="329" t="s">
        <v>616</v>
      </c>
      <c r="X4" s="355">
        <v>2015</v>
      </c>
      <c r="Y4" s="355">
        <v>2016</v>
      </c>
      <c r="Z4" s="355">
        <v>2017</v>
      </c>
      <c r="AA4" s="355">
        <v>2018</v>
      </c>
      <c r="AB4" s="355">
        <v>2019</v>
      </c>
      <c r="AC4" s="355">
        <v>2020</v>
      </c>
      <c r="AD4" s="355">
        <v>2021</v>
      </c>
      <c r="AE4" s="355">
        <v>2022</v>
      </c>
      <c r="AF4" s="355">
        <v>2023</v>
      </c>
    </row>
    <row r="5" spans="1:32" ht="25.5" thickBot="1">
      <c r="A5" s="615"/>
      <c r="B5" s="699" t="s">
        <v>1620</v>
      </c>
      <c r="C5" s="619">
        <f aca="true" t="shared" si="0" ref="C5:P5">+C6+C7</f>
        <v>5314915440</v>
      </c>
      <c r="D5" s="619">
        <f t="shared" si="0"/>
        <v>7943854340</v>
      </c>
      <c r="E5" s="619">
        <f t="shared" si="0"/>
        <v>8804418508.61</v>
      </c>
      <c r="F5" s="620">
        <f t="shared" si="0"/>
        <v>9441010697.513254</v>
      </c>
      <c r="G5" s="918">
        <f>+G6+G7</f>
        <v>9833972835.55432</v>
      </c>
      <c r="H5" s="325">
        <f t="shared" si="0"/>
        <v>9892092020.620949</v>
      </c>
      <c r="I5" s="325">
        <f t="shared" si="0"/>
        <v>10188854781.239578</v>
      </c>
      <c r="J5" s="325">
        <f t="shared" si="0"/>
        <v>10494520424.676764</v>
      </c>
      <c r="K5" s="325">
        <f t="shared" si="0"/>
        <v>10809356037.41707</v>
      </c>
      <c r="L5" s="325">
        <f t="shared" si="0"/>
        <v>11133636718.539581</v>
      </c>
      <c r="M5" s="325">
        <f t="shared" si="0"/>
        <v>11467645820.095766</v>
      </c>
      <c r="N5" s="325">
        <f t="shared" si="0"/>
        <v>11811675194.698643</v>
      </c>
      <c r="O5" s="325">
        <f t="shared" si="0"/>
        <v>12166025450.539602</v>
      </c>
      <c r="P5" s="325">
        <f t="shared" si="0"/>
        <v>12531006214.05579</v>
      </c>
      <c r="Q5" s="325"/>
      <c r="R5" s="348" t="s">
        <v>610</v>
      </c>
      <c r="S5" s="339">
        <v>0.003</v>
      </c>
      <c r="W5" s="356">
        <v>1.05</v>
      </c>
      <c r="X5" s="356">
        <v>1.03</v>
      </c>
      <c r="Y5" s="356">
        <v>1.03</v>
      </c>
      <c r="Z5" s="356">
        <v>1.03</v>
      </c>
      <c r="AA5" s="356">
        <v>1.03</v>
      </c>
      <c r="AB5" s="356">
        <v>1.03</v>
      </c>
      <c r="AC5" s="356">
        <v>1.03</v>
      </c>
      <c r="AD5" s="356">
        <v>1.03</v>
      </c>
      <c r="AE5" s="356">
        <v>1.03</v>
      </c>
      <c r="AF5" s="356">
        <v>1.03</v>
      </c>
    </row>
    <row r="6" spans="1:18" ht="15.75">
      <c r="A6" s="603"/>
      <c r="B6" s="715" t="s">
        <v>598</v>
      </c>
      <c r="C6" s="618">
        <f>+C102</f>
        <v>1344120000</v>
      </c>
      <c r="D6" s="618">
        <f>+D102</f>
        <v>2104062911</v>
      </c>
      <c r="E6" s="618">
        <f>+E102</f>
        <v>870408402.61</v>
      </c>
      <c r="F6" s="618">
        <f>+F102</f>
        <v>1110057592</v>
      </c>
      <c r="G6" s="325">
        <f>+G102-G112</f>
        <v>499999999.99999994</v>
      </c>
      <c r="H6" s="325">
        <f>+H102-H112</f>
        <v>515000000</v>
      </c>
      <c r="I6" s="325">
        <f aca="true" t="shared" si="1" ref="I6:P6">+I102-I112</f>
        <v>530450000.00000006</v>
      </c>
      <c r="J6" s="325">
        <f t="shared" si="1"/>
        <v>546363500</v>
      </c>
      <c r="K6" s="325">
        <f t="shared" si="1"/>
        <v>562754405</v>
      </c>
      <c r="L6" s="325">
        <f t="shared" si="1"/>
        <v>579637037.15</v>
      </c>
      <c r="M6" s="325">
        <f t="shared" si="1"/>
        <v>597026148.2645</v>
      </c>
      <c r="N6" s="325">
        <f t="shared" si="1"/>
        <v>614936932.712435</v>
      </c>
      <c r="O6" s="325">
        <f t="shared" si="1"/>
        <v>633385040.6938081</v>
      </c>
      <c r="P6" s="325">
        <f t="shared" si="1"/>
        <v>652386591.9146223</v>
      </c>
      <c r="Q6" s="325"/>
      <c r="R6" s="339">
        <v>1.05</v>
      </c>
    </row>
    <row r="7" spans="1:19" ht="27" customHeight="1">
      <c r="A7" s="603"/>
      <c r="B7" s="714" t="s">
        <v>1621</v>
      </c>
      <c r="C7" s="326">
        <f>+C8+C45+C89</f>
        <v>3970795440</v>
      </c>
      <c r="D7" s="326">
        <f>+D8+D45+D89</f>
        <v>5839791429</v>
      </c>
      <c r="E7" s="326">
        <f>+E8+E45+E89</f>
        <v>7934010106</v>
      </c>
      <c r="F7" s="326">
        <f>+F8+F45+F89</f>
        <v>8330953105.513254</v>
      </c>
      <c r="G7" s="325">
        <f>+G8+G45+G89+G112</f>
        <v>9333972835.55432</v>
      </c>
      <c r="H7" s="325">
        <f aca="true" t="shared" si="2" ref="H7:P7">+H8+H45+H89+H112</f>
        <v>9377092020.620949</v>
      </c>
      <c r="I7" s="325">
        <f t="shared" si="2"/>
        <v>9658404781.239578</v>
      </c>
      <c r="J7" s="325">
        <f t="shared" si="2"/>
        <v>9948156924.676764</v>
      </c>
      <c r="K7" s="325">
        <f t="shared" si="2"/>
        <v>10246601632.41707</v>
      </c>
      <c r="L7" s="325">
        <f t="shared" si="2"/>
        <v>10553999681.389582</v>
      </c>
      <c r="M7" s="325">
        <f t="shared" si="2"/>
        <v>10870619671.831266</v>
      </c>
      <c r="N7" s="325">
        <f t="shared" si="2"/>
        <v>11196738261.986208</v>
      </c>
      <c r="O7" s="325">
        <f t="shared" si="2"/>
        <v>11532640409.845795</v>
      </c>
      <c r="P7" s="325">
        <f t="shared" si="2"/>
        <v>11878619622.141167</v>
      </c>
      <c r="Q7" s="325"/>
      <c r="R7" s="340"/>
      <c r="S7" s="340"/>
    </row>
    <row r="8" spans="1:17" ht="15.75">
      <c r="A8" s="357" t="s">
        <v>401</v>
      </c>
      <c r="B8" s="716" t="s">
        <v>169</v>
      </c>
      <c r="C8" s="326">
        <f aca="true" t="shared" si="3" ref="C8:P8">+C9+C12+C18+C20+C23+C25+C27+C32+C35+C37+C39+C41+C43</f>
        <v>1351571714</v>
      </c>
      <c r="D8" s="326">
        <f t="shared" si="3"/>
        <v>2641978082</v>
      </c>
      <c r="E8" s="326">
        <f t="shared" si="3"/>
        <v>3599671319</v>
      </c>
      <c r="F8" s="326">
        <f t="shared" si="3"/>
        <v>4056153616.513254</v>
      </c>
      <c r="G8" s="588">
        <f>+G9+G12+G18+G20+G23+G25+G27+G32+G35+G37+G39+G41+G43</f>
        <v>4664490600</v>
      </c>
      <c r="H8" s="326">
        <f t="shared" si="3"/>
        <v>4804425318</v>
      </c>
      <c r="I8" s="326">
        <f t="shared" si="3"/>
        <v>4948558077.54</v>
      </c>
      <c r="J8" s="326">
        <f t="shared" si="3"/>
        <v>5097014819.8661995</v>
      </c>
      <c r="K8" s="326">
        <f t="shared" si="3"/>
        <v>5249925264.462187</v>
      </c>
      <c r="L8" s="326">
        <f t="shared" si="3"/>
        <v>5407423022.396051</v>
      </c>
      <c r="M8" s="326">
        <f t="shared" si="3"/>
        <v>5569645713.067932</v>
      </c>
      <c r="N8" s="326">
        <f t="shared" si="3"/>
        <v>5736735084.459971</v>
      </c>
      <c r="O8" s="326">
        <f t="shared" si="3"/>
        <v>5908837136.993771</v>
      </c>
      <c r="P8" s="326">
        <f t="shared" si="3"/>
        <v>6086102251.103582</v>
      </c>
      <c r="Q8" s="350"/>
    </row>
    <row r="9" spans="1:17" ht="15.75">
      <c r="A9" s="357" t="s">
        <v>402</v>
      </c>
      <c r="B9" s="716" t="s">
        <v>170</v>
      </c>
      <c r="C9" s="326">
        <f aca="true" t="shared" si="4" ref="C9:P9">SUM(C10:C11)</f>
        <v>618471714</v>
      </c>
      <c r="D9" s="326">
        <f t="shared" si="4"/>
        <v>934106907</v>
      </c>
      <c r="E9" s="326">
        <f t="shared" si="4"/>
        <v>1108990340</v>
      </c>
      <c r="F9" s="326">
        <f t="shared" si="4"/>
        <v>1564439857</v>
      </c>
      <c r="G9" s="589">
        <f t="shared" si="4"/>
        <v>2179800000</v>
      </c>
      <c r="H9" s="327">
        <f t="shared" si="4"/>
        <v>2245194000</v>
      </c>
      <c r="I9" s="327">
        <f t="shared" si="4"/>
        <v>2312549820</v>
      </c>
      <c r="J9" s="327">
        <f t="shared" si="4"/>
        <v>2381926314.6</v>
      </c>
      <c r="K9" s="327">
        <f t="shared" si="4"/>
        <v>2453384104.038</v>
      </c>
      <c r="L9" s="327">
        <f t="shared" si="4"/>
        <v>2526985627.15914</v>
      </c>
      <c r="M9" s="327">
        <f t="shared" si="4"/>
        <v>2602795195.973914</v>
      </c>
      <c r="N9" s="327">
        <f t="shared" si="4"/>
        <v>2680879051.853132</v>
      </c>
      <c r="O9" s="327">
        <f t="shared" si="4"/>
        <v>2761305423.4087257</v>
      </c>
      <c r="P9" s="327">
        <f t="shared" si="4"/>
        <v>2844144586.1109877</v>
      </c>
      <c r="Q9" s="351"/>
    </row>
    <row r="10" spans="1:17" ht="15.75">
      <c r="A10" s="357" t="s">
        <v>1762</v>
      </c>
      <c r="B10" s="697" t="s">
        <v>171</v>
      </c>
      <c r="C10" s="597">
        <v>168414788</v>
      </c>
      <c r="D10" s="597">
        <v>934106907</v>
      </c>
      <c r="E10" s="597">
        <f>+'[3]InfMesPptoCDPEjec.rpt'!$H$16</f>
        <v>1108990340</v>
      </c>
      <c r="F10" s="597">
        <f>+E10*$R$6+500000000-100000000</f>
        <v>1564439857</v>
      </c>
      <c r="G10" s="590">
        <f>+(173000000*12)*$W$5</f>
        <v>2179800000</v>
      </c>
      <c r="H10" s="333">
        <f>+G10*$X$5</f>
        <v>2245194000</v>
      </c>
      <c r="I10" s="333">
        <f>+H10*$Y$5</f>
        <v>2312549820</v>
      </c>
      <c r="J10" s="333">
        <f>+I10*$Z$5</f>
        <v>2381926314.6</v>
      </c>
      <c r="K10" s="333">
        <f>+J10*$AA$5</f>
        <v>2453384104.038</v>
      </c>
      <c r="L10" s="333">
        <f>+K10*$AB$5</f>
        <v>2526985627.15914</v>
      </c>
      <c r="M10" s="333">
        <f>+L10*$AC$5</f>
        <v>2602795195.973914</v>
      </c>
      <c r="N10" s="333">
        <f>+M10*$AD$5</f>
        <v>2680879051.853132</v>
      </c>
      <c r="O10" s="333">
        <f>+N10*$AE$5</f>
        <v>2761305423.4087257</v>
      </c>
      <c r="P10" s="333">
        <f>+O10*$AF$5</f>
        <v>2844144586.1109877</v>
      </c>
      <c r="Q10" s="343"/>
    </row>
    <row r="11" spans="1:17" ht="15.75">
      <c r="A11" s="357" t="s">
        <v>403</v>
      </c>
      <c r="B11" s="697" t="s">
        <v>172</v>
      </c>
      <c r="C11" s="597">
        <v>450056926</v>
      </c>
      <c r="D11" s="597"/>
      <c r="E11" s="597"/>
      <c r="F11" s="597"/>
      <c r="G11" s="590"/>
      <c r="H11" s="333"/>
      <c r="I11" s="333"/>
      <c r="J11" s="333"/>
      <c r="K11" s="333">
        <f>+J11*$AA$5</f>
        <v>0</v>
      </c>
      <c r="L11" s="333">
        <f aca="true" t="shared" si="5" ref="L11:L44">+K11*$AB$5</f>
        <v>0</v>
      </c>
      <c r="M11" s="333">
        <f aca="true" t="shared" si="6" ref="M11:M44">+L11*$AC$5</f>
        <v>0</v>
      </c>
      <c r="N11" s="333">
        <f aca="true" t="shared" si="7" ref="N11:N44">+M11*$AD$5</f>
        <v>0</v>
      </c>
      <c r="O11" s="333">
        <f aca="true" t="shared" si="8" ref="O11:O44">+N11*$AE$5</f>
        <v>0</v>
      </c>
      <c r="P11" s="333">
        <f aca="true" t="shared" si="9" ref="P11:P44">+O11*$AF$5</f>
        <v>0</v>
      </c>
      <c r="Q11" s="343"/>
    </row>
    <row r="12" spans="1:25" ht="15.75">
      <c r="A12" s="605" t="s">
        <v>404</v>
      </c>
      <c r="B12" s="700" t="s">
        <v>173</v>
      </c>
      <c r="C12" s="326">
        <f aca="true" t="shared" si="10" ref="C12:P12">SUM(C13:C17)</f>
        <v>103500000</v>
      </c>
      <c r="D12" s="326">
        <f t="shared" si="10"/>
        <v>190825576</v>
      </c>
      <c r="E12" s="326">
        <f t="shared" si="10"/>
        <v>213120085</v>
      </c>
      <c r="F12" s="326">
        <f t="shared" si="10"/>
        <v>223776089.25</v>
      </c>
      <c r="G12" s="589">
        <f t="shared" si="10"/>
        <v>308650000</v>
      </c>
      <c r="H12" s="327">
        <f t="shared" si="10"/>
        <v>317909500</v>
      </c>
      <c r="I12" s="327">
        <f t="shared" si="10"/>
        <v>327446785</v>
      </c>
      <c r="J12" s="327">
        <f t="shared" si="10"/>
        <v>337270188.55</v>
      </c>
      <c r="K12" s="327">
        <f t="shared" si="10"/>
        <v>347388294.20650005</v>
      </c>
      <c r="L12" s="327">
        <f t="shared" si="10"/>
        <v>357809943.032695</v>
      </c>
      <c r="M12" s="327">
        <f t="shared" si="10"/>
        <v>368544241.3236759</v>
      </c>
      <c r="N12" s="327">
        <f t="shared" si="10"/>
        <v>379600568.5633862</v>
      </c>
      <c r="O12" s="327">
        <f t="shared" si="10"/>
        <v>390988585.6202878</v>
      </c>
      <c r="P12" s="327">
        <f t="shared" si="10"/>
        <v>402718243.18889636</v>
      </c>
      <c r="Q12" s="351"/>
      <c r="Y12" s="338"/>
    </row>
    <row r="13" spans="1:25" ht="15.75">
      <c r="A13" s="603" t="s">
        <v>405</v>
      </c>
      <c r="B13" s="697" t="s">
        <v>174</v>
      </c>
      <c r="C13" s="597">
        <v>52000000</v>
      </c>
      <c r="D13" s="597">
        <v>89900576</v>
      </c>
      <c r="E13" s="597">
        <f>+'[3]InfMesPptoCDPEjec.rpt'!$H$18</f>
        <v>94395605</v>
      </c>
      <c r="F13" s="597">
        <f>+E13*$R$6</f>
        <v>99115385.25</v>
      </c>
      <c r="G13" s="590">
        <f>+G10/12</f>
        <v>181650000</v>
      </c>
      <c r="H13" s="333">
        <f aca="true" t="shared" si="11" ref="H13:H44">+G13*$X$5</f>
        <v>187099500</v>
      </c>
      <c r="I13" s="333">
        <f>+H13*$Y$5</f>
        <v>192712485</v>
      </c>
      <c r="J13" s="333">
        <f aca="true" t="shared" si="12" ref="J13:J44">+I13*$Z$5</f>
        <v>198493859.55</v>
      </c>
      <c r="K13" s="333">
        <f aca="true" t="shared" si="13" ref="K13:K44">+J13*$AA$5</f>
        <v>204448675.33650002</v>
      </c>
      <c r="L13" s="333">
        <f t="shared" si="5"/>
        <v>210582135.59659502</v>
      </c>
      <c r="M13" s="333">
        <f t="shared" si="6"/>
        <v>216899599.66449288</v>
      </c>
      <c r="N13" s="333">
        <f t="shared" si="7"/>
        <v>223406587.65442768</v>
      </c>
      <c r="O13" s="333">
        <f t="shared" si="8"/>
        <v>230108785.2840605</v>
      </c>
      <c r="P13" s="333">
        <f t="shared" si="9"/>
        <v>237012048.84258232</v>
      </c>
      <c r="Q13" s="343"/>
      <c r="Y13" s="341"/>
    </row>
    <row r="14" spans="1:25" ht="15.75">
      <c r="A14" s="603" t="s">
        <v>406</v>
      </c>
      <c r="B14" s="697" t="s">
        <v>175</v>
      </c>
      <c r="C14" s="597">
        <v>26000000</v>
      </c>
      <c r="D14" s="597">
        <v>72550000</v>
      </c>
      <c r="E14" s="597">
        <f>+'[3]InfMesPptoCDPEjec.rpt'!$H$19</f>
        <v>76177500</v>
      </c>
      <c r="F14" s="597">
        <f>+E14*$R$6</f>
        <v>79986375</v>
      </c>
      <c r="G14" s="590">
        <v>65000000</v>
      </c>
      <c r="H14" s="333">
        <f t="shared" si="11"/>
        <v>66950000</v>
      </c>
      <c r="I14" s="333">
        <f>+H14*$Y$5</f>
        <v>68958500</v>
      </c>
      <c r="J14" s="333">
        <f t="shared" si="12"/>
        <v>71027255</v>
      </c>
      <c r="K14" s="333">
        <f t="shared" si="13"/>
        <v>73158072.65</v>
      </c>
      <c r="L14" s="333">
        <f t="shared" si="5"/>
        <v>75352814.8295</v>
      </c>
      <c r="M14" s="333">
        <f t="shared" si="6"/>
        <v>77613399.274385</v>
      </c>
      <c r="N14" s="333">
        <f t="shared" si="7"/>
        <v>79941801.25261655</v>
      </c>
      <c r="O14" s="333">
        <f t="shared" si="8"/>
        <v>82340055.29019505</v>
      </c>
      <c r="P14" s="333">
        <f t="shared" si="9"/>
        <v>84810256.94890091</v>
      </c>
      <c r="Q14" s="343"/>
      <c r="Y14" s="342"/>
    </row>
    <row r="15" spans="1:25" ht="15.75">
      <c r="A15" s="603"/>
      <c r="B15" s="697" t="s">
        <v>1631</v>
      </c>
      <c r="C15" s="597"/>
      <c r="D15" s="597"/>
      <c r="E15" s="597"/>
      <c r="F15" s="597"/>
      <c r="G15" s="590">
        <v>13000000</v>
      </c>
      <c r="H15" s="333">
        <f>+G15*$X$5</f>
        <v>13390000</v>
      </c>
      <c r="I15" s="333">
        <f>+H15*$Y$5</f>
        <v>13791700</v>
      </c>
      <c r="J15" s="333">
        <f>+I15*$Z$5</f>
        <v>14205451</v>
      </c>
      <c r="K15" s="333">
        <f>+J15*$AA$5</f>
        <v>14631614.530000001</v>
      </c>
      <c r="L15" s="333">
        <f>+K15*$AB$5</f>
        <v>15070562.965900002</v>
      </c>
      <c r="M15" s="333">
        <f>+L15*$AC$5</f>
        <v>15522679.854877003</v>
      </c>
      <c r="N15" s="333">
        <f>+M15*$AD$5</f>
        <v>15988360.250523314</v>
      </c>
      <c r="O15" s="333">
        <f>+N15*$AE$5</f>
        <v>16468011.058039013</v>
      </c>
      <c r="P15" s="333">
        <f>+O15*$AF$5</f>
        <v>16962051.389780182</v>
      </c>
      <c r="Q15" s="343"/>
      <c r="Y15" s="342"/>
    </row>
    <row r="16" spans="1:17" ht="15.75">
      <c r="A16" s="603" t="s">
        <v>407</v>
      </c>
      <c r="B16" s="697" t="s">
        <v>176</v>
      </c>
      <c r="C16" s="597">
        <v>22000000</v>
      </c>
      <c r="D16" s="597">
        <v>19400000</v>
      </c>
      <c r="E16" s="597">
        <f>+'[3]InfMesPptoCDPEjec.rpt'!$H$20</f>
        <v>33123230</v>
      </c>
      <c r="F16" s="597">
        <f>+E16*$R$6</f>
        <v>34779391.5</v>
      </c>
      <c r="G16" s="590">
        <v>36000000</v>
      </c>
      <c r="H16" s="333">
        <f t="shared" si="11"/>
        <v>37080000</v>
      </c>
      <c r="I16" s="333">
        <f>+H16*$Y$5</f>
        <v>38192400</v>
      </c>
      <c r="J16" s="333">
        <f t="shared" si="12"/>
        <v>39338172</v>
      </c>
      <c r="K16" s="333">
        <f t="shared" si="13"/>
        <v>40518317.160000004</v>
      </c>
      <c r="L16" s="333">
        <f t="shared" si="5"/>
        <v>41733866.67480001</v>
      </c>
      <c r="M16" s="333">
        <f t="shared" si="6"/>
        <v>42985882.67504401</v>
      </c>
      <c r="N16" s="333">
        <f t="shared" si="7"/>
        <v>44275459.15529533</v>
      </c>
      <c r="O16" s="333">
        <f t="shared" si="8"/>
        <v>45603722.929954186</v>
      </c>
      <c r="P16" s="333">
        <f t="shared" si="9"/>
        <v>46971834.617852814</v>
      </c>
      <c r="Q16" s="343"/>
    </row>
    <row r="17" spans="1:17" ht="15.75">
      <c r="A17" s="603" t="s">
        <v>408</v>
      </c>
      <c r="B17" s="697" t="s">
        <v>177</v>
      </c>
      <c r="C17" s="597">
        <v>3500000</v>
      </c>
      <c r="D17" s="597">
        <v>8975000</v>
      </c>
      <c r="E17" s="597">
        <f>+'[3]InfMesPptoCDPEjec.rpt'!$H$21</f>
        <v>9423750</v>
      </c>
      <c r="F17" s="597">
        <f>+E17*$R$6</f>
        <v>9894937.5</v>
      </c>
      <c r="G17" s="590">
        <v>13000000</v>
      </c>
      <c r="H17" s="333">
        <f t="shared" si="11"/>
        <v>13390000</v>
      </c>
      <c r="I17" s="333">
        <f>+H17*$Y$5</f>
        <v>13791700</v>
      </c>
      <c r="J17" s="333">
        <f t="shared" si="12"/>
        <v>14205451</v>
      </c>
      <c r="K17" s="333">
        <f t="shared" si="13"/>
        <v>14631614.530000001</v>
      </c>
      <c r="L17" s="333">
        <f t="shared" si="5"/>
        <v>15070562.965900002</v>
      </c>
      <c r="M17" s="333">
        <f t="shared" si="6"/>
        <v>15522679.854877003</v>
      </c>
      <c r="N17" s="333">
        <f t="shared" si="7"/>
        <v>15988360.250523314</v>
      </c>
      <c r="O17" s="333">
        <f t="shared" si="8"/>
        <v>16468011.058039013</v>
      </c>
      <c r="P17" s="333">
        <f t="shared" si="9"/>
        <v>16962051.389780182</v>
      </c>
      <c r="Q17" s="343"/>
    </row>
    <row r="18" spans="1:17" ht="30">
      <c r="A18" s="357" t="s">
        <v>409</v>
      </c>
      <c r="B18" s="700" t="s">
        <v>178</v>
      </c>
      <c r="C18" s="326">
        <f aca="true" t="shared" si="14" ref="C18:P18">SUM(C19)</f>
        <v>26000000</v>
      </c>
      <c r="D18" s="326">
        <f t="shared" si="14"/>
        <v>74000000</v>
      </c>
      <c r="E18" s="326">
        <f t="shared" si="14"/>
        <v>80000000</v>
      </c>
      <c r="F18" s="326">
        <f t="shared" si="14"/>
        <v>84000000</v>
      </c>
      <c r="G18" s="589">
        <f t="shared" si="14"/>
        <v>75000000</v>
      </c>
      <c r="H18" s="327">
        <f t="shared" si="14"/>
        <v>77250000</v>
      </c>
      <c r="I18" s="327">
        <f t="shared" si="14"/>
        <v>79567500</v>
      </c>
      <c r="J18" s="327">
        <f t="shared" si="14"/>
        <v>81954525</v>
      </c>
      <c r="K18" s="327">
        <f t="shared" si="14"/>
        <v>84413160.75</v>
      </c>
      <c r="L18" s="327">
        <f t="shared" si="14"/>
        <v>86945555.5725</v>
      </c>
      <c r="M18" s="327">
        <f t="shared" si="14"/>
        <v>89553922.23967502</v>
      </c>
      <c r="N18" s="327">
        <f t="shared" si="14"/>
        <v>92240539.90686527</v>
      </c>
      <c r="O18" s="327">
        <f t="shared" si="14"/>
        <v>95007756.10407123</v>
      </c>
      <c r="P18" s="327">
        <f t="shared" si="14"/>
        <v>97857988.78719337</v>
      </c>
      <c r="Q18" s="351"/>
    </row>
    <row r="19" spans="1:17" ht="15.75">
      <c r="A19" s="603" t="s">
        <v>410</v>
      </c>
      <c r="B19" s="697" t="s">
        <v>179</v>
      </c>
      <c r="C19" s="597">
        <v>26000000</v>
      </c>
      <c r="D19" s="597">
        <v>74000000</v>
      </c>
      <c r="E19" s="597">
        <f>+'[3]InfMesPptoCDPEjec.rpt'!$H$23</f>
        <v>80000000</v>
      </c>
      <c r="F19" s="597">
        <f>+E19*$R$6</f>
        <v>84000000</v>
      </c>
      <c r="G19" s="590">
        <v>75000000</v>
      </c>
      <c r="H19" s="333">
        <f t="shared" si="11"/>
        <v>77250000</v>
      </c>
      <c r="I19" s="333">
        <f>+H19*$Y$5</f>
        <v>79567500</v>
      </c>
      <c r="J19" s="333">
        <f t="shared" si="12"/>
        <v>81954525</v>
      </c>
      <c r="K19" s="333">
        <f t="shared" si="13"/>
        <v>84413160.75</v>
      </c>
      <c r="L19" s="333">
        <f t="shared" si="5"/>
        <v>86945555.5725</v>
      </c>
      <c r="M19" s="333">
        <f t="shared" si="6"/>
        <v>89553922.23967502</v>
      </c>
      <c r="N19" s="333">
        <f t="shared" si="7"/>
        <v>92240539.90686527</v>
      </c>
      <c r="O19" s="333">
        <f t="shared" si="8"/>
        <v>95007756.10407123</v>
      </c>
      <c r="P19" s="333">
        <f t="shared" si="9"/>
        <v>97857988.78719337</v>
      </c>
      <c r="Q19" s="343"/>
    </row>
    <row r="20" spans="1:17" ht="15.75">
      <c r="A20" s="357" t="s">
        <v>411</v>
      </c>
      <c r="B20" s="700" t="s">
        <v>180</v>
      </c>
      <c r="C20" s="326">
        <f>SUM(C21)</f>
        <v>250000000</v>
      </c>
      <c r="D20" s="326">
        <f>SUM(D21)</f>
        <v>780000000</v>
      </c>
      <c r="E20" s="326">
        <f>SUM(E21)</f>
        <v>1383000000</v>
      </c>
      <c r="F20" s="326">
        <f>SUM(F21:F22)</f>
        <v>1052150000</v>
      </c>
      <c r="G20" s="326">
        <f aca="true" t="shared" si="15" ref="G20:P20">SUM(G21:G22)</f>
        <v>970000000</v>
      </c>
      <c r="H20" s="326">
        <f>SUM(H21:H22)</f>
        <v>999100000</v>
      </c>
      <c r="I20" s="326">
        <f t="shared" si="15"/>
        <v>1029073000</v>
      </c>
      <c r="J20" s="326">
        <f t="shared" si="15"/>
        <v>1059945190</v>
      </c>
      <c r="K20" s="326">
        <f t="shared" si="15"/>
        <v>1091743545.7</v>
      </c>
      <c r="L20" s="326">
        <f t="shared" si="15"/>
        <v>1124495852.071</v>
      </c>
      <c r="M20" s="326">
        <f t="shared" si="15"/>
        <v>1158230727.63313</v>
      </c>
      <c r="N20" s="326">
        <f t="shared" si="15"/>
        <v>1192977649.462124</v>
      </c>
      <c r="O20" s="326">
        <f t="shared" si="15"/>
        <v>1228766978.9459877</v>
      </c>
      <c r="P20" s="326">
        <f t="shared" si="15"/>
        <v>1265629988.3143675</v>
      </c>
      <c r="Q20" s="351"/>
    </row>
    <row r="21" spans="1:19" ht="15.75">
      <c r="A21" s="604" t="s">
        <v>412</v>
      </c>
      <c r="B21" s="697" t="s">
        <v>181</v>
      </c>
      <c r="C21" s="597">
        <v>250000000</v>
      </c>
      <c r="D21" s="597">
        <v>780000000</v>
      </c>
      <c r="E21" s="597">
        <f>+'[3]InfMesPptoCDPEjec.rpt'!$H$25</f>
        <v>1383000000</v>
      </c>
      <c r="F21" s="597">
        <f>+E21*$R$6-400000000</f>
        <v>1052150000</v>
      </c>
      <c r="G21" s="590">
        <v>900000000</v>
      </c>
      <c r="H21" s="333">
        <f t="shared" si="11"/>
        <v>927000000</v>
      </c>
      <c r="I21" s="333">
        <f>+H21*$Y$5</f>
        <v>954810000</v>
      </c>
      <c r="J21" s="333">
        <f t="shared" si="12"/>
        <v>983454300</v>
      </c>
      <c r="K21" s="333">
        <f t="shared" si="13"/>
        <v>1012957929</v>
      </c>
      <c r="L21" s="333">
        <f t="shared" si="5"/>
        <v>1043346666.87</v>
      </c>
      <c r="M21" s="333">
        <f t="shared" si="6"/>
        <v>1074647066.8761</v>
      </c>
      <c r="N21" s="333">
        <f t="shared" si="7"/>
        <v>1106886478.882383</v>
      </c>
      <c r="O21" s="333">
        <f t="shared" si="8"/>
        <v>1140093073.2488546</v>
      </c>
      <c r="P21" s="333">
        <f t="shared" si="9"/>
        <v>1174295865.4463203</v>
      </c>
      <c r="Q21" s="343"/>
      <c r="R21" s="340"/>
      <c r="S21" s="340"/>
    </row>
    <row r="22" spans="1:19" ht="15.75">
      <c r="A22" s="604"/>
      <c r="B22" s="697" t="s">
        <v>1632</v>
      </c>
      <c r="C22" s="597"/>
      <c r="D22" s="597"/>
      <c r="E22" s="597"/>
      <c r="F22" s="597"/>
      <c r="G22" s="590">
        <v>70000000</v>
      </c>
      <c r="H22" s="333">
        <f>+G22*$X$5</f>
        <v>72100000</v>
      </c>
      <c r="I22" s="333">
        <f>+H22*$Y$5</f>
        <v>74263000</v>
      </c>
      <c r="J22" s="333">
        <f>+I22*$Z$5</f>
        <v>76490890</v>
      </c>
      <c r="K22" s="333">
        <f>+J22*$AA$5</f>
        <v>78785616.7</v>
      </c>
      <c r="L22" s="333">
        <f>+K22*$AB$5</f>
        <v>81149185.201</v>
      </c>
      <c r="M22" s="333">
        <f>+L22*$AC$5</f>
        <v>83583660.75703001</v>
      </c>
      <c r="N22" s="333">
        <f>+M22*$AD$5</f>
        <v>86091170.57974091</v>
      </c>
      <c r="O22" s="333">
        <f>+N22*$AE$5</f>
        <v>88673905.69713314</v>
      </c>
      <c r="P22" s="333">
        <f>+O22*$AF$5</f>
        <v>91334122.86804713</v>
      </c>
      <c r="Q22" s="343"/>
      <c r="R22" s="340"/>
      <c r="S22" s="340"/>
    </row>
    <row r="23" spans="1:21" ht="30">
      <c r="A23" s="357" t="s">
        <v>413</v>
      </c>
      <c r="B23" s="700" t="s">
        <v>182</v>
      </c>
      <c r="C23" s="326">
        <f aca="true" t="shared" si="16" ref="C23:P23">SUM(C24)</f>
        <v>60000000</v>
      </c>
      <c r="D23" s="326">
        <f t="shared" si="16"/>
        <v>200000000</v>
      </c>
      <c r="E23" s="326">
        <f t="shared" si="16"/>
        <v>310195326</v>
      </c>
      <c r="F23" s="326">
        <f t="shared" si="16"/>
        <v>525705092.3</v>
      </c>
      <c r="G23" s="589">
        <f t="shared" si="16"/>
        <v>150000000</v>
      </c>
      <c r="H23" s="327">
        <f t="shared" si="16"/>
        <v>154500000</v>
      </c>
      <c r="I23" s="327">
        <f t="shared" si="16"/>
        <v>159135000</v>
      </c>
      <c r="J23" s="327">
        <f t="shared" si="16"/>
        <v>163909050</v>
      </c>
      <c r="K23" s="327">
        <f t="shared" si="16"/>
        <v>168826321.5</v>
      </c>
      <c r="L23" s="327">
        <f t="shared" si="16"/>
        <v>173891111.145</v>
      </c>
      <c r="M23" s="327">
        <f t="shared" si="16"/>
        <v>179107844.47935003</v>
      </c>
      <c r="N23" s="327">
        <f t="shared" si="16"/>
        <v>184481079.81373054</v>
      </c>
      <c r="O23" s="327">
        <f t="shared" si="16"/>
        <v>190015512.20814246</v>
      </c>
      <c r="P23" s="327">
        <f t="shared" si="16"/>
        <v>195715977.57438675</v>
      </c>
      <c r="Q23" s="351"/>
      <c r="U23" s="337">
        <v>0.8</v>
      </c>
    </row>
    <row r="24" spans="1:21" ht="15.75">
      <c r="A24" s="604" t="s">
        <v>414</v>
      </c>
      <c r="B24" s="697" t="s">
        <v>183</v>
      </c>
      <c r="C24" s="597">
        <v>60000000</v>
      </c>
      <c r="D24" s="597">
        <v>200000000</v>
      </c>
      <c r="E24" s="597">
        <f>+'[3]InfMesPptoCDPEjec.rpt'!$H$27</f>
        <v>310195326</v>
      </c>
      <c r="F24" s="597">
        <f>+E24*$R$6+200000000</f>
        <v>525705092.3</v>
      </c>
      <c r="G24" s="590">
        <v>150000000</v>
      </c>
      <c r="H24" s="333">
        <f t="shared" si="11"/>
        <v>154500000</v>
      </c>
      <c r="I24" s="333">
        <f>+H24*$Y$5</f>
        <v>159135000</v>
      </c>
      <c r="J24" s="333">
        <f t="shared" si="12"/>
        <v>163909050</v>
      </c>
      <c r="K24" s="333">
        <f t="shared" si="13"/>
        <v>168826321.5</v>
      </c>
      <c r="L24" s="333">
        <f t="shared" si="5"/>
        <v>173891111.145</v>
      </c>
      <c r="M24" s="333">
        <f t="shared" si="6"/>
        <v>179107844.47935003</v>
      </c>
      <c r="N24" s="333">
        <f t="shared" si="7"/>
        <v>184481079.81373054</v>
      </c>
      <c r="O24" s="333">
        <f t="shared" si="8"/>
        <v>190015512.20814246</v>
      </c>
      <c r="P24" s="333">
        <f t="shared" si="9"/>
        <v>195715977.57438675</v>
      </c>
      <c r="Q24" s="343"/>
      <c r="U24" s="337" t="e">
        <f>+#REF!/#REF!</f>
        <v>#REF!</v>
      </c>
    </row>
    <row r="25" spans="1:17" ht="15.75">
      <c r="A25" s="357" t="s">
        <v>415</v>
      </c>
      <c r="B25" s="700" t="s">
        <v>184</v>
      </c>
      <c r="C25" s="326">
        <f aca="true" t="shared" si="17" ref="C25:P25">SUM(C26)</f>
        <v>8000000</v>
      </c>
      <c r="D25" s="326">
        <f t="shared" si="17"/>
        <v>12000000</v>
      </c>
      <c r="E25" s="326">
        <f t="shared" si="17"/>
        <v>25000000</v>
      </c>
      <c r="F25" s="326">
        <f t="shared" si="17"/>
        <v>26250000</v>
      </c>
      <c r="G25" s="589">
        <f t="shared" si="17"/>
        <v>30000000</v>
      </c>
      <c r="H25" s="327">
        <f t="shared" si="17"/>
        <v>30900000</v>
      </c>
      <c r="I25" s="327">
        <f t="shared" si="17"/>
        <v>31827000</v>
      </c>
      <c r="J25" s="327">
        <f t="shared" si="17"/>
        <v>32781810</v>
      </c>
      <c r="K25" s="327">
        <f t="shared" si="17"/>
        <v>33765264.300000004</v>
      </c>
      <c r="L25" s="327">
        <f t="shared" si="17"/>
        <v>34778222.229</v>
      </c>
      <c r="M25" s="327">
        <f t="shared" si="17"/>
        <v>35821568.89587</v>
      </c>
      <c r="N25" s="327">
        <f t="shared" si="17"/>
        <v>36896215.9627461</v>
      </c>
      <c r="O25" s="327">
        <f t="shared" si="17"/>
        <v>38003102.441628486</v>
      </c>
      <c r="P25" s="327">
        <f t="shared" si="17"/>
        <v>39143195.51487734</v>
      </c>
      <c r="Q25" s="351"/>
    </row>
    <row r="26" spans="1:17" ht="16.5" thickBot="1">
      <c r="A26" s="604" t="s">
        <v>416</v>
      </c>
      <c r="B26" s="701" t="s">
        <v>185</v>
      </c>
      <c r="C26" s="611">
        <v>8000000</v>
      </c>
      <c r="D26" s="611">
        <v>12000000</v>
      </c>
      <c r="E26" s="611">
        <f>+'[3]InfMesPptoCDPEjec.rpt'!$H$29</f>
        <v>25000000</v>
      </c>
      <c r="F26" s="611">
        <f>+E26*$R$6</f>
        <v>26250000</v>
      </c>
      <c r="G26" s="590">
        <v>30000000</v>
      </c>
      <c r="H26" s="333">
        <f t="shared" si="11"/>
        <v>30900000</v>
      </c>
      <c r="I26" s="333">
        <f>+H26*$Y$5</f>
        <v>31827000</v>
      </c>
      <c r="J26" s="333">
        <f t="shared" si="12"/>
        <v>32781810</v>
      </c>
      <c r="K26" s="333">
        <f t="shared" si="13"/>
        <v>33765264.300000004</v>
      </c>
      <c r="L26" s="333">
        <f t="shared" si="5"/>
        <v>34778222.229</v>
      </c>
      <c r="M26" s="333">
        <f t="shared" si="6"/>
        <v>35821568.89587</v>
      </c>
      <c r="N26" s="333">
        <f t="shared" si="7"/>
        <v>36896215.9627461</v>
      </c>
      <c r="O26" s="333">
        <f t="shared" si="8"/>
        <v>38003102.441628486</v>
      </c>
      <c r="P26" s="333">
        <f t="shared" si="9"/>
        <v>39143195.51487734</v>
      </c>
      <c r="Q26" s="343"/>
    </row>
    <row r="27" spans="1:17" ht="15.75">
      <c r="A27" s="357" t="s">
        <v>417</v>
      </c>
      <c r="B27" s="702" t="s">
        <v>186</v>
      </c>
      <c r="C27" s="618">
        <f aca="true" t="shared" si="18" ref="C27:P27">SUM(C28:C31)</f>
        <v>196000000</v>
      </c>
      <c r="D27" s="618">
        <f t="shared" si="18"/>
        <v>328218805</v>
      </c>
      <c r="E27" s="618">
        <f t="shared" si="18"/>
        <v>348969667</v>
      </c>
      <c r="F27" s="618">
        <f t="shared" si="18"/>
        <v>387841389.8325</v>
      </c>
      <c r="G27" s="589">
        <f t="shared" si="18"/>
        <v>548867500</v>
      </c>
      <c r="H27" s="327">
        <f t="shared" si="18"/>
        <v>565333525</v>
      </c>
      <c r="I27" s="327">
        <f t="shared" si="18"/>
        <v>582293530.75</v>
      </c>
      <c r="J27" s="327">
        <f t="shared" si="18"/>
        <v>599762336.6725001</v>
      </c>
      <c r="K27" s="327">
        <f t="shared" si="18"/>
        <v>617755206.772675</v>
      </c>
      <c r="L27" s="327">
        <f t="shared" si="18"/>
        <v>636287862.9758554</v>
      </c>
      <c r="M27" s="327">
        <f t="shared" si="18"/>
        <v>655376498.8651309</v>
      </c>
      <c r="N27" s="327">
        <f t="shared" si="18"/>
        <v>675037793.8310848</v>
      </c>
      <c r="O27" s="327">
        <f t="shared" si="18"/>
        <v>695288927.6460174</v>
      </c>
      <c r="P27" s="327">
        <f t="shared" si="18"/>
        <v>716147595.4753981</v>
      </c>
      <c r="Q27" s="351"/>
    </row>
    <row r="28" spans="1:22" ht="15.75">
      <c r="A28" s="604" t="s">
        <v>418</v>
      </c>
      <c r="B28" s="697" t="s">
        <v>419</v>
      </c>
      <c r="C28" s="597">
        <v>63000000</v>
      </c>
      <c r="D28" s="597">
        <v>102894587</v>
      </c>
      <c r="E28" s="597">
        <f>+'[3]InfMesPptoCDPEjec.rpt'!$H$31</f>
        <v>109068262</v>
      </c>
      <c r="F28" s="597">
        <f>(+F10*8.5%)</f>
        <v>132977387.84500001</v>
      </c>
      <c r="G28" s="590">
        <f>+$G$10*8.5%</f>
        <v>185283000</v>
      </c>
      <c r="H28" s="333">
        <f t="shared" si="11"/>
        <v>190841490</v>
      </c>
      <c r="I28" s="333">
        <f>+H28*$Y$5</f>
        <v>196566734.70000002</v>
      </c>
      <c r="J28" s="333">
        <f t="shared" si="12"/>
        <v>202463736.74100003</v>
      </c>
      <c r="K28" s="333">
        <f t="shared" si="13"/>
        <v>208537648.84323004</v>
      </c>
      <c r="L28" s="333">
        <f t="shared" si="5"/>
        <v>214793778.30852693</v>
      </c>
      <c r="M28" s="333">
        <f t="shared" si="6"/>
        <v>221237591.65778273</v>
      </c>
      <c r="N28" s="333">
        <f t="shared" si="7"/>
        <v>227874719.4075162</v>
      </c>
      <c r="O28" s="333">
        <f t="shared" si="8"/>
        <v>234710960.9897417</v>
      </c>
      <c r="P28" s="333">
        <f t="shared" si="9"/>
        <v>241752289.81943396</v>
      </c>
      <c r="Q28" s="343"/>
      <c r="V28" s="328"/>
    </row>
    <row r="29" spans="1:19" ht="15.75">
      <c r="A29" s="603" t="s">
        <v>420</v>
      </c>
      <c r="B29" s="697" t="s">
        <v>421</v>
      </c>
      <c r="C29" s="597">
        <v>11000000</v>
      </c>
      <c r="D29" s="597">
        <v>11100000</v>
      </c>
      <c r="E29" s="597">
        <f>+'[3]InfMesPptoCDPEjec.rpt'!$H$32</f>
        <v>11877000</v>
      </c>
      <c r="F29" s="597">
        <v>11610000</v>
      </c>
      <c r="G29" s="590">
        <v>13000000</v>
      </c>
      <c r="H29" s="333">
        <f t="shared" si="11"/>
        <v>13390000</v>
      </c>
      <c r="I29" s="333">
        <f>+H29*$Y$5</f>
        <v>13791700</v>
      </c>
      <c r="J29" s="333">
        <f t="shared" si="12"/>
        <v>14205451</v>
      </c>
      <c r="K29" s="333">
        <f t="shared" si="13"/>
        <v>14631614.530000001</v>
      </c>
      <c r="L29" s="333">
        <f t="shared" si="5"/>
        <v>15070562.965900002</v>
      </c>
      <c r="M29" s="333">
        <f t="shared" si="6"/>
        <v>15522679.854877003</v>
      </c>
      <c r="N29" s="333">
        <f t="shared" si="7"/>
        <v>15988360.250523314</v>
      </c>
      <c r="O29" s="333">
        <f t="shared" si="8"/>
        <v>16468011.058039013</v>
      </c>
      <c r="P29" s="333">
        <f t="shared" si="9"/>
        <v>16962051.389780182</v>
      </c>
      <c r="Q29" s="343"/>
      <c r="R29" s="343"/>
      <c r="S29" s="343"/>
    </row>
    <row r="30" spans="1:21" ht="15.75">
      <c r="A30" s="603" t="s">
        <v>422</v>
      </c>
      <c r="B30" s="697" t="s">
        <v>253</v>
      </c>
      <c r="C30" s="597">
        <v>70000000</v>
      </c>
      <c r="D30" s="597">
        <v>119550863</v>
      </c>
      <c r="E30" s="597">
        <v>126723915</v>
      </c>
      <c r="F30" s="597">
        <f>(+F10*12.5%)*70%</f>
        <v>136888487.48749998</v>
      </c>
      <c r="G30" s="590">
        <f>+(+$G$10*15.5%)/2</f>
        <v>168934500</v>
      </c>
      <c r="H30" s="333">
        <f t="shared" si="11"/>
        <v>174002535</v>
      </c>
      <c r="I30" s="333">
        <f>+H30*$Y$5</f>
        <v>179222611.05</v>
      </c>
      <c r="J30" s="333">
        <f t="shared" si="12"/>
        <v>184599289.3815</v>
      </c>
      <c r="K30" s="333">
        <f t="shared" si="13"/>
        <v>190137268.062945</v>
      </c>
      <c r="L30" s="333">
        <f t="shared" si="5"/>
        <v>195841386.10483336</v>
      </c>
      <c r="M30" s="333">
        <f t="shared" si="6"/>
        <v>201716627.68797836</v>
      </c>
      <c r="N30" s="333">
        <f t="shared" si="7"/>
        <v>207768126.51861772</v>
      </c>
      <c r="O30" s="333">
        <f t="shared" si="8"/>
        <v>214001170.31417626</v>
      </c>
      <c r="P30" s="333">
        <f t="shared" si="9"/>
        <v>220421205.42360157</v>
      </c>
      <c r="Q30" s="343"/>
      <c r="U30" s="328"/>
    </row>
    <row r="31" spans="1:17" ht="15.75">
      <c r="A31" s="603" t="s">
        <v>422</v>
      </c>
      <c r="B31" s="697" t="s">
        <v>188</v>
      </c>
      <c r="C31" s="597">
        <v>52000000</v>
      </c>
      <c r="D31" s="597">
        <v>94673355</v>
      </c>
      <c r="E31" s="597">
        <f>+'[3]InfMesPptoCDPEjec.rpt'!$H$34</f>
        <v>101300490</v>
      </c>
      <c r="F31" s="597">
        <f>+E31*$R$6</f>
        <v>106365514.5</v>
      </c>
      <c r="G31" s="590">
        <f>+G10/12</f>
        <v>181650000</v>
      </c>
      <c r="H31" s="333">
        <f t="shared" si="11"/>
        <v>187099500</v>
      </c>
      <c r="I31" s="333">
        <f>+H31*$Y$5</f>
        <v>192712485</v>
      </c>
      <c r="J31" s="333">
        <f t="shared" si="12"/>
        <v>198493859.55</v>
      </c>
      <c r="K31" s="333">
        <f t="shared" si="13"/>
        <v>204448675.33650002</v>
      </c>
      <c r="L31" s="333">
        <f t="shared" si="5"/>
        <v>210582135.59659502</v>
      </c>
      <c r="M31" s="333">
        <f t="shared" si="6"/>
        <v>216899599.66449288</v>
      </c>
      <c r="N31" s="333">
        <f t="shared" si="7"/>
        <v>223406587.65442768</v>
      </c>
      <c r="O31" s="333">
        <f t="shared" si="8"/>
        <v>230108785.2840605</v>
      </c>
      <c r="P31" s="333">
        <f t="shared" si="9"/>
        <v>237012048.84258232</v>
      </c>
      <c r="Q31" s="343"/>
    </row>
    <row r="32" spans="1:17" ht="15.75">
      <c r="A32" s="606" t="s">
        <v>423</v>
      </c>
      <c r="B32" s="700" t="s">
        <v>189</v>
      </c>
      <c r="C32" s="326">
        <f aca="true" t="shared" si="19" ref="C32:P32">SUM(C33:C34)</f>
        <v>22800000</v>
      </c>
      <c r="D32" s="326">
        <f t="shared" si="19"/>
        <v>24940000</v>
      </c>
      <c r="E32" s="326">
        <f t="shared" si="19"/>
        <v>26635900</v>
      </c>
      <c r="F32" s="326">
        <f t="shared" si="19"/>
        <v>66835999.57075399</v>
      </c>
      <c r="G32" s="589">
        <f t="shared" si="19"/>
        <v>179833500</v>
      </c>
      <c r="H32" s="327">
        <f t="shared" si="19"/>
        <v>185228505</v>
      </c>
      <c r="I32" s="327">
        <f t="shared" si="19"/>
        <v>190785360.15</v>
      </c>
      <c r="J32" s="327">
        <f t="shared" si="19"/>
        <v>196508920.95450002</v>
      </c>
      <c r="K32" s="327">
        <f t="shared" si="19"/>
        <v>202404188.583135</v>
      </c>
      <c r="L32" s="327">
        <f t="shared" si="19"/>
        <v>208476314.24062908</v>
      </c>
      <c r="M32" s="327">
        <f t="shared" si="19"/>
        <v>214730603.66784793</v>
      </c>
      <c r="N32" s="327">
        <f t="shared" si="19"/>
        <v>221172521.77788338</v>
      </c>
      <c r="O32" s="327">
        <f t="shared" si="19"/>
        <v>227807697.43121988</v>
      </c>
      <c r="P32" s="327">
        <f t="shared" si="19"/>
        <v>234641928.3541565</v>
      </c>
      <c r="Q32" s="351"/>
    </row>
    <row r="33" spans="1:17" ht="15.75">
      <c r="A33" s="603" t="s">
        <v>424</v>
      </c>
      <c r="B33" s="697" t="s">
        <v>190</v>
      </c>
      <c r="C33" s="597">
        <v>19000000</v>
      </c>
      <c r="D33" s="597">
        <f>19000000*1.05</f>
        <v>19950000</v>
      </c>
      <c r="E33" s="597">
        <f>+'[3]InfMesPptoCDPEjec.rpt'!$H$36</f>
        <v>21346500</v>
      </c>
      <c r="F33" s="597">
        <f>(+F10*12.5%)*30%</f>
        <v>58666494.637499996</v>
      </c>
      <c r="G33" s="590">
        <f>+(+$G$10*15.5%)/2</f>
        <v>168934500</v>
      </c>
      <c r="H33" s="333">
        <f t="shared" si="11"/>
        <v>174002535</v>
      </c>
      <c r="I33" s="333">
        <f>+H33*$Y$5</f>
        <v>179222611.05</v>
      </c>
      <c r="J33" s="333">
        <f t="shared" si="12"/>
        <v>184599289.3815</v>
      </c>
      <c r="K33" s="333">
        <f t="shared" si="13"/>
        <v>190137268.062945</v>
      </c>
      <c r="L33" s="333">
        <f t="shared" si="5"/>
        <v>195841386.10483336</v>
      </c>
      <c r="M33" s="333">
        <f t="shared" si="6"/>
        <v>201716627.68797836</v>
      </c>
      <c r="N33" s="333">
        <f t="shared" si="7"/>
        <v>207768126.51861772</v>
      </c>
      <c r="O33" s="333">
        <f t="shared" si="8"/>
        <v>214001170.31417626</v>
      </c>
      <c r="P33" s="333">
        <f t="shared" si="9"/>
        <v>220421205.42360157</v>
      </c>
      <c r="Q33" s="343"/>
    </row>
    <row r="34" spans="1:17" ht="15.75">
      <c r="A34" s="603" t="s">
        <v>425</v>
      </c>
      <c r="B34" s="697" t="s">
        <v>187</v>
      </c>
      <c r="C34" s="597">
        <v>3800000</v>
      </c>
      <c r="D34" s="597">
        <v>4990000</v>
      </c>
      <c r="E34" s="597">
        <f>+'[3]InfMesPptoCDPEjec.rpt'!$H$37</f>
        <v>5289400</v>
      </c>
      <c r="F34" s="597">
        <f>+F10*0.5222%</f>
        <v>8169504.933254</v>
      </c>
      <c r="G34" s="590">
        <f>+$G$10*0.5%</f>
        <v>10899000</v>
      </c>
      <c r="H34" s="333">
        <f t="shared" si="11"/>
        <v>11225970</v>
      </c>
      <c r="I34" s="333">
        <f>+H34*$Y$5</f>
        <v>11562749.1</v>
      </c>
      <c r="J34" s="333">
        <f t="shared" si="12"/>
        <v>11909631.573</v>
      </c>
      <c r="K34" s="333">
        <f t="shared" si="13"/>
        <v>12266920.52019</v>
      </c>
      <c r="L34" s="333">
        <f t="shared" si="5"/>
        <v>12634928.135795701</v>
      </c>
      <c r="M34" s="333">
        <f t="shared" si="6"/>
        <v>13013975.979869572</v>
      </c>
      <c r="N34" s="333">
        <f t="shared" si="7"/>
        <v>13404395.25926566</v>
      </c>
      <c r="O34" s="333">
        <f t="shared" si="8"/>
        <v>13806527.11704363</v>
      </c>
      <c r="P34" s="333">
        <f t="shared" si="9"/>
        <v>14220722.93055494</v>
      </c>
      <c r="Q34" s="343"/>
    </row>
    <row r="35" spans="1:17" ht="15.75">
      <c r="A35" s="357" t="s">
        <v>426</v>
      </c>
      <c r="B35" s="700" t="s">
        <v>191</v>
      </c>
      <c r="C35" s="326">
        <f aca="true" t="shared" si="20" ref="C35:P35">SUM(C36)</f>
        <v>22000000</v>
      </c>
      <c r="D35" s="326">
        <f t="shared" si="20"/>
        <v>31992207</v>
      </c>
      <c r="E35" s="326">
        <f t="shared" si="20"/>
        <v>33911739</v>
      </c>
      <c r="F35" s="326">
        <f t="shared" si="20"/>
        <v>46933195.71</v>
      </c>
      <c r="G35" s="589">
        <f t="shared" si="20"/>
        <v>65394000</v>
      </c>
      <c r="H35" s="327">
        <f t="shared" si="20"/>
        <v>67355820</v>
      </c>
      <c r="I35" s="327">
        <f t="shared" si="20"/>
        <v>69376494.60000001</v>
      </c>
      <c r="J35" s="327">
        <f t="shared" si="20"/>
        <v>71457789.43800001</v>
      </c>
      <c r="K35" s="327">
        <f t="shared" si="20"/>
        <v>73601523.12114</v>
      </c>
      <c r="L35" s="327">
        <f t="shared" si="20"/>
        <v>75809568.8147742</v>
      </c>
      <c r="M35" s="327">
        <f t="shared" si="20"/>
        <v>78083855.87921743</v>
      </c>
      <c r="N35" s="327">
        <f t="shared" si="20"/>
        <v>80426371.55559395</v>
      </c>
      <c r="O35" s="327">
        <f t="shared" si="20"/>
        <v>82839162.70226178</v>
      </c>
      <c r="P35" s="327">
        <f t="shared" si="20"/>
        <v>85324337.58332963</v>
      </c>
      <c r="Q35" s="351"/>
    </row>
    <row r="36" spans="1:17" ht="15.75">
      <c r="A36" s="604" t="s">
        <v>427</v>
      </c>
      <c r="B36" s="697" t="s">
        <v>192</v>
      </c>
      <c r="C36" s="597">
        <v>22000000</v>
      </c>
      <c r="D36" s="597">
        <v>31992207</v>
      </c>
      <c r="E36" s="597">
        <f>+'[3]InfMesPptoCDPEjec.rpt'!$H$39</f>
        <v>33911739</v>
      </c>
      <c r="F36" s="597">
        <f>+F10*3%</f>
        <v>46933195.71</v>
      </c>
      <c r="G36" s="590">
        <f>+$G$10*3%</f>
        <v>65394000</v>
      </c>
      <c r="H36" s="333">
        <f t="shared" si="11"/>
        <v>67355820</v>
      </c>
      <c r="I36" s="333">
        <f>+H36*$Y$5</f>
        <v>69376494.60000001</v>
      </c>
      <c r="J36" s="333">
        <f t="shared" si="12"/>
        <v>71457789.43800001</v>
      </c>
      <c r="K36" s="333">
        <f t="shared" si="13"/>
        <v>73601523.12114</v>
      </c>
      <c r="L36" s="333">
        <f t="shared" si="5"/>
        <v>75809568.8147742</v>
      </c>
      <c r="M36" s="333">
        <f t="shared" si="6"/>
        <v>78083855.87921743</v>
      </c>
      <c r="N36" s="333">
        <f t="shared" si="7"/>
        <v>80426371.55559395</v>
      </c>
      <c r="O36" s="333">
        <f t="shared" si="8"/>
        <v>82839162.70226178</v>
      </c>
      <c r="P36" s="333">
        <f t="shared" si="9"/>
        <v>85324337.58332963</v>
      </c>
      <c r="Q36" s="343"/>
    </row>
    <row r="37" spans="1:17" ht="15.75">
      <c r="A37" s="357" t="s">
        <v>428</v>
      </c>
      <c r="B37" s="700" t="s">
        <v>193</v>
      </c>
      <c r="C37" s="326">
        <f aca="true" t="shared" si="21" ref="C37:P37">SUM(C38)</f>
        <v>3700000</v>
      </c>
      <c r="D37" s="326">
        <f t="shared" si="21"/>
        <v>6328138</v>
      </c>
      <c r="E37" s="326">
        <f t="shared" si="21"/>
        <v>6707826</v>
      </c>
      <c r="F37" s="326">
        <f t="shared" si="21"/>
        <v>7822199.285</v>
      </c>
      <c r="G37" s="589">
        <f t="shared" si="21"/>
        <v>43596000</v>
      </c>
      <c r="H37" s="327">
        <f t="shared" si="21"/>
        <v>44903880</v>
      </c>
      <c r="I37" s="327">
        <f t="shared" si="21"/>
        <v>46250996.4</v>
      </c>
      <c r="J37" s="327">
        <f t="shared" si="21"/>
        <v>47638526.292</v>
      </c>
      <c r="K37" s="327">
        <f t="shared" si="21"/>
        <v>49067682.08076</v>
      </c>
      <c r="L37" s="327">
        <f t="shared" si="21"/>
        <v>50539712.543182805</v>
      </c>
      <c r="M37" s="327">
        <f t="shared" si="21"/>
        <v>52055903.91947829</v>
      </c>
      <c r="N37" s="327">
        <f t="shared" si="21"/>
        <v>53617581.03706264</v>
      </c>
      <c r="O37" s="327">
        <f t="shared" si="21"/>
        <v>55226108.46817452</v>
      </c>
      <c r="P37" s="327">
        <f t="shared" si="21"/>
        <v>56882891.72221976</v>
      </c>
      <c r="Q37" s="351"/>
    </row>
    <row r="38" spans="1:17" ht="15.75">
      <c r="A38" s="604" t="s">
        <v>429</v>
      </c>
      <c r="B38" s="697" t="s">
        <v>194</v>
      </c>
      <c r="C38" s="597">
        <v>3700000</v>
      </c>
      <c r="D38" s="597">
        <v>6328138</v>
      </c>
      <c r="E38" s="597">
        <f>+'[3]InfMesPptoCDPEjec.rpt'!$H$41</f>
        <v>6707826</v>
      </c>
      <c r="F38" s="597">
        <f>+F10*0.5%</f>
        <v>7822199.285</v>
      </c>
      <c r="G38" s="590">
        <f>+$G$10*2%</f>
        <v>43596000</v>
      </c>
      <c r="H38" s="333">
        <f t="shared" si="11"/>
        <v>44903880</v>
      </c>
      <c r="I38" s="333">
        <f>+H38*$Y$5</f>
        <v>46250996.4</v>
      </c>
      <c r="J38" s="333">
        <f t="shared" si="12"/>
        <v>47638526.292</v>
      </c>
      <c r="K38" s="333">
        <f t="shared" si="13"/>
        <v>49067682.08076</v>
      </c>
      <c r="L38" s="333">
        <f t="shared" si="5"/>
        <v>50539712.543182805</v>
      </c>
      <c r="M38" s="333">
        <f t="shared" si="6"/>
        <v>52055903.91947829</v>
      </c>
      <c r="N38" s="333">
        <f t="shared" si="7"/>
        <v>53617581.03706264</v>
      </c>
      <c r="O38" s="333">
        <f t="shared" si="8"/>
        <v>55226108.46817452</v>
      </c>
      <c r="P38" s="333">
        <f t="shared" si="9"/>
        <v>56882891.72221976</v>
      </c>
      <c r="Q38" s="343"/>
    </row>
    <row r="39" spans="1:17" ht="15.75">
      <c r="A39" s="357" t="s">
        <v>430</v>
      </c>
      <c r="B39" s="700" t="s">
        <v>195</v>
      </c>
      <c r="C39" s="326">
        <f aca="true" t="shared" si="22" ref="C39:P39">SUM(C40)</f>
        <v>3700000</v>
      </c>
      <c r="D39" s="326">
        <f t="shared" si="22"/>
        <v>7164069</v>
      </c>
      <c r="E39" s="326">
        <f t="shared" si="22"/>
        <v>7593913</v>
      </c>
      <c r="F39" s="326">
        <f t="shared" si="22"/>
        <v>7822199.285</v>
      </c>
      <c r="G39" s="589">
        <f t="shared" si="22"/>
        <v>13078800</v>
      </c>
      <c r="H39" s="327">
        <f t="shared" si="22"/>
        <v>13471164</v>
      </c>
      <c r="I39" s="327">
        <f t="shared" si="22"/>
        <v>13875298.92</v>
      </c>
      <c r="J39" s="327">
        <f t="shared" si="22"/>
        <v>14291557.887600001</v>
      </c>
      <c r="K39" s="327">
        <f t="shared" si="22"/>
        <v>14720304.624228</v>
      </c>
      <c r="L39" s="327">
        <f t="shared" si="22"/>
        <v>15161913.76295484</v>
      </c>
      <c r="M39" s="327">
        <f t="shared" si="22"/>
        <v>15616771.175843487</v>
      </c>
      <c r="N39" s="327">
        <f t="shared" si="22"/>
        <v>16085274.31111879</v>
      </c>
      <c r="O39" s="327">
        <f t="shared" si="22"/>
        <v>16567832.540452356</v>
      </c>
      <c r="P39" s="327">
        <f t="shared" si="22"/>
        <v>17064867.516665928</v>
      </c>
      <c r="Q39" s="351"/>
    </row>
    <row r="40" spans="1:17" ht="15.75">
      <c r="A40" s="604" t="s">
        <v>431</v>
      </c>
      <c r="B40" s="697" t="s">
        <v>196</v>
      </c>
      <c r="C40" s="597">
        <v>3700000</v>
      </c>
      <c r="D40" s="597">
        <v>7164069</v>
      </c>
      <c r="E40" s="597">
        <f>+'[3]InfMesPptoCDPEjec.rpt'!$H$43</f>
        <v>7593913</v>
      </c>
      <c r="F40" s="597">
        <f>+F10*0.5%</f>
        <v>7822199.285</v>
      </c>
      <c r="G40" s="590">
        <f>+$G$10*0.6%</f>
        <v>13078800</v>
      </c>
      <c r="H40" s="333">
        <f t="shared" si="11"/>
        <v>13471164</v>
      </c>
      <c r="I40" s="333">
        <f>+H40*$Y$5</f>
        <v>13875298.92</v>
      </c>
      <c r="J40" s="333">
        <f t="shared" si="12"/>
        <v>14291557.887600001</v>
      </c>
      <c r="K40" s="333">
        <f t="shared" si="13"/>
        <v>14720304.624228</v>
      </c>
      <c r="L40" s="333">
        <f t="shared" si="5"/>
        <v>15161913.76295484</v>
      </c>
      <c r="M40" s="333">
        <f t="shared" si="6"/>
        <v>15616771.175843487</v>
      </c>
      <c r="N40" s="333">
        <f t="shared" si="7"/>
        <v>16085274.31111879</v>
      </c>
      <c r="O40" s="333">
        <f t="shared" si="8"/>
        <v>16567832.540452356</v>
      </c>
      <c r="P40" s="333">
        <f t="shared" si="9"/>
        <v>17064867.516665928</v>
      </c>
      <c r="Q40" s="343"/>
    </row>
    <row r="41" spans="1:17" ht="30">
      <c r="A41" s="357" t="s">
        <v>432</v>
      </c>
      <c r="B41" s="700" t="s">
        <v>197</v>
      </c>
      <c r="C41" s="326">
        <f aca="true" t="shared" si="23" ref="C41:P41">SUM(C42)</f>
        <v>7400000</v>
      </c>
      <c r="D41" s="326">
        <f t="shared" si="23"/>
        <v>10164069</v>
      </c>
      <c r="E41" s="326">
        <f t="shared" si="23"/>
        <v>10773913</v>
      </c>
      <c r="F41" s="326">
        <f t="shared" si="23"/>
        <v>15644398.57</v>
      </c>
      <c r="G41" s="589">
        <f t="shared" si="23"/>
        <v>13078800</v>
      </c>
      <c r="H41" s="327">
        <f t="shared" si="23"/>
        <v>13471164</v>
      </c>
      <c r="I41" s="327">
        <f t="shared" si="23"/>
        <v>13875298.92</v>
      </c>
      <c r="J41" s="327">
        <f t="shared" si="23"/>
        <v>14291557.887600001</v>
      </c>
      <c r="K41" s="327">
        <f t="shared" si="23"/>
        <v>14720304.624228</v>
      </c>
      <c r="L41" s="327">
        <f t="shared" si="23"/>
        <v>15161913.76295484</v>
      </c>
      <c r="M41" s="327">
        <f t="shared" si="23"/>
        <v>15616771.175843487</v>
      </c>
      <c r="N41" s="327">
        <f t="shared" si="23"/>
        <v>16085274.31111879</v>
      </c>
      <c r="O41" s="327">
        <f t="shared" si="23"/>
        <v>16567832.540452356</v>
      </c>
      <c r="P41" s="327">
        <f t="shared" si="23"/>
        <v>17064867.516665928</v>
      </c>
      <c r="Q41" s="351"/>
    </row>
    <row r="42" spans="1:17" ht="15.75">
      <c r="A42" s="604" t="s">
        <v>433</v>
      </c>
      <c r="B42" s="697" t="s">
        <v>198</v>
      </c>
      <c r="C42" s="597">
        <v>7400000</v>
      </c>
      <c r="D42" s="597">
        <v>10164069</v>
      </c>
      <c r="E42" s="597">
        <f>+'[3]InfMesPptoCDPEjec.rpt'!$H$45</f>
        <v>10773913</v>
      </c>
      <c r="F42" s="597">
        <f>+F10*1%</f>
        <v>15644398.57</v>
      </c>
      <c r="G42" s="590">
        <f>+$G$10*0.6%</f>
        <v>13078800</v>
      </c>
      <c r="H42" s="333">
        <f t="shared" si="11"/>
        <v>13471164</v>
      </c>
      <c r="I42" s="333">
        <f>+H42*$Y$5</f>
        <v>13875298.92</v>
      </c>
      <c r="J42" s="333">
        <f t="shared" si="12"/>
        <v>14291557.887600001</v>
      </c>
      <c r="K42" s="333">
        <f t="shared" si="13"/>
        <v>14720304.624228</v>
      </c>
      <c r="L42" s="333">
        <f t="shared" si="5"/>
        <v>15161913.76295484</v>
      </c>
      <c r="M42" s="333">
        <f t="shared" si="6"/>
        <v>15616771.175843487</v>
      </c>
      <c r="N42" s="333">
        <f t="shared" si="7"/>
        <v>16085274.31111879</v>
      </c>
      <c r="O42" s="333">
        <f t="shared" si="8"/>
        <v>16567832.540452356</v>
      </c>
      <c r="P42" s="333">
        <f t="shared" si="9"/>
        <v>17064867.516665928</v>
      </c>
      <c r="Q42" s="343"/>
    </row>
    <row r="43" spans="1:17" ht="30">
      <c r="A43" s="606" t="s">
        <v>434</v>
      </c>
      <c r="B43" s="700" t="s">
        <v>199</v>
      </c>
      <c r="C43" s="326">
        <f aca="true" t="shared" si="24" ref="C43:P43">SUM(C44)</f>
        <v>30000000</v>
      </c>
      <c r="D43" s="326">
        <f t="shared" si="24"/>
        <v>42238311</v>
      </c>
      <c r="E43" s="326">
        <f t="shared" si="24"/>
        <v>44772610</v>
      </c>
      <c r="F43" s="326">
        <f t="shared" si="24"/>
        <v>46933195.71</v>
      </c>
      <c r="G43" s="589">
        <f t="shared" si="24"/>
        <v>87192000</v>
      </c>
      <c r="H43" s="327">
        <f t="shared" si="24"/>
        <v>89807760</v>
      </c>
      <c r="I43" s="327">
        <f t="shared" si="24"/>
        <v>92501992.8</v>
      </c>
      <c r="J43" s="327">
        <f t="shared" si="24"/>
        <v>95277052.584</v>
      </c>
      <c r="K43" s="327">
        <f t="shared" si="24"/>
        <v>98135364.16152</v>
      </c>
      <c r="L43" s="327">
        <f t="shared" si="24"/>
        <v>101079425.08636561</v>
      </c>
      <c r="M43" s="327">
        <f t="shared" si="24"/>
        <v>104111807.83895658</v>
      </c>
      <c r="N43" s="327">
        <f t="shared" si="24"/>
        <v>107235162.07412528</v>
      </c>
      <c r="O43" s="327">
        <f t="shared" si="24"/>
        <v>110452216.93634903</v>
      </c>
      <c r="P43" s="327">
        <f t="shared" si="24"/>
        <v>113765783.44443952</v>
      </c>
      <c r="Q43" s="351"/>
    </row>
    <row r="44" spans="1:17" ht="15.75">
      <c r="A44" s="603" t="s">
        <v>435</v>
      </c>
      <c r="B44" s="697" t="s">
        <v>436</v>
      </c>
      <c r="C44" s="597">
        <v>30000000</v>
      </c>
      <c r="D44" s="597">
        <v>42238311</v>
      </c>
      <c r="E44" s="597">
        <f>+'[3]InfMesPptoCDPEjec.rpt'!$H$47</f>
        <v>44772610</v>
      </c>
      <c r="F44" s="597">
        <f>+F10*3%</f>
        <v>46933195.71</v>
      </c>
      <c r="G44" s="590">
        <f>+$G$10*4%</f>
        <v>87192000</v>
      </c>
      <c r="H44" s="333">
        <f t="shared" si="11"/>
        <v>89807760</v>
      </c>
      <c r="I44" s="333">
        <f>+H44*$Y$5</f>
        <v>92501992.8</v>
      </c>
      <c r="J44" s="333">
        <f t="shared" si="12"/>
        <v>95277052.584</v>
      </c>
      <c r="K44" s="333">
        <f t="shared" si="13"/>
        <v>98135364.16152</v>
      </c>
      <c r="L44" s="333">
        <f t="shared" si="5"/>
        <v>101079425.08636561</v>
      </c>
      <c r="M44" s="333">
        <f t="shared" si="6"/>
        <v>104111807.83895658</v>
      </c>
      <c r="N44" s="333">
        <f t="shared" si="7"/>
        <v>107235162.07412528</v>
      </c>
      <c r="O44" s="333">
        <f t="shared" si="8"/>
        <v>110452216.93634903</v>
      </c>
      <c r="P44" s="333">
        <f t="shared" si="9"/>
        <v>113765783.44443952</v>
      </c>
      <c r="Q44" s="343"/>
    </row>
    <row r="45" spans="1:17" ht="15.75">
      <c r="A45" s="357" t="s">
        <v>437</v>
      </c>
      <c r="B45" s="700" t="s">
        <v>200</v>
      </c>
      <c r="C45" s="326">
        <f aca="true" t="shared" si="25" ref="C45:P45">+C46+C48+C51+C54+C56+C59+C62+C65+C68+C71+C73+C75+C77+C80+C82+C87+C97</f>
        <v>2159599329</v>
      </c>
      <c r="D45" s="326">
        <f t="shared" si="25"/>
        <v>2601868154</v>
      </c>
      <c r="E45" s="326">
        <f t="shared" si="25"/>
        <v>3575240880</v>
      </c>
      <c r="F45" s="326">
        <f t="shared" si="25"/>
        <v>3556180102</v>
      </c>
      <c r="G45" s="591">
        <f>+G46+G48+G51+G54+G56+G59+G62+G65+G68+G71+G73+G75+G77+G80+G82+G87+G97</f>
        <v>3716405750</v>
      </c>
      <c r="H45" s="358">
        <f t="shared" si="25"/>
        <v>3590997922.5</v>
      </c>
      <c r="I45" s="358">
        <f t="shared" si="25"/>
        <v>3698727860.175</v>
      </c>
      <c r="J45" s="358">
        <f t="shared" si="25"/>
        <v>3809689695.98025</v>
      </c>
      <c r="K45" s="358">
        <f t="shared" si="25"/>
        <v>3923980386.859658</v>
      </c>
      <c r="L45" s="358">
        <f t="shared" si="25"/>
        <v>4041699798.4654474</v>
      </c>
      <c r="M45" s="358">
        <f t="shared" si="25"/>
        <v>4162950792.419411</v>
      </c>
      <c r="N45" s="358">
        <f t="shared" si="25"/>
        <v>4287839316.1919937</v>
      </c>
      <c r="O45" s="358">
        <f t="shared" si="25"/>
        <v>4416474495.677753</v>
      </c>
      <c r="P45" s="358">
        <f t="shared" si="25"/>
        <v>4548968730.548087</v>
      </c>
      <c r="Q45" s="351"/>
    </row>
    <row r="46" spans="1:17" ht="15.75">
      <c r="A46" s="357" t="s">
        <v>438</v>
      </c>
      <c r="B46" s="700" t="s">
        <v>201</v>
      </c>
      <c r="C46" s="326">
        <f aca="true" t="shared" si="26" ref="C46:P46">SUM(C47)</f>
        <v>5000000</v>
      </c>
      <c r="D46" s="326">
        <f t="shared" si="26"/>
        <v>5250000</v>
      </c>
      <c r="E46" s="326">
        <f t="shared" si="26"/>
        <v>30000000</v>
      </c>
      <c r="F46" s="326">
        <f t="shared" si="26"/>
        <v>31500000</v>
      </c>
      <c r="G46" s="589">
        <f t="shared" si="26"/>
        <v>20000000</v>
      </c>
      <c r="H46" s="327">
        <f t="shared" si="26"/>
        <v>20600000</v>
      </c>
      <c r="I46" s="327">
        <f t="shared" si="26"/>
        <v>21218000</v>
      </c>
      <c r="J46" s="327">
        <f t="shared" si="26"/>
        <v>21854540</v>
      </c>
      <c r="K46" s="327">
        <f t="shared" si="26"/>
        <v>22510176.2</v>
      </c>
      <c r="L46" s="327">
        <f t="shared" si="26"/>
        <v>23185481.486</v>
      </c>
      <c r="M46" s="327">
        <f t="shared" si="26"/>
        <v>23881045.93058</v>
      </c>
      <c r="N46" s="327">
        <f t="shared" si="26"/>
        <v>24597477.308497403</v>
      </c>
      <c r="O46" s="327">
        <f t="shared" si="26"/>
        <v>25335401.627752326</v>
      </c>
      <c r="P46" s="327">
        <f t="shared" si="26"/>
        <v>26095463.676584896</v>
      </c>
      <c r="Q46" s="351"/>
    </row>
    <row r="47" spans="1:17" ht="16.5" thickBot="1">
      <c r="A47" s="604" t="s">
        <v>439</v>
      </c>
      <c r="B47" s="701" t="s">
        <v>202</v>
      </c>
      <c r="C47" s="611">
        <v>5000000</v>
      </c>
      <c r="D47" s="611">
        <f>5000000*1.05</f>
        <v>5250000</v>
      </c>
      <c r="E47" s="611">
        <f>+'[3]InfMesPptoCDPEjec.rpt'!$H$50</f>
        <v>30000000</v>
      </c>
      <c r="F47" s="611">
        <f>+E47*$R$6</f>
        <v>31500000</v>
      </c>
      <c r="G47" s="590">
        <v>20000000</v>
      </c>
      <c r="H47" s="333">
        <f aca="true" t="shared" si="27" ref="H47:H63">+G47*$X$5</f>
        <v>20600000</v>
      </c>
      <c r="I47" s="333">
        <f>+H47*$Y$5</f>
        <v>21218000</v>
      </c>
      <c r="J47" s="333">
        <f aca="true" t="shared" si="28" ref="J47:J63">+I47*$Z$5</f>
        <v>21854540</v>
      </c>
      <c r="K47" s="333">
        <f aca="true" t="shared" si="29" ref="K47:K63">+J47*$AA$5</f>
        <v>22510176.2</v>
      </c>
      <c r="L47" s="333">
        <f aca="true" t="shared" si="30" ref="L47:L63">+K47*$AB$5</f>
        <v>23185481.486</v>
      </c>
      <c r="M47" s="333">
        <f aca="true" t="shared" si="31" ref="M47:M101">+L47*$AC$5</f>
        <v>23881045.93058</v>
      </c>
      <c r="N47" s="333">
        <f aca="true" t="shared" si="32" ref="N47:N63">+M47*$AD$5</f>
        <v>24597477.308497403</v>
      </c>
      <c r="O47" s="333">
        <f aca="true" t="shared" si="33" ref="O47:O101">+N47*$AE$5</f>
        <v>25335401.627752326</v>
      </c>
      <c r="P47" s="333">
        <f aca="true" t="shared" si="34" ref="P47:P101">+O47*$AF$5</f>
        <v>26095463.676584896</v>
      </c>
      <c r="Q47" s="343"/>
    </row>
    <row r="48" spans="1:17" ht="16.5" thickBot="1">
      <c r="A48" s="625" t="s">
        <v>440</v>
      </c>
      <c r="B48" s="703" t="s">
        <v>203</v>
      </c>
      <c r="C48" s="635">
        <f>SUM(C49)</f>
        <v>5000000</v>
      </c>
      <c r="D48" s="630">
        <f aca="true" t="shared" si="35" ref="D48:P48">SUM(D49+D50)</f>
        <v>25250000</v>
      </c>
      <c r="E48" s="636">
        <f t="shared" si="35"/>
        <v>379000000</v>
      </c>
      <c r="F48" s="637">
        <f t="shared" si="35"/>
        <v>147950000</v>
      </c>
      <c r="G48" s="589">
        <f t="shared" si="35"/>
        <v>24000000</v>
      </c>
      <c r="H48" s="327">
        <f t="shared" si="35"/>
        <v>24720000</v>
      </c>
      <c r="I48" s="327">
        <f t="shared" si="35"/>
        <v>25461600</v>
      </c>
      <c r="J48" s="327">
        <f t="shared" si="35"/>
        <v>26225448</v>
      </c>
      <c r="K48" s="327">
        <f t="shared" si="35"/>
        <v>27012211.439999998</v>
      </c>
      <c r="L48" s="327">
        <f t="shared" si="35"/>
        <v>27822577.783200003</v>
      </c>
      <c r="M48" s="327">
        <f t="shared" si="35"/>
        <v>28657255.116696</v>
      </c>
      <c r="N48" s="327">
        <f t="shared" si="35"/>
        <v>29516972.770196885</v>
      </c>
      <c r="O48" s="327">
        <f t="shared" si="35"/>
        <v>30402481.953302793</v>
      </c>
      <c r="P48" s="327">
        <f t="shared" si="35"/>
        <v>31314556.411901876</v>
      </c>
      <c r="Q48" s="351"/>
    </row>
    <row r="49" spans="1:17" ht="16.5" thickBot="1">
      <c r="A49" s="613" t="s">
        <v>441</v>
      </c>
      <c r="B49" s="704" t="s">
        <v>204</v>
      </c>
      <c r="C49" s="633">
        <v>5000000</v>
      </c>
      <c r="D49" s="633">
        <f>5000000*1.05</f>
        <v>5250000</v>
      </c>
      <c r="E49" s="633">
        <f>+'[3]InfMesPptoCDPEjec.rpt'!$H$52</f>
        <v>349000000</v>
      </c>
      <c r="F49" s="629">
        <f>+E49*$R$6-250000000</f>
        <v>116450000</v>
      </c>
      <c r="G49" s="590">
        <v>4000000</v>
      </c>
      <c r="H49" s="333">
        <f t="shared" si="27"/>
        <v>4120000</v>
      </c>
      <c r="I49" s="333">
        <f>+H49*$Y$5</f>
        <v>4243600</v>
      </c>
      <c r="J49" s="333">
        <f t="shared" si="28"/>
        <v>4370908</v>
      </c>
      <c r="K49" s="333">
        <f t="shared" si="29"/>
        <v>4502035.24</v>
      </c>
      <c r="L49" s="333">
        <f t="shared" si="30"/>
        <v>4637096.2972</v>
      </c>
      <c r="M49" s="333">
        <f t="shared" si="31"/>
        <v>4776209.186116</v>
      </c>
      <c r="N49" s="333">
        <f t="shared" si="32"/>
        <v>4919495.46169948</v>
      </c>
      <c r="O49" s="333">
        <f t="shared" si="33"/>
        <v>5067080.325550465</v>
      </c>
      <c r="P49" s="333">
        <f t="shared" si="34"/>
        <v>5219092.735316979</v>
      </c>
      <c r="Q49" s="343"/>
    </row>
    <row r="50" spans="1:17" ht="16.5" thickBot="1">
      <c r="A50" s="613"/>
      <c r="B50" s="705" t="s">
        <v>588</v>
      </c>
      <c r="C50" s="631"/>
      <c r="D50" s="631">
        <v>20000000</v>
      </c>
      <c r="E50" s="631">
        <f>+'[3]InfMesPptoCDPEjec.rpt'!$H$53</f>
        <v>30000000</v>
      </c>
      <c r="F50" s="632">
        <f>+E50*$R$6</f>
        <v>31500000</v>
      </c>
      <c r="G50" s="590">
        <v>20000000</v>
      </c>
      <c r="H50" s="333">
        <f t="shared" si="27"/>
        <v>20600000</v>
      </c>
      <c r="I50" s="333">
        <f>+H50*$Y$5</f>
        <v>21218000</v>
      </c>
      <c r="J50" s="333">
        <f t="shared" si="28"/>
        <v>21854540</v>
      </c>
      <c r="K50" s="333">
        <f t="shared" si="29"/>
        <v>22510176.2</v>
      </c>
      <c r="L50" s="333">
        <f t="shared" si="30"/>
        <v>23185481.486</v>
      </c>
      <c r="M50" s="333">
        <f t="shared" si="31"/>
        <v>23881045.93058</v>
      </c>
      <c r="N50" s="333">
        <f t="shared" si="32"/>
        <v>24597477.308497403</v>
      </c>
      <c r="O50" s="333">
        <f t="shared" si="33"/>
        <v>25335401.627752326</v>
      </c>
      <c r="P50" s="333">
        <f t="shared" si="34"/>
        <v>26095463.676584896</v>
      </c>
      <c r="Q50" s="343"/>
    </row>
    <row r="51" spans="1:17" ht="15.75">
      <c r="A51" s="357" t="s">
        <v>442</v>
      </c>
      <c r="B51" s="702" t="s">
        <v>205</v>
      </c>
      <c r="C51" s="618">
        <f aca="true" t="shared" si="36" ref="C51:P51">SUM(C52:C53)</f>
        <v>312000000</v>
      </c>
      <c r="D51" s="618">
        <f t="shared" si="36"/>
        <v>50000000</v>
      </c>
      <c r="E51" s="618">
        <f t="shared" si="36"/>
        <v>227000000</v>
      </c>
      <c r="F51" s="618">
        <f t="shared" si="36"/>
        <v>138350000</v>
      </c>
      <c r="G51" s="589">
        <f t="shared" si="36"/>
        <v>90000000</v>
      </c>
      <c r="H51" s="327">
        <f t="shared" si="36"/>
        <v>92700000</v>
      </c>
      <c r="I51" s="327">
        <f t="shared" si="36"/>
        <v>95481000</v>
      </c>
      <c r="J51" s="327">
        <f t="shared" si="36"/>
        <v>98345430</v>
      </c>
      <c r="K51" s="327">
        <f t="shared" si="36"/>
        <v>101295792.89999999</v>
      </c>
      <c r="L51" s="327">
        <f t="shared" si="36"/>
        <v>104334666.687</v>
      </c>
      <c r="M51" s="327">
        <f t="shared" si="36"/>
        <v>107464706.68761</v>
      </c>
      <c r="N51" s="327">
        <f t="shared" si="36"/>
        <v>110688647.88823831</v>
      </c>
      <c r="O51" s="327">
        <f t="shared" si="36"/>
        <v>114009307.32488547</v>
      </c>
      <c r="P51" s="327">
        <f t="shared" si="36"/>
        <v>117429586.54463203</v>
      </c>
      <c r="Q51" s="351"/>
    </row>
    <row r="52" spans="1:17" ht="15.75">
      <c r="A52" s="603" t="s">
        <v>608</v>
      </c>
      <c r="B52" s="697" t="s">
        <v>206</v>
      </c>
      <c r="C52" s="597">
        <v>200000000</v>
      </c>
      <c r="D52" s="597"/>
      <c r="E52" s="597">
        <f>+'[3]InfMesPptoCDPEjec.rpt'!$H$56</f>
        <v>50000000</v>
      </c>
      <c r="F52" s="597">
        <f>+E52*$R$6</f>
        <v>52500000</v>
      </c>
      <c r="G52" s="590">
        <v>10000000</v>
      </c>
      <c r="H52" s="333">
        <f t="shared" si="27"/>
        <v>10300000</v>
      </c>
      <c r="I52" s="333">
        <f>+H52*$Y$5</f>
        <v>10609000</v>
      </c>
      <c r="J52" s="333">
        <f t="shared" si="28"/>
        <v>10927270</v>
      </c>
      <c r="K52" s="333">
        <f t="shared" si="29"/>
        <v>11255088.1</v>
      </c>
      <c r="L52" s="333">
        <f t="shared" si="30"/>
        <v>11592740.743</v>
      </c>
      <c r="M52" s="333">
        <f t="shared" si="31"/>
        <v>11940522.96529</v>
      </c>
      <c r="N52" s="333">
        <f t="shared" si="32"/>
        <v>12298738.654248701</v>
      </c>
      <c r="O52" s="333">
        <f t="shared" si="33"/>
        <v>12667700.813876163</v>
      </c>
      <c r="P52" s="333">
        <f t="shared" si="34"/>
        <v>13047731.838292448</v>
      </c>
      <c r="Q52" s="343"/>
    </row>
    <row r="53" spans="1:17" ht="15.75">
      <c r="A53" s="603" t="s">
        <v>443</v>
      </c>
      <c r="B53" s="697" t="s">
        <v>206</v>
      </c>
      <c r="C53" s="597">
        <f>100000000+12000000</f>
        <v>112000000</v>
      </c>
      <c r="D53" s="597">
        <v>50000000</v>
      </c>
      <c r="E53" s="597">
        <f>+'[3]InfMesPptoCDPEjec.rpt'!$H$55</f>
        <v>177000000</v>
      </c>
      <c r="F53" s="597">
        <f>+E53*$R$6-100000000</f>
        <v>85850000</v>
      </c>
      <c r="G53" s="590">
        <v>80000000</v>
      </c>
      <c r="H53" s="333">
        <f t="shared" si="27"/>
        <v>82400000</v>
      </c>
      <c r="I53" s="333">
        <f>+H53*$Y$5</f>
        <v>84872000</v>
      </c>
      <c r="J53" s="333">
        <f t="shared" si="28"/>
        <v>87418160</v>
      </c>
      <c r="K53" s="333">
        <f t="shared" si="29"/>
        <v>90040704.8</v>
      </c>
      <c r="L53" s="333">
        <f t="shared" si="30"/>
        <v>92741925.944</v>
      </c>
      <c r="M53" s="333">
        <f t="shared" si="31"/>
        <v>95524183.72232</v>
      </c>
      <c r="N53" s="333">
        <f t="shared" si="32"/>
        <v>98389909.23398961</v>
      </c>
      <c r="O53" s="333">
        <f t="shared" si="33"/>
        <v>101341606.5110093</v>
      </c>
      <c r="P53" s="333">
        <f t="shared" si="34"/>
        <v>104381854.70633958</v>
      </c>
      <c r="Q53" s="343"/>
    </row>
    <row r="54" spans="1:22" s="324" customFormat="1" ht="15.75">
      <c r="A54" s="357" t="s">
        <v>444</v>
      </c>
      <c r="B54" s="700" t="s">
        <v>207</v>
      </c>
      <c r="C54" s="326">
        <f aca="true" t="shared" si="37" ref="C54:P54">SUM(C55)</f>
        <v>200000000</v>
      </c>
      <c r="D54" s="326">
        <f t="shared" si="37"/>
        <v>270000000</v>
      </c>
      <c r="E54" s="326">
        <f t="shared" si="37"/>
        <v>350000000</v>
      </c>
      <c r="F54" s="326">
        <f t="shared" si="37"/>
        <v>440154978</v>
      </c>
      <c r="G54" s="589">
        <f t="shared" si="37"/>
        <v>350000000</v>
      </c>
      <c r="H54" s="327">
        <f t="shared" si="37"/>
        <v>360500000</v>
      </c>
      <c r="I54" s="327">
        <f t="shared" si="37"/>
        <v>371315000</v>
      </c>
      <c r="J54" s="327">
        <f t="shared" si="37"/>
        <v>382454450</v>
      </c>
      <c r="K54" s="327">
        <f t="shared" si="37"/>
        <v>393928083.5</v>
      </c>
      <c r="L54" s="327">
        <f t="shared" si="37"/>
        <v>405745926.005</v>
      </c>
      <c r="M54" s="327">
        <f t="shared" si="37"/>
        <v>417918303.78515</v>
      </c>
      <c r="N54" s="327">
        <f t="shared" si="37"/>
        <v>430455852.8987045</v>
      </c>
      <c r="O54" s="327">
        <f t="shared" si="37"/>
        <v>443369528.4856657</v>
      </c>
      <c r="P54" s="327">
        <f t="shared" si="37"/>
        <v>456670614.34023565</v>
      </c>
      <c r="Q54" s="351"/>
      <c r="R54" s="330"/>
      <c r="S54" s="330"/>
      <c r="T54" s="330"/>
      <c r="U54" s="331"/>
      <c r="V54" s="332"/>
    </row>
    <row r="55" spans="1:17" ht="15.75">
      <c r="A55" s="604" t="s">
        <v>445</v>
      </c>
      <c r="B55" s="706" t="s">
        <v>208</v>
      </c>
      <c r="C55" s="612">
        <v>200000000</v>
      </c>
      <c r="D55" s="612">
        <v>270000000</v>
      </c>
      <c r="E55" s="612">
        <f>+'[3]InfMesPptoCDPEjec.rpt'!$H$58</f>
        <v>350000000</v>
      </c>
      <c r="F55" s="612">
        <f>+E55*$R$6-27345022+100000000</f>
        <v>440154978</v>
      </c>
      <c r="G55" s="590">
        <v>350000000</v>
      </c>
      <c r="H55" s="333">
        <f t="shared" si="27"/>
        <v>360500000</v>
      </c>
      <c r="I55" s="333">
        <f>+H55*$Y$5</f>
        <v>371315000</v>
      </c>
      <c r="J55" s="333">
        <f t="shared" si="28"/>
        <v>382454450</v>
      </c>
      <c r="K55" s="333">
        <f t="shared" si="29"/>
        <v>393928083.5</v>
      </c>
      <c r="L55" s="333">
        <f t="shared" si="30"/>
        <v>405745926.005</v>
      </c>
      <c r="M55" s="333">
        <f t="shared" si="31"/>
        <v>417918303.78515</v>
      </c>
      <c r="N55" s="333">
        <f t="shared" si="32"/>
        <v>430455852.8987045</v>
      </c>
      <c r="O55" s="333">
        <f t="shared" si="33"/>
        <v>443369528.4856657</v>
      </c>
      <c r="P55" s="333">
        <f t="shared" si="34"/>
        <v>456670614.34023565</v>
      </c>
      <c r="Q55" s="343"/>
    </row>
    <row r="56" spans="1:17" ht="15.75">
      <c r="A56" s="357" t="s">
        <v>446</v>
      </c>
      <c r="B56" s="700" t="s">
        <v>209</v>
      </c>
      <c r="C56" s="326">
        <f aca="true" t="shared" si="38" ref="C56:P56">SUM(C57:C58)</f>
        <v>200000000</v>
      </c>
      <c r="D56" s="326">
        <f t="shared" si="38"/>
        <v>195000000</v>
      </c>
      <c r="E56" s="326">
        <f t="shared" si="38"/>
        <v>237840880</v>
      </c>
      <c r="F56" s="326">
        <f t="shared" si="38"/>
        <v>189732924</v>
      </c>
      <c r="G56" s="589">
        <f t="shared" si="38"/>
        <v>220000000</v>
      </c>
      <c r="H56" s="327">
        <f t="shared" si="38"/>
        <v>226600000</v>
      </c>
      <c r="I56" s="327">
        <f t="shared" si="38"/>
        <v>233398000</v>
      </c>
      <c r="J56" s="327">
        <f t="shared" si="38"/>
        <v>240399940</v>
      </c>
      <c r="K56" s="327">
        <f t="shared" si="38"/>
        <v>247611938.20000002</v>
      </c>
      <c r="L56" s="327">
        <f t="shared" si="38"/>
        <v>255040296.34600002</v>
      </c>
      <c r="M56" s="327">
        <f t="shared" si="38"/>
        <v>262691505.23638</v>
      </c>
      <c r="N56" s="327">
        <f t="shared" si="38"/>
        <v>270572250.3934714</v>
      </c>
      <c r="O56" s="327">
        <f t="shared" si="38"/>
        <v>278689417.9052756</v>
      </c>
      <c r="P56" s="327">
        <f t="shared" si="38"/>
        <v>287050100.44243383</v>
      </c>
      <c r="Q56" s="351"/>
    </row>
    <row r="57" spans="1:17" ht="15.75">
      <c r="A57" s="607" t="s">
        <v>447</v>
      </c>
      <c r="B57" s="697" t="s">
        <v>210</v>
      </c>
      <c r="C57" s="597">
        <v>100000000</v>
      </c>
      <c r="D57" s="597">
        <v>90000000</v>
      </c>
      <c r="E57" s="597">
        <f>+'[3]InfMesPptoCDPEjec.rpt'!$H$60</f>
        <v>130000000</v>
      </c>
      <c r="F57" s="1061">
        <f>+E57*$R$6-60000000</f>
        <v>76500000</v>
      </c>
      <c r="G57" s="590">
        <v>100000000</v>
      </c>
      <c r="H57" s="333">
        <f t="shared" si="27"/>
        <v>103000000</v>
      </c>
      <c r="I57" s="333">
        <f>+H57*$Y$5</f>
        <v>106090000</v>
      </c>
      <c r="J57" s="333">
        <f t="shared" si="28"/>
        <v>109272700</v>
      </c>
      <c r="K57" s="333">
        <f t="shared" si="29"/>
        <v>112550881</v>
      </c>
      <c r="L57" s="333">
        <f t="shared" si="30"/>
        <v>115927407.43</v>
      </c>
      <c r="M57" s="333">
        <f t="shared" si="31"/>
        <v>119405229.65290001</v>
      </c>
      <c r="N57" s="333">
        <f t="shared" si="32"/>
        <v>122987386.54248701</v>
      </c>
      <c r="O57" s="333">
        <f t="shared" si="33"/>
        <v>126677008.13876162</v>
      </c>
      <c r="P57" s="333">
        <f t="shared" si="34"/>
        <v>130477318.38292448</v>
      </c>
      <c r="Q57" s="343"/>
    </row>
    <row r="58" spans="1:17" ht="15.75">
      <c r="A58" s="604" t="s">
        <v>448</v>
      </c>
      <c r="B58" s="697" t="s">
        <v>211</v>
      </c>
      <c r="C58" s="597">
        <v>100000000</v>
      </c>
      <c r="D58" s="597">
        <f>100000000*1.05</f>
        <v>105000000</v>
      </c>
      <c r="E58" s="597">
        <f>+'[3]InfMesPptoCDPEjec.rpt'!$H$61</f>
        <v>107840880</v>
      </c>
      <c r="F58" s="597">
        <f>+E58*$R$6</f>
        <v>113232924</v>
      </c>
      <c r="G58" s="590">
        <v>120000000</v>
      </c>
      <c r="H58" s="333">
        <f t="shared" si="27"/>
        <v>123600000</v>
      </c>
      <c r="I58" s="333">
        <f>+H58*$Y$5</f>
        <v>127308000</v>
      </c>
      <c r="J58" s="333">
        <f t="shared" si="28"/>
        <v>131127240</v>
      </c>
      <c r="K58" s="333">
        <f t="shared" si="29"/>
        <v>135061057.20000002</v>
      </c>
      <c r="L58" s="333">
        <f t="shared" si="30"/>
        <v>139112888.916</v>
      </c>
      <c r="M58" s="333">
        <f t="shared" si="31"/>
        <v>143286275.58348</v>
      </c>
      <c r="N58" s="333">
        <f t="shared" si="32"/>
        <v>147584863.8509844</v>
      </c>
      <c r="O58" s="333">
        <f t="shared" si="33"/>
        <v>152012409.76651394</v>
      </c>
      <c r="P58" s="333">
        <f t="shared" si="34"/>
        <v>156572782.05950937</v>
      </c>
      <c r="Q58" s="343"/>
    </row>
    <row r="59" spans="1:17" ht="30">
      <c r="A59" s="357" t="s">
        <v>449</v>
      </c>
      <c r="B59" s="700" t="s">
        <v>212</v>
      </c>
      <c r="C59" s="326">
        <f aca="true" t="shared" si="39" ref="C59:P59">SUM(C60+C61)</f>
        <v>52000000</v>
      </c>
      <c r="D59" s="326">
        <f t="shared" si="39"/>
        <v>42154888</v>
      </c>
      <c r="E59" s="326">
        <f t="shared" si="39"/>
        <v>67000000</v>
      </c>
      <c r="F59" s="326">
        <f t="shared" si="39"/>
        <v>70350000</v>
      </c>
      <c r="G59" s="589">
        <f t="shared" si="39"/>
        <v>78500000</v>
      </c>
      <c r="H59" s="327">
        <f t="shared" si="39"/>
        <v>80855000</v>
      </c>
      <c r="I59" s="327">
        <f t="shared" si="39"/>
        <v>83280650</v>
      </c>
      <c r="J59" s="327">
        <f t="shared" si="39"/>
        <v>85779069.5</v>
      </c>
      <c r="K59" s="327">
        <f t="shared" si="39"/>
        <v>88352441.58500001</v>
      </c>
      <c r="L59" s="327">
        <f t="shared" si="39"/>
        <v>91003014.83255</v>
      </c>
      <c r="M59" s="327">
        <f t="shared" si="39"/>
        <v>93733105.27752651</v>
      </c>
      <c r="N59" s="327">
        <f t="shared" si="39"/>
        <v>96545098.4358523</v>
      </c>
      <c r="O59" s="327">
        <f t="shared" si="39"/>
        <v>99441451.38892788</v>
      </c>
      <c r="P59" s="327">
        <f t="shared" si="39"/>
        <v>102424694.93059571</v>
      </c>
      <c r="Q59" s="351"/>
    </row>
    <row r="60" spans="1:17" ht="15.75">
      <c r="A60" s="604" t="s">
        <v>450</v>
      </c>
      <c r="B60" s="697" t="s">
        <v>213</v>
      </c>
      <c r="C60" s="597">
        <v>50000000</v>
      </c>
      <c r="D60" s="597">
        <v>38654888</v>
      </c>
      <c r="E60" s="597">
        <f>+'[3]InfMesPptoCDPEjec.rpt'!$H$63</f>
        <v>60000000</v>
      </c>
      <c r="F60" s="597">
        <f>+E60*$R$6</f>
        <v>63000000</v>
      </c>
      <c r="G60" s="590">
        <v>70000000</v>
      </c>
      <c r="H60" s="333">
        <f t="shared" si="27"/>
        <v>72100000</v>
      </c>
      <c r="I60" s="333">
        <f>+H60*$Y$5</f>
        <v>74263000</v>
      </c>
      <c r="J60" s="333">
        <f t="shared" si="28"/>
        <v>76490890</v>
      </c>
      <c r="K60" s="333">
        <f t="shared" si="29"/>
        <v>78785616.7</v>
      </c>
      <c r="L60" s="333">
        <f t="shared" si="30"/>
        <v>81149185.201</v>
      </c>
      <c r="M60" s="333">
        <f t="shared" si="31"/>
        <v>83583660.75703001</v>
      </c>
      <c r="N60" s="333">
        <f t="shared" si="32"/>
        <v>86091170.57974091</v>
      </c>
      <c r="O60" s="333">
        <f t="shared" si="33"/>
        <v>88673905.69713314</v>
      </c>
      <c r="P60" s="333">
        <f t="shared" si="34"/>
        <v>91334122.86804713</v>
      </c>
      <c r="Q60" s="343"/>
    </row>
    <row r="61" spans="1:17" ht="15.75">
      <c r="A61" s="604"/>
      <c r="B61" s="697" t="s">
        <v>589</v>
      </c>
      <c r="C61" s="597">
        <v>2000000</v>
      </c>
      <c r="D61" s="597">
        <v>3500000</v>
      </c>
      <c r="E61" s="597">
        <f>+'[3]InfMesPptoCDPEjec.rpt'!$H$64</f>
        <v>7000000</v>
      </c>
      <c r="F61" s="597">
        <f>+E61*$R$6</f>
        <v>7350000</v>
      </c>
      <c r="G61" s="590">
        <v>8500000</v>
      </c>
      <c r="H61" s="333">
        <f t="shared" si="27"/>
        <v>8755000</v>
      </c>
      <c r="I61" s="333">
        <f>+H61*$Y$5</f>
        <v>9017650</v>
      </c>
      <c r="J61" s="333">
        <f t="shared" si="28"/>
        <v>9288179.5</v>
      </c>
      <c r="K61" s="333">
        <f t="shared" si="29"/>
        <v>9566824.885</v>
      </c>
      <c r="L61" s="333">
        <f t="shared" si="30"/>
        <v>9853829.63155</v>
      </c>
      <c r="M61" s="333">
        <f t="shared" si="31"/>
        <v>10149444.520496499</v>
      </c>
      <c r="N61" s="333">
        <f t="shared" si="32"/>
        <v>10453927.856111394</v>
      </c>
      <c r="O61" s="333">
        <f t="shared" si="33"/>
        <v>10767545.691794736</v>
      </c>
      <c r="P61" s="333">
        <f t="shared" si="34"/>
        <v>11090572.062548578</v>
      </c>
      <c r="Q61" s="343"/>
    </row>
    <row r="62" spans="1:17" ht="15.75">
      <c r="A62" s="357" t="s">
        <v>451</v>
      </c>
      <c r="B62" s="700" t="s">
        <v>214</v>
      </c>
      <c r="C62" s="326">
        <f aca="true" t="shared" si="40" ref="C62:P62">SUM(C63:C64)</f>
        <v>120000000</v>
      </c>
      <c r="D62" s="326">
        <f t="shared" si="40"/>
        <v>332000000</v>
      </c>
      <c r="E62" s="326">
        <f t="shared" si="40"/>
        <v>293000000</v>
      </c>
      <c r="F62" s="326">
        <f t="shared" si="40"/>
        <v>107650000</v>
      </c>
      <c r="G62" s="589">
        <f t="shared" si="40"/>
        <v>250000000</v>
      </c>
      <c r="H62" s="327">
        <f t="shared" si="40"/>
        <v>257500000</v>
      </c>
      <c r="I62" s="327">
        <f t="shared" si="40"/>
        <v>265225000</v>
      </c>
      <c r="J62" s="327">
        <f t="shared" si="40"/>
        <v>273181750</v>
      </c>
      <c r="K62" s="327">
        <f t="shared" si="40"/>
        <v>281377202.5</v>
      </c>
      <c r="L62" s="327">
        <f t="shared" si="40"/>
        <v>289818518.575</v>
      </c>
      <c r="M62" s="327">
        <f t="shared" si="40"/>
        <v>298513074.13225</v>
      </c>
      <c r="N62" s="327">
        <f t="shared" si="40"/>
        <v>307468466.3562175</v>
      </c>
      <c r="O62" s="327">
        <f t="shared" si="40"/>
        <v>316692520.34690404</v>
      </c>
      <c r="P62" s="327">
        <f t="shared" si="40"/>
        <v>326193295.95731115</v>
      </c>
      <c r="Q62" s="351"/>
    </row>
    <row r="63" spans="1:17" ht="15.75">
      <c r="A63" s="604" t="s">
        <v>452</v>
      </c>
      <c r="B63" s="697" t="s">
        <v>215</v>
      </c>
      <c r="C63" s="597">
        <v>108000000</v>
      </c>
      <c r="D63" s="597">
        <v>320000000</v>
      </c>
      <c r="E63" s="597">
        <f>+'[3]InfMesPptoCDPEjec.rpt'!$H$66</f>
        <v>293000000</v>
      </c>
      <c r="F63" s="597">
        <f>+E63*$R$6-200000000</f>
        <v>107650000</v>
      </c>
      <c r="G63" s="590">
        <v>250000000</v>
      </c>
      <c r="H63" s="333">
        <f t="shared" si="27"/>
        <v>257500000</v>
      </c>
      <c r="I63" s="333">
        <f>+H63*$Y$5</f>
        <v>265225000</v>
      </c>
      <c r="J63" s="333">
        <f t="shared" si="28"/>
        <v>273181750</v>
      </c>
      <c r="K63" s="333">
        <f t="shared" si="29"/>
        <v>281377202.5</v>
      </c>
      <c r="L63" s="333">
        <f t="shared" si="30"/>
        <v>289818518.575</v>
      </c>
      <c r="M63" s="333">
        <f t="shared" si="31"/>
        <v>298513074.13225</v>
      </c>
      <c r="N63" s="333">
        <f t="shared" si="32"/>
        <v>307468466.3562175</v>
      </c>
      <c r="O63" s="333">
        <f t="shared" si="33"/>
        <v>316692520.34690404</v>
      </c>
      <c r="P63" s="333">
        <f t="shared" si="34"/>
        <v>326193295.95731115</v>
      </c>
      <c r="Q63" s="343"/>
    </row>
    <row r="64" spans="1:19" ht="15.75">
      <c r="A64" s="603" t="s">
        <v>453</v>
      </c>
      <c r="B64" s="697" t="s">
        <v>216</v>
      </c>
      <c r="C64" s="597">
        <v>12000000</v>
      </c>
      <c r="D64" s="597">
        <v>12000000</v>
      </c>
      <c r="E64" s="597">
        <f>+'[3]InfMesPptoCDPEjec.rpt'!$H$67</f>
        <v>0</v>
      </c>
      <c r="F64" s="597">
        <f aca="true" t="shared" si="41" ref="F64:L64">+E64*$R$6</f>
        <v>0</v>
      </c>
      <c r="G64" s="590">
        <f t="shared" si="41"/>
        <v>0</v>
      </c>
      <c r="H64" s="333">
        <f t="shared" si="41"/>
        <v>0</v>
      </c>
      <c r="I64" s="333">
        <f t="shared" si="41"/>
        <v>0</v>
      </c>
      <c r="J64" s="333">
        <f t="shared" si="41"/>
        <v>0</v>
      </c>
      <c r="K64" s="333">
        <f t="shared" si="41"/>
        <v>0</v>
      </c>
      <c r="L64" s="333">
        <f t="shared" si="41"/>
        <v>0</v>
      </c>
      <c r="M64" s="333">
        <f t="shared" si="31"/>
        <v>0</v>
      </c>
      <c r="N64" s="333">
        <f>+M64*$R$6</f>
        <v>0</v>
      </c>
      <c r="O64" s="333">
        <f t="shared" si="33"/>
        <v>0</v>
      </c>
      <c r="P64" s="333">
        <f t="shared" si="34"/>
        <v>0</v>
      </c>
      <c r="Q64" s="343"/>
      <c r="R64" s="343"/>
      <c r="S64" s="343"/>
    </row>
    <row r="65" spans="1:17" ht="30">
      <c r="A65" s="357" t="s">
        <v>454</v>
      </c>
      <c r="B65" s="700" t="s">
        <v>217</v>
      </c>
      <c r="C65" s="326">
        <f>SUM(C66)</f>
        <v>375599329</v>
      </c>
      <c r="D65" s="326">
        <f>SUM(D66)</f>
        <v>410063266</v>
      </c>
      <c r="E65" s="326">
        <f>SUM(E66)</f>
        <v>450000000</v>
      </c>
      <c r="F65" s="326">
        <f aca="true" t="shared" si="42" ref="F65:P65">SUM(F66:F67)</f>
        <v>472500000</v>
      </c>
      <c r="G65" s="589">
        <f t="shared" si="42"/>
        <v>350000000</v>
      </c>
      <c r="H65" s="327">
        <f t="shared" si="42"/>
        <v>360500000</v>
      </c>
      <c r="I65" s="327">
        <f t="shared" si="42"/>
        <v>371315000</v>
      </c>
      <c r="J65" s="327">
        <f t="shared" si="42"/>
        <v>382454450</v>
      </c>
      <c r="K65" s="327">
        <f t="shared" si="42"/>
        <v>393928083.5</v>
      </c>
      <c r="L65" s="327">
        <f t="shared" si="42"/>
        <v>405745926.005</v>
      </c>
      <c r="M65" s="327">
        <f t="shared" si="42"/>
        <v>417918303.78515</v>
      </c>
      <c r="N65" s="327">
        <f t="shared" si="42"/>
        <v>430455852.8987045</v>
      </c>
      <c r="O65" s="327">
        <f t="shared" si="42"/>
        <v>443369528.4856657</v>
      </c>
      <c r="P65" s="327">
        <f t="shared" si="42"/>
        <v>456670614.34023565</v>
      </c>
      <c r="Q65" s="351"/>
    </row>
    <row r="66" spans="1:17" ht="15.75">
      <c r="A66" s="604" t="s">
        <v>455</v>
      </c>
      <c r="B66" s="697" t="s">
        <v>218</v>
      </c>
      <c r="C66" s="597">
        <v>375599329</v>
      </c>
      <c r="D66" s="597">
        <v>410063266</v>
      </c>
      <c r="E66" s="597">
        <f>+'[3]InfMesPptoCDPEjec.rpt'!$H$69</f>
        <v>450000000</v>
      </c>
      <c r="F66" s="597">
        <f>+E66*$R$6-100000000</f>
        <v>372500000</v>
      </c>
      <c r="G66" s="590">
        <v>350000000</v>
      </c>
      <c r="H66" s="333">
        <f aca="true" t="shared" si="43" ref="H66:H79">+G66*$X$5</f>
        <v>360500000</v>
      </c>
      <c r="I66" s="333">
        <f>+H66*$Y$5</f>
        <v>371315000</v>
      </c>
      <c r="J66" s="333">
        <f aca="true" t="shared" si="44" ref="J66:J79">+I66*$Z$5</f>
        <v>382454450</v>
      </c>
      <c r="K66" s="333">
        <f aca="true" t="shared" si="45" ref="K66:K79">+J66*$AA$5</f>
        <v>393928083.5</v>
      </c>
      <c r="L66" s="333">
        <f aca="true" t="shared" si="46" ref="L66:L101">+K66*$AB$5</f>
        <v>405745926.005</v>
      </c>
      <c r="M66" s="333">
        <f t="shared" si="31"/>
        <v>417918303.78515</v>
      </c>
      <c r="N66" s="333">
        <f aca="true" t="shared" si="47" ref="N66:N101">+M66*$AD$5</f>
        <v>430455852.8987045</v>
      </c>
      <c r="O66" s="333">
        <f t="shared" si="33"/>
        <v>443369528.4856657</v>
      </c>
      <c r="P66" s="333">
        <f t="shared" si="34"/>
        <v>456670614.34023565</v>
      </c>
      <c r="Q66" s="343"/>
    </row>
    <row r="67" spans="1:17" ht="15.75">
      <c r="A67" s="604"/>
      <c r="B67" s="697" t="s">
        <v>615</v>
      </c>
      <c r="C67" s="597"/>
      <c r="D67" s="597"/>
      <c r="E67" s="597"/>
      <c r="F67" s="597">
        <v>100000000</v>
      </c>
      <c r="G67" s="590"/>
      <c r="H67" s="333">
        <f t="shared" si="43"/>
        <v>0</v>
      </c>
      <c r="I67" s="333">
        <f>+H67*$Y$5</f>
        <v>0</v>
      </c>
      <c r="J67" s="333">
        <f t="shared" si="44"/>
        <v>0</v>
      </c>
      <c r="K67" s="333">
        <f t="shared" si="45"/>
        <v>0</v>
      </c>
      <c r="L67" s="333">
        <f t="shared" si="46"/>
        <v>0</v>
      </c>
      <c r="M67" s="333">
        <f t="shared" si="31"/>
        <v>0</v>
      </c>
      <c r="N67" s="333">
        <f t="shared" si="47"/>
        <v>0</v>
      </c>
      <c r="O67" s="333">
        <f t="shared" si="33"/>
        <v>0</v>
      </c>
      <c r="P67" s="333">
        <f t="shared" si="34"/>
        <v>0</v>
      </c>
      <c r="Q67" s="343"/>
    </row>
    <row r="68" spans="1:17" ht="15.75">
      <c r="A68" s="357" t="s">
        <v>456</v>
      </c>
      <c r="B68" s="700" t="s">
        <v>219</v>
      </c>
      <c r="C68" s="326">
        <f aca="true" t="shared" si="48" ref="C68:P68">SUM(C69:C70)</f>
        <v>47000000</v>
      </c>
      <c r="D68" s="326">
        <f t="shared" si="48"/>
        <v>46000000</v>
      </c>
      <c r="E68" s="326">
        <f t="shared" si="48"/>
        <v>58000000</v>
      </c>
      <c r="F68" s="326">
        <f t="shared" si="48"/>
        <v>60900000</v>
      </c>
      <c r="G68" s="589">
        <f t="shared" si="48"/>
        <v>65000000</v>
      </c>
      <c r="H68" s="327">
        <f t="shared" si="48"/>
        <v>66950000</v>
      </c>
      <c r="I68" s="327">
        <f t="shared" si="48"/>
        <v>68958500</v>
      </c>
      <c r="J68" s="327">
        <f t="shared" si="48"/>
        <v>71027255</v>
      </c>
      <c r="K68" s="327">
        <f t="shared" si="48"/>
        <v>73158072.65</v>
      </c>
      <c r="L68" s="327">
        <f t="shared" si="48"/>
        <v>75352814.8295</v>
      </c>
      <c r="M68" s="327">
        <f t="shared" si="48"/>
        <v>77613399.274385</v>
      </c>
      <c r="N68" s="327">
        <f t="shared" si="48"/>
        <v>79941801.25261655</v>
      </c>
      <c r="O68" s="327">
        <f t="shared" si="48"/>
        <v>82340055.29019506</v>
      </c>
      <c r="P68" s="327">
        <f t="shared" si="48"/>
        <v>84810256.94890091</v>
      </c>
      <c r="Q68" s="351"/>
    </row>
    <row r="69" spans="1:17" ht="15.75">
      <c r="A69" s="604" t="s">
        <v>457</v>
      </c>
      <c r="B69" s="697" t="s">
        <v>1605</v>
      </c>
      <c r="C69" s="597">
        <v>17000000</v>
      </c>
      <c r="D69" s="597">
        <v>16000000</v>
      </c>
      <c r="E69" s="597">
        <f>+'[3]InfMesPptoCDPEjec.rpt'!$H$71</f>
        <v>16000000</v>
      </c>
      <c r="F69" s="597">
        <f>+E69*$R$6</f>
        <v>16800000</v>
      </c>
      <c r="G69" s="590">
        <v>19000000</v>
      </c>
      <c r="H69" s="333">
        <f t="shared" si="43"/>
        <v>19570000</v>
      </c>
      <c r="I69" s="333">
        <f>+H69*$Y$5</f>
        <v>20157100</v>
      </c>
      <c r="J69" s="333">
        <f t="shared" si="44"/>
        <v>20761813</v>
      </c>
      <c r="K69" s="333">
        <f t="shared" si="45"/>
        <v>21384667.39</v>
      </c>
      <c r="L69" s="333">
        <f t="shared" si="46"/>
        <v>22026207.411700003</v>
      </c>
      <c r="M69" s="333">
        <f t="shared" si="31"/>
        <v>22686993.634051003</v>
      </c>
      <c r="N69" s="333">
        <f t="shared" si="47"/>
        <v>23367603.443072535</v>
      </c>
      <c r="O69" s="333">
        <f t="shared" si="33"/>
        <v>24068631.546364713</v>
      </c>
      <c r="P69" s="333">
        <f t="shared" si="34"/>
        <v>24790690.492755655</v>
      </c>
      <c r="Q69" s="343"/>
    </row>
    <row r="70" spans="1:17" ht="28.5">
      <c r="A70" s="603" t="s">
        <v>458</v>
      </c>
      <c r="B70" s="697" t="s">
        <v>1604</v>
      </c>
      <c r="C70" s="597">
        <v>30000000</v>
      </c>
      <c r="D70" s="597">
        <v>30000000</v>
      </c>
      <c r="E70" s="597">
        <f>+'[3]InfMesPptoCDPEjec.rpt'!$H$72</f>
        <v>42000000</v>
      </c>
      <c r="F70" s="597">
        <f>+E70*$R$6</f>
        <v>44100000</v>
      </c>
      <c r="G70" s="590">
        <v>46000000</v>
      </c>
      <c r="H70" s="333">
        <f t="shared" si="43"/>
        <v>47380000</v>
      </c>
      <c r="I70" s="333">
        <f>+H70*$Y$5</f>
        <v>48801400</v>
      </c>
      <c r="J70" s="333">
        <f t="shared" si="44"/>
        <v>50265442</v>
      </c>
      <c r="K70" s="333">
        <f t="shared" si="45"/>
        <v>51773405.26</v>
      </c>
      <c r="L70" s="333">
        <f t="shared" si="46"/>
        <v>53326607.4178</v>
      </c>
      <c r="M70" s="333">
        <f t="shared" si="31"/>
        <v>54926405.640334</v>
      </c>
      <c r="N70" s="333">
        <f t="shared" si="47"/>
        <v>56574197.80954403</v>
      </c>
      <c r="O70" s="333">
        <f t="shared" si="33"/>
        <v>58271423.743830346</v>
      </c>
      <c r="P70" s="333">
        <f t="shared" si="34"/>
        <v>60019566.45614526</v>
      </c>
      <c r="Q70" s="343"/>
    </row>
    <row r="71" spans="1:22" s="324" customFormat="1" ht="15.75">
      <c r="A71" s="357" t="s">
        <v>459</v>
      </c>
      <c r="B71" s="700" t="s">
        <v>220</v>
      </c>
      <c r="C71" s="326">
        <f aca="true" t="shared" si="49" ref="C71:P71">SUM(C72)</f>
        <v>120000000</v>
      </c>
      <c r="D71" s="326">
        <f t="shared" si="49"/>
        <v>220000000</v>
      </c>
      <c r="E71" s="326">
        <f t="shared" si="49"/>
        <v>250000000</v>
      </c>
      <c r="F71" s="326">
        <f t="shared" si="49"/>
        <v>322500000</v>
      </c>
      <c r="G71" s="589">
        <f t="shared" si="49"/>
        <v>450000000</v>
      </c>
      <c r="H71" s="327">
        <f t="shared" si="49"/>
        <v>463500000</v>
      </c>
      <c r="I71" s="327">
        <f t="shared" si="49"/>
        <v>477405000</v>
      </c>
      <c r="J71" s="327">
        <f t="shared" si="49"/>
        <v>491727150</v>
      </c>
      <c r="K71" s="327">
        <f t="shared" si="49"/>
        <v>506478964.5</v>
      </c>
      <c r="L71" s="327">
        <f t="shared" si="49"/>
        <v>521673333.435</v>
      </c>
      <c r="M71" s="327">
        <f t="shared" si="49"/>
        <v>537323533.43805</v>
      </c>
      <c r="N71" s="327">
        <f t="shared" si="49"/>
        <v>553443239.4411916</v>
      </c>
      <c r="O71" s="327">
        <f t="shared" si="49"/>
        <v>570046536.6244273</v>
      </c>
      <c r="P71" s="327">
        <f t="shared" si="49"/>
        <v>587147932.7231601</v>
      </c>
      <c r="Q71" s="351"/>
      <c r="R71" s="330"/>
      <c r="S71" s="330"/>
      <c r="T71" s="330"/>
      <c r="U71" s="331"/>
      <c r="V71" s="332"/>
    </row>
    <row r="72" spans="1:17" ht="15.75">
      <c r="A72" s="604" t="s">
        <v>460</v>
      </c>
      <c r="B72" s="697" t="s">
        <v>221</v>
      </c>
      <c r="C72" s="597">
        <v>120000000</v>
      </c>
      <c r="D72" s="597">
        <v>220000000</v>
      </c>
      <c r="E72" s="597">
        <f>+'[3]InfMesPptoCDPEjec.rpt'!$H$74</f>
        <v>250000000</v>
      </c>
      <c r="F72" s="597">
        <f>+E72*$R$6+60000000</f>
        <v>322500000</v>
      </c>
      <c r="G72" s="590">
        <v>450000000</v>
      </c>
      <c r="H72" s="333">
        <f t="shared" si="43"/>
        <v>463500000</v>
      </c>
      <c r="I72" s="333">
        <f>+H72*$Y$5</f>
        <v>477405000</v>
      </c>
      <c r="J72" s="333">
        <f t="shared" si="44"/>
        <v>491727150</v>
      </c>
      <c r="K72" s="333">
        <f t="shared" si="45"/>
        <v>506478964.5</v>
      </c>
      <c r="L72" s="333">
        <f t="shared" si="46"/>
        <v>521673333.435</v>
      </c>
      <c r="M72" s="333">
        <f t="shared" si="31"/>
        <v>537323533.43805</v>
      </c>
      <c r="N72" s="333">
        <f t="shared" si="47"/>
        <v>553443239.4411916</v>
      </c>
      <c r="O72" s="333">
        <f t="shared" si="33"/>
        <v>570046536.6244273</v>
      </c>
      <c r="P72" s="333">
        <f t="shared" si="34"/>
        <v>587147932.7231601</v>
      </c>
      <c r="Q72" s="343"/>
    </row>
    <row r="73" spans="1:17" ht="15.75">
      <c r="A73" s="357" t="s">
        <v>461</v>
      </c>
      <c r="B73" s="700" t="s">
        <v>222</v>
      </c>
      <c r="C73" s="326">
        <f aca="true" t="shared" si="50" ref="C73:P73">SUM(C74)</f>
        <v>100000000</v>
      </c>
      <c r="D73" s="326">
        <f t="shared" si="50"/>
        <v>120000000</v>
      </c>
      <c r="E73" s="326">
        <f t="shared" si="50"/>
        <v>150000000</v>
      </c>
      <c r="F73" s="326">
        <f t="shared" si="50"/>
        <v>157500000</v>
      </c>
      <c r="G73" s="589">
        <f t="shared" si="50"/>
        <v>170000000</v>
      </c>
      <c r="H73" s="327">
        <f t="shared" si="50"/>
        <v>175100000</v>
      </c>
      <c r="I73" s="327">
        <f t="shared" si="50"/>
        <v>180353000</v>
      </c>
      <c r="J73" s="327">
        <f t="shared" si="50"/>
        <v>185763590</v>
      </c>
      <c r="K73" s="327">
        <f t="shared" si="50"/>
        <v>191336497.70000002</v>
      </c>
      <c r="L73" s="327">
        <f t="shared" si="50"/>
        <v>197076592.631</v>
      </c>
      <c r="M73" s="327">
        <f t="shared" si="50"/>
        <v>202988890.40993002</v>
      </c>
      <c r="N73" s="327">
        <f t="shared" si="50"/>
        <v>209078557.12222794</v>
      </c>
      <c r="O73" s="327">
        <f t="shared" si="50"/>
        <v>215350913.8358948</v>
      </c>
      <c r="P73" s="327">
        <f t="shared" si="50"/>
        <v>221811441.25097165</v>
      </c>
      <c r="Q73" s="351"/>
    </row>
    <row r="74" spans="1:17" ht="15.75">
      <c r="A74" s="604" t="s">
        <v>462</v>
      </c>
      <c r="B74" s="697" t="s">
        <v>223</v>
      </c>
      <c r="C74" s="597">
        <v>100000000</v>
      </c>
      <c r="D74" s="597">
        <v>120000000</v>
      </c>
      <c r="E74" s="597">
        <f>+'[3]InfMesPptoCDPEjec.rpt'!$H$76</f>
        <v>150000000</v>
      </c>
      <c r="F74" s="597">
        <f>+E74*$R$6</f>
        <v>157500000</v>
      </c>
      <c r="G74" s="590">
        <v>170000000</v>
      </c>
      <c r="H74" s="333">
        <f t="shared" si="43"/>
        <v>175100000</v>
      </c>
      <c r="I74" s="333">
        <f>+H74*$Y$5</f>
        <v>180353000</v>
      </c>
      <c r="J74" s="333">
        <f t="shared" si="44"/>
        <v>185763590</v>
      </c>
      <c r="K74" s="333">
        <f t="shared" si="45"/>
        <v>191336497.70000002</v>
      </c>
      <c r="L74" s="333">
        <f t="shared" si="46"/>
        <v>197076592.631</v>
      </c>
      <c r="M74" s="333">
        <f t="shared" si="31"/>
        <v>202988890.40993002</v>
      </c>
      <c r="N74" s="333">
        <f t="shared" si="47"/>
        <v>209078557.12222794</v>
      </c>
      <c r="O74" s="333">
        <f t="shared" si="33"/>
        <v>215350913.8358948</v>
      </c>
      <c r="P74" s="333">
        <f t="shared" si="34"/>
        <v>221811441.25097165</v>
      </c>
      <c r="Q74" s="343"/>
    </row>
    <row r="75" spans="1:17" ht="30">
      <c r="A75" s="357" t="s">
        <v>463</v>
      </c>
      <c r="B75" s="700" t="s">
        <v>224</v>
      </c>
      <c r="C75" s="326">
        <f aca="true" t="shared" si="51" ref="C75:P75">SUM(C76)</f>
        <v>20000000</v>
      </c>
      <c r="D75" s="326">
        <f t="shared" si="51"/>
        <v>30000000</v>
      </c>
      <c r="E75" s="326">
        <f t="shared" si="51"/>
        <v>10000000</v>
      </c>
      <c r="F75" s="326">
        <f t="shared" si="51"/>
        <v>10500000</v>
      </c>
      <c r="G75" s="589">
        <f t="shared" si="51"/>
        <v>10000000</v>
      </c>
      <c r="H75" s="327">
        <f t="shared" si="51"/>
        <v>10300000</v>
      </c>
      <c r="I75" s="327">
        <f t="shared" si="51"/>
        <v>10609000</v>
      </c>
      <c r="J75" s="327">
        <f t="shared" si="51"/>
        <v>10927270</v>
      </c>
      <c r="K75" s="327">
        <f t="shared" si="51"/>
        <v>11255088.1</v>
      </c>
      <c r="L75" s="327">
        <f t="shared" si="51"/>
        <v>11592740.743</v>
      </c>
      <c r="M75" s="327">
        <f t="shared" si="51"/>
        <v>11940522.96529</v>
      </c>
      <c r="N75" s="327">
        <f t="shared" si="51"/>
        <v>12298738.654248701</v>
      </c>
      <c r="O75" s="327">
        <f t="shared" si="51"/>
        <v>12667700.813876163</v>
      </c>
      <c r="P75" s="327">
        <f t="shared" si="51"/>
        <v>13047731.838292448</v>
      </c>
      <c r="Q75" s="351"/>
    </row>
    <row r="76" spans="1:17" ht="15.75">
      <c r="A76" s="604" t="s">
        <v>464</v>
      </c>
      <c r="B76" s="697" t="s">
        <v>225</v>
      </c>
      <c r="C76" s="597">
        <v>20000000</v>
      </c>
      <c r="D76" s="597">
        <v>30000000</v>
      </c>
      <c r="E76" s="597">
        <f>+'[3]InfMesPptoCDPEjec.rpt'!$H$78</f>
        <v>10000000</v>
      </c>
      <c r="F76" s="597">
        <f>+E76*$R$6</f>
        <v>10500000</v>
      </c>
      <c r="G76" s="590">
        <v>10000000</v>
      </c>
      <c r="H76" s="333">
        <f t="shared" si="43"/>
        <v>10300000</v>
      </c>
      <c r="I76" s="333">
        <f>+H76*$Y$5</f>
        <v>10609000</v>
      </c>
      <c r="J76" s="333">
        <f t="shared" si="44"/>
        <v>10927270</v>
      </c>
      <c r="K76" s="333">
        <f t="shared" si="45"/>
        <v>11255088.1</v>
      </c>
      <c r="L76" s="333">
        <f t="shared" si="46"/>
        <v>11592740.743</v>
      </c>
      <c r="M76" s="333">
        <f t="shared" si="31"/>
        <v>11940522.96529</v>
      </c>
      <c r="N76" s="333">
        <f t="shared" si="47"/>
        <v>12298738.654248701</v>
      </c>
      <c r="O76" s="333">
        <f t="shared" si="33"/>
        <v>12667700.813876163</v>
      </c>
      <c r="P76" s="333">
        <f t="shared" si="34"/>
        <v>13047731.838292448</v>
      </c>
      <c r="Q76" s="343"/>
    </row>
    <row r="77" spans="1:17" ht="30">
      <c r="A77" s="357" t="s">
        <v>465</v>
      </c>
      <c r="B77" s="700" t="s">
        <v>226</v>
      </c>
      <c r="C77" s="326">
        <f aca="true" t="shared" si="52" ref="C77:P77">SUM(C78:C79)</f>
        <v>65000000</v>
      </c>
      <c r="D77" s="326">
        <f t="shared" si="52"/>
        <v>65000000</v>
      </c>
      <c r="E77" s="326">
        <f t="shared" si="52"/>
        <v>65000000</v>
      </c>
      <c r="F77" s="326">
        <f t="shared" si="52"/>
        <v>68250000</v>
      </c>
      <c r="G77" s="589">
        <f t="shared" si="52"/>
        <v>25000000</v>
      </c>
      <c r="H77" s="327">
        <f t="shared" si="52"/>
        <v>25750000</v>
      </c>
      <c r="I77" s="327">
        <f t="shared" si="52"/>
        <v>26522500</v>
      </c>
      <c r="J77" s="327">
        <f t="shared" si="52"/>
        <v>27318175</v>
      </c>
      <c r="K77" s="327">
        <f t="shared" si="52"/>
        <v>28137720.25</v>
      </c>
      <c r="L77" s="327">
        <f t="shared" si="52"/>
        <v>28981851.8575</v>
      </c>
      <c r="M77" s="327">
        <f t="shared" si="52"/>
        <v>29851307.413225003</v>
      </c>
      <c r="N77" s="327">
        <f t="shared" si="52"/>
        <v>30746846.635621753</v>
      </c>
      <c r="O77" s="327">
        <f t="shared" si="52"/>
        <v>31669252.034690406</v>
      </c>
      <c r="P77" s="327">
        <f t="shared" si="52"/>
        <v>32619329.59573112</v>
      </c>
      <c r="Q77" s="351"/>
    </row>
    <row r="78" spans="1:17" ht="15.75">
      <c r="A78" s="604" t="s">
        <v>466</v>
      </c>
      <c r="B78" s="697" t="s">
        <v>227</v>
      </c>
      <c r="C78" s="597">
        <v>15000000</v>
      </c>
      <c r="D78" s="597">
        <v>15000000</v>
      </c>
      <c r="E78" s="597">
        <f>+'[3]InfMesPptoCDPEjec.rpt'!$H$80</f>
        <v>20000000</v>
      </c>
      <c r="F78" s="597">
        <f>+E78*$R$6</f>
        <v>21000000</v>
      </c>
      <c r="G78" s="590">
        <v>25000000</v>
      </c>
      <c r="H78" s="333">
        <f t="shared" si="43"/>
        <v>25750000</v>
      </c>
      <c r="I78" s="333">
        <f>+H78*$Y$5</f>
        <v>26522500</v>
      </c>
      <c r="J78" s="333">
        <f t="shared" si="44"/>
        <v>27318175</v>
      </c>
      <c r="K78" s="333">
        <f t="shared" si="45"/>
        <v>28137720.25</v>
      </c>
      <c r="L78" s="333">
        <f t="shared" si="46"/>
        <v>28981851.8575</v>
      </c>
      <c r="M78" s="333">
        <f t="shared" si="31"/>
        <v>29851307.413225003</v>
      </c>
      <c r="N78" s="333">
        <f t="shared" si="47"/>
        <v>30746846.635621753</v>
      </c>
      <c r="O78" s="333">
        <f t="shared" si="33"/>
        <v>31669252.034690406</v>
      </c>
      <c r="P78" s="333">
        <f t="shared" si="34"/>
        <v>32619329.59573112</v>
      </c>
      <c r="Q78" s="343"/>
    </row>
    <row r="79" spans="1:17" ht="28.5">
      <c r="A79" s="603" t="s">
        <v>467</v>
      </c>
      <c r="B79" s="697" t="s">
        <v>228</v>
      </c>
      <c r="C79" s="597">
        <v>50000000</v>
      </c>
      <c r="D79" s="597">
        <v>50000000</v>
      </c>
      <c r="E79" s="597">
        <f>+'[3]InfMesPptoCDPEjec.rpt'!$H$81</f>
        <v>45000000</v>
      </c>
      <c r="F79" s="597">
        <f>+E79*$R$6</f>
        <v>47250000</v>
      </c>
      <c r="G79" s="590"/>
      <c r="H79" s="333">
        <f t="shared" si="43"/>
        <v>0</v>
      </c>
      <c r="I79" s="333">
        <f>+H79*$Y$5</f>
        <v>0</v>
      </c>
      <c r="J79" s="333">
        <f t="shared" si="44"/>
        <v>0</v>
      </c>
      <c r="K79" s="333">
        <f t="shared" si="45"/>
        <v>0</v>
      </c>
      <c r="L79" s="333">
        <f t="shared" si="46"/>
        <v>0</v>
      </c>
      <c r="M79" s="333">
        <f t="shared" si="31"/>
        <v>0</v>
      </c>
      <c r="N79" s="333">
        <f t="shared" si="47"/>
        <v>0</v>
      </c>
      <c r="O79" s="333">
        <f t="shared" si="33"/>
        <v>0</v>
      </c>
      <c r="P79" s="333">
        <f t="shared" si="34"/>
        <v>0</v>
      </c>
      <c r="Q79" s="343"/>
    </row>
    <row r="80" spans="1:17" ht="30">
      <c r="A80" s="606" t="s">
        <v>468</v>
      </c>
      <c r="B80" s="700" t="s">
        <v>469</v>
      </c>
      <c r="C80" s="598">
        <f aca="true" t="shared" si="53" ref="C80:H80">SUM(C81)</f>
        <v>20000000</v>
      </c>
      <c r="D80" s="598">
        <f t="shared" si="53"/>
        <v>30000000</v>
      </c>
      <c r="E80" s="598">
        <f t="shared" si="53"/>
        <v>0</v>
      </c>
      <c r="F80" s="598">
        <f t="shared" si="53"/>
        <v>0</v>
      </c>
      <c r="G80" s="592">
        <f t="shared" si="53"/>
        <v>60000000</v>
      </c>
      <c r="H80" s="344">
        <f t="shared" si="53"/>
        <v>0</v>
      </c>
      <c r="I80" s="333">
        <f>+H80*$Y$5</f>
        <v>0</v>
      </c>
      <c r="J80" s="344">
        <f>SUM(J81)</f>
        <v>0</v>
      </c>
      <c r="K80" s="344">
        <f>SUM(K81)</f>
        <v>0</v>
      </c>
      <c r="L80" s="333">
        <f t="shared" si="46"/>
        <v>0</v>
      </c>
      <c r="M80" s="333">
        <f t="shared" si="31"/>
        <v>0</v>
      </c>
      <c r="N80" s="333">
        <f t="shared" si="47"/>
        <v>0</v>
      </c>
      <c r="O80" s="333">
        <f t="shared" si="33"/>
        <v>0</v>
      </c>
      <c r="P80" s="333">
        <f t="shared" si="34"/>
        <v>0</v>
      </c>
      <c r="Q80" s="352"/>
    </row>
    <row r="81" spans="1:17" ht="15.75">
      <c r="A81" s="603" t="s">
        <v>470</v>
      </c>
      <c r="B81" s="697" t="s">
        <v>471</v>
      </c>
      <c r="C81" s="597">
        <v>20000000</v>
      </c>
      <c r="D81" s="597">
        <v>30000000</v>
      </c>
      <c r="E81" s="597">
        <v>0</v>
      </c>
      <c r="F81" s="597">
        <v>0</v>
      </c>
      <c r="G81" s="590">
        <v>60000000</v>
      </c>
      <c r="H81" s="333">
        <v>0</v>
      </c>
      <c r="I81" s="333">
        <f>+H81*$Y$5</f>
        <v>0</v>
      </c>
      <c r="J81" s="333">
        <v>0</v>
      </c>
      <c r="K81" s="333">
        <v>0</v>
      </c>
      <c r="L81" s="333">
        <f t="shared" si="46"/>
        <v>0</v>
      </c>
      <c r="M81" s="333">
        <f t="shared" si="31"/>
        <v>0</v>
      </c>
      <c r="N81" s="333">
        <f t="shared" si="47"/>
        <v>0</v>
      </c>
      <c r="O81" s="333">
        <f t="shared" si="33"/>
        <v>0</v>
      </c>
      <c r="P81" s="333">
        <f t="shared" si="34"/>
        <v>0</v>
      </c>
      <c r="Q81" s="343"/>
    </row>
    <row r="82" spans="1:17" ht="30">
      <c r="A82" s="357" t="s">
        <v>472</v>
      </c>
      <c r="B82" s="700" t="s">
        <v>229</v>
      </c>
      <c r="C82" s="326">
        <f aca="true" t="shared" si="54" ref="C82:P82">SUM(C83:C86)</f>
        <v>460000000</v>
      </c>
      <c r="D82" s="326">
        <f t="shared" si="54"/>
        <v>675000000</v>
      </c>
      <c r="E82" s="326">
        <f t="shared" si="54"/>
        <v>784000000</v>
      </c>
      <c r="F82" s="326">
        <f t="shared" si="54"/>
        <v>823200000</v>
      </c>
      <c r="G82" s="589">
        <f t="shared" si="54"/>
        <v>1200905750</v>
      </c>
      <c r="H82" s="327">
        <f t="shared" si="54"/>
        <v>1236932922.5</v>
      </c>
      <c r="I82" s="327">
        <f t="shared" si="54"/>
        <v>1274040910.175</v>
      </c>
      <c r="J82" s="327">
        <f t="shared" si="54"/>
        <v>1312262137.48025</v>
      </c>
      <c r="K82" s="327">
        <f t="shared" si="54"/>
        <v>1351630001.6046574</v>
      </c>
      <c r="L82" s="327">
        <f t="shared" si="54"/>
        <v>1392178901.6527972</v>
      </c>
      <c r="M82" s="327">
        <f t="shared" si="54"/>
        <v>1433944268.7023811</v>
      </c>
      <c r="N82" s="327">
        <f t="shared" si="54"/>
        <v>1476962596.7634528</v>
      </c>
      <c r="O82" s="327">
        <f t="shared" si="54"/>
        <v>1521271474.6663563</v>
      </c>
      <c r="P82" s="327">
        <f t="shared" si="54"/>
        <v>1566909618.9063473</v>
      </c>
      <c r="Q82" s="351"/>
    </row>
    <row r="83" spans="1:17" ht="15.75">
      <c r="A83" s="604" t="s">
        <v>473</v>
      </c>
      <c r="B83" s="697" t="s">
        <v>230</v>
      </c>
      <c r="C83" s="597">
        <v>100000000</v>
      </c>
      <c r="D83" s="597">
        <v>75000000</v>
      </c>
      <c r="E83" s="597">
        <f>+'[3]InfMesPptoCDPEjec.rpt'!$H$83</f>
        <v>150000000</v>
      </c>
      <c r="F83" s="597">
        <f>+E83*$R$6</f>
        <v>157500000</v>
      </c>
      <c r="G83" s="590">
        <v>60000000</v>
      </c>
      <c r="H83" s="333">
        <f aca="true" t="shared" si="55" ref="H83:H88">+G83*$X$5</f>
        <v>61800000</v>
      </c>
      <c r="I83" s="333">
        <f>+H83*$Y$5</f>
        <v>63654000</v>
      </c>
      <c r="J83" s="333">
        <f aca="true" t="shared" si="56" ref="J83:J88">+I83*$Z$5</f>
        <v>65563620</v>
      </c>
      <c r="K83" s="333">
        <f aca="true" t="shared" si="57" ref="K83:K101">+J83*$AA$5</f>
        <v>67530528.60000001</v>
      </c>
      <c r="L83" s="333">
        <f t="shared" si="46"/>
        <v>69556444.458</v>
      </c>
      <c r="M83" s="333">
        <f t="shared" si="31"/>
        <v>71643137.79174</v>
      </c>
      <c r="N83" s="333">
        <f t="shared" si="47"/>
        <v>73792431.9254922</v>
      </c>
      <c r="O83" s="333">
        <f t="shared" si="33"/>
        <v>76006204.88325697</v>
      </c>
      <c r="P83" s="333">
        <f t="shared" si="34"/>
        <v>78286391.02975468</v>
      </c>
      <c r="Q83" s="343"/>
    </row>
    <row r="84" spans="1:17" ht="15.75">
      <c r="A84" s="604" t="s">
        <v>474</v>
      </c>
      <c r="B84" s="697" t="s">
        <v>231</v>
      </c>
      <c r="C84" s="597">
        <v>20000000</v>
      </c>
      <c r="D84" s="597">
        <v>40000000</v>
      </c>
      <c r="E84" s="597">
        <f>+'[3]InfMesPptoCDPEjec.rpt'!$H$84</f>
        <v>35000000</v>
      </c>
      <c r="F84" s="597">
        <f>+E84*$R$6</f>
        <v>36750000</v>
      </c>
      <c r="G84" s="590">
        <v>30000000</v>
      </c>
      <c r="H84" s="333">
        <f t="shared" si="55"/>
        <v>30900000</v>
      </c>
      <c r="I84" s="333">
        <f>+H84*$Y$5</f>
        <v>31827000</v>
      </c>
      <c r="J84" s="333">
        <f t="shared" si="56"/>
        <v>32781810</v>
      </c>
      <c r="K84" s="333">
        <f t="shared" si="57"/>
        <v>33765264.300000004</v>
      </c>
      <c r="L84" s="333">
        <f t="shared" si="46"/>
        <v>34778222.229</v>
      </c>
      <c r="M84" s="333">
        <f t="shared" si="31"/>
        <v>35821568.89587</v>
      </c>
      <c r="N84" s="333">
        <f t="shared" si="47"/>
        <v>36896215.9627461</v>
      </c>
      <c r="O84" s="333">
        <f t="shared" si="33"/>
        <v>38003102.441628486</v>
      </c>
      <c r="P84" s="333">
        <f t="shared" si="34"/>
        <v>39143195.51487734</v>
      </c>
      <c r="Q84" s="343"/>
    </row>
    <row r="85" spans="1:17" ht="28.5">
      <c r="A85" s="604" t="s">
        <v>475</v>
      </c>
      <c r="B85" s="697" t="s">
        <v>476</v>
      </c>
      <c r="C85" s="597">
        <v>20000000</v>
      </c>
      <c r="D85" s="597">
        <v>10000000</v>
      </c>
      <c r="E85" s="597">
        <f>+'[3]InfMesPptoCDPEjec.rpt'!$H$85</f>
        <v>5000000</v>
      </c>
      <c r="F85" s="597">
        <f>+E85*$R$6</f>
        <v>5250000</v>
      </c>
      <c r="G85" s="590">
        <v>10905750</v>
      </c>
      <c r="H85" s="333">
        <f t="shared" si="55"/>
        <v>11232922.5</v>
      </c>
      <c r="I85" s="333">
        <f>+H85*$Y$5</f>
        <v>11569910.175</v>
      </c>
      <c r="J85" s="333">
        <f t="shared" si="56"/>
        <v>11917007.480250001</v>
      </c>
      <c r="K85" s="333">
        <f t="shared" si="57"/>
        <v>12274517.7046575</v>
      </c>
      <c r="L85" s="333">
        <f t="shared" si="46"/>
        <v>12642753.235797226</v>
      </c>
      <c r="M85" s="333">
        <f t="shared" si="31"/>
        <v>13022035.832871143</v>
      </c>
      <c r="N85" s="333">
        <f t="shared" si="47"/>
        <v>13412696.907857276</v>
      </c>
      <c r="O85" s="333">
        <f t="shared" si="33"/>
        <v>13815077.815092996</v>
      </c>
      <c r="P85" s="333">
        <f t="shared" si="34"/>
        <v>14229530.149545787</v>
      </c>
      <c r="Q85" s="343"/>
    </row>
    <row r="86" spans="1:17" ht="15.75">
      <c r="A86" s="604" t="s">
        <v>477</v>
      </c>
      <c r="B86" s="697" t="s">
        <v>232</v>
      </c>
      <c r="C86" s="597">
        <v>320000000</v>
      </c>
      <c r="D86" s="597">
        <v>550000000</v>
      </c>
      <c r="E86" s="597">
        <f>+'[3]InfMesPptoCDPEjec.rpt'!$H$86</f>
        <v>594000000</v>
      </c>
      <c r="F86" s="597">
        <f>+E86*$R$6</f>
        <v>623700000</v>
      </c>
      <c r="G86" s="590">
        <v>1100000000</v>
      </c>
      <c r="H86" s="333">
        <f t="shared" si="55"/>
        <v>1133000000</v>
      </c>
      <c r="I86" s="333">
        <f>+H86*$Y$5</f>
        <v>1166990000</v>
      </c>
      <c r="J86" s="333">
        <f t="shared" si="56"/>
        <v>1201999700</v>
      </c>
      <c r="K86" s="333">
        <f t="shared" si="57"/>
        <v>1238059691</v>
      </c>
      <c r="L86" s="333">
        <f t="shared" si="46"/>
        <v>1275201481.73</v>
      </c>
      <c r="M86" s="333">
        <f t="shared" si="31"/>
        <v>1313457526.1819</v>
      </c>
      <c r="N86" s="333">
        <f t="shared" si="47"/>
        <v>1352861251.9673572</v>
      </c>
      <c r="O86" s="333">
        <f t="shared" si="33"/>
        <v>1393447089.526378</v>
      </c>
      <c r="P86" s="333">
        <f t="shared" si="34"/>
        <v>1435250502.2121694</v>
      </c>
      <c r="Q86" s="343"/>
    </row>
    <row r="87" spans="1:17" ht="15.75">
      <c r="A87" s="357" t="s">
        <v>478</v>
      </c>
      <c r="B87" s="700" t="s">
        <v>233</v>
      </c>
      <c r="C87" s="326">
        <f aca="true" t="shared" si="58" ref="C87:P87">SUM(C88)</f>
        <v>5000000</v>
      </c>
      <c r="D87" s="326">
        <f t="shared" si="58"/>
        <v>7000000</v>
      </c>
      <c r="E87" s="326">
        <f t="shared" si="58"/>
        <v>20000000</v>
      </c>
      <c r="F87" s="326">
        <f t="shared" si="58"/>
        <v>21000000</v>
      </c>
      <c r="G87" s="589">
        <f t="shared" si="58"/>
        <v>5000000</v>
      </c>
      <c r="H87" s="327">
        <f t="shared" si="58"/>
        <v>5150000</v>
      </c>
      <c r="I87" s="327">
        <f t="shared" si="58"/>
        <v>5304500</v>
      </c>
      <c r="J87" s="327">
        <f t="shared" si="58"/>
        <v>5463635</v>
      </c>
      <c r="K87" s="327">
        <f t="shared" si="58"/>
        <v>5627544.05</v>
      </c>
      <c r="L87" s="327">
        <f t="shared" si="58"/>
        <v>5796370.3715</v>
      </c>
      <c r="M87" s="327">
        <f t="shared" si="58"/>
        <v>5970261.482645</v>
      </c>
      <c r="N87" s="327">
        <f t="shared" si="58"/>
        <v>6149369.327124351</v>
      </c>
      <c r="O87" s="327">
        <f t="shared" si="58"/>
        <v>6333850.406938082</v>
      </c>
      <c r="P87" s="327">
        <f t="shared" si="58"/>
        <v>6523865.919146224</v>
      </c>
      <c r="Q87" s="351"/>
    </row>
    <row r="88" spans="1:17" ht="15.75">
      <c r="A88" s="603" t="s">
        <v>479</v>
      </c>
      <c r="B88" s="697" t="s">
        <v>234</v>
      </c>
      <c r="C88" s="597">
        <v>5000000</v>
      </c>
      <c r="D88" s="597">
        <v>7000000</v>
      </c>
      <c r="E88" s="597">
        <f>+'[3]InfMesPptoCDPEjec.rpt'!$H$88</f>
        <v>20000000</v>
      </c>
      <c r="F88" s="597">
        <f>+E88*$R$6</f>
        <v>21000000</v>
      </c>
      <c r="G88" s="590">
        <v>5000000</v>
      </c>
      <c r="H88" s="333">
        <f t="shared" si="55"/>
        <v>5150000</v>
      </c>
      <c r="I88" s="333">
        <f>+H88*$Y$5</f>
        <v>5304500</v>
      </c>
      <c r="J88" s="333">
        <f t="shared" si="56"/>
        <v>5463635</v>
      </c>
      <c r="K88" s="333">
        <f t="shared" si="57"/>
        <v>5627544.05</v>
      </c>
      <c r="L88" s="333">
        <f t="shared" si="46"/>
        <v>5796370.3715</v>
      </c>
      <c r="M88" s="333">
        <f t="shared" si="31"/>
        <v>5970261.482645</v>
      </c>
      <c r="N88" s="333">
        <f t="shared" si="47"/>
        <v>6149369.327124351</v>
      </c>
      <c r="O88" s="333">
        <f t="shared" si="33"/>
        <v>6333850.406938082</v>
      </c>
      <c r="P88" s="333">
        <f t="shared" si="34"/>
        <v>6523865.919146224</v>
      </c>
      <c r="Q88" s="343"/>
    </row>
    <row r="89" spans="1:17" ht="16.5" thickBot="1">
      <c r="A89" s="357" t="s">
        <v>480</v>
      </c>
      <c r="B89" s="708" t="s">
        <v>235</v>
      </c>
      <c r="C89" s="614">
        <f aca="true" t="shared" si="59" ref="C89:P89">+C90+C95</f>
        <v>459624397</v>
      </c>
      <c r="D89" s="614">
        <f t="shared" si="59"/>
        <v>595945193</v>
      </c>
      <c r="E89" s="614">
        <f t="shared" si="59"/>
        <v>759097907</v>
      </c>
      <c r="F89" s="614">
        <f t="shared" si="59"/>
        <v>718619387</v>
      </c>
      <c r="G89" s="589">
        <f>+G90+G95</f>
        <v>772382973.998</v>
      </c>
      <c r="H89" s="327">
        <f t="shared" si="59"/>
        <v>795554463.2179401</v>
      </c>
      <c r="I89" s="327">
        <f t="shared" si="59"/>
        <v>819421097.1144782</v>
      </c>
      <c r="J89" s="327">
        <f t="shared" si="59"/>
        <v>844003730.0279126</v>
      </c>
      <c r="K89" s="327">
        <f t="shared" si="59"/>
        <v>869323841.92875</v>
      </c>
      <c r="L89" s="327">
        <f t="shared" si="59"/>
        <v>895403557.1866126</v>
      </c>
      <c r="M89" s="327">
        <f t="shared" si="59"/>
        <v>922265663.902211</v>
      </c>
      <c r="N89" s="327">
        <f t="shared" si="59"/>
        <v>949933633.8192773</v>
      </c>
      <c r="O89" s="327">
        <f t="shared" si="59"/>
        <v>978431642.8338557</v>
      </c>
      <c r="P89" s="327">
        <f t="shared" si="59"/>
        <v>1007784592.1188715</v>
      </c>
      <c r="Q89" s="351"/>
    </row>
    <row r="90" spans="1:17" ht="29.25" thickBot="1">
      <c r="A90" s="627" t="s">
        <v>481</v>
      </c>
      <c r="B90" s="709" t="s">
        <v>236</v>
      </c>
      <c r="C90" s="619">
        <f>SUM(C91:C93)</f>
        <v>289624397</v>
      </c>
      <c r="D90" s="619">
        <f>SUM(D91:D93)</f>
        <v>417445193</v>
      </c>
      <c r="E90" s="619">
        <f aca="true" t="shared" si="60" ref="E90:J90">SUM(E91:E94)</f>
        <v>563597907</v>
      </c>
      <c r="F90" s="620">
        <f t="shared" si="60"/>
        <v>513344387</v>
      </c>
      <c r="G90" s="589">
        <f t="shared" si="60"/>
        <v>602382973.998</v>
      </c>
      <c r="H90" s="327">
        <f t="shared" si="60"/>
        <v>620454463.2179401</v>
      </c>
      <c r="I90" s="327">
        <f t="shared" si="60"/>
        <v>639068097.1144782</v>
      </c>
      <c r="J90" s="327">
        <f t="shared" si="60"/>
        <v>658240140.0279126</v>
      </c>
      <c r="K90" s="344">
        <f t="shared" si="57"/>
        <v>677987344.22875</v>
      </c>
      <c r="L90" s="344">
        <f t="shared" si="46"/>
        <v>698326964.5556126</v>
      </c>
      <c r="M90" s="344">
        <f t="shared" si="31"/>
        <v>719276773.492281</v>
      </c>
      <c r="N90" s="344">
        <f t="shared" si="47"/>
        <v>740855076.6970494</v>
      </c>
      <c r="O90" s="344">
        <f t="shared" si="33"/>
        <v>763080728.9979609</v>
      </c>
      <c r="P90" s="344">
        <f t="shared" si="34"/>
        <v>785973150.8678998</v>
      </c>
      <c r="Q90" s="351"/>
    </row>
    <row r="91" spans="1:19" ht="16.5" thickBot="1">
      <c r="A91" s="626" t="s">
        <v>594</v>
      </c>
      <c r="B91" s="704" t="s">
        <v>237</v>
      </c>
      <c r="C91" s="628">
        <v>105681324</v>
      </c>
      <c r="D91" s="628">
        <v>1262000</v>
      </c>
      <c r="E91" s="628">
        <f>+'[3]InfMesPptoCDPEjec.rpt'!$H$97</f>
        <v>360921907</v>
      </c>
      <c r="F91" s="629">
        <v>401339387</v>
      </c>
      <c r="G91" s="629">
        <f>+'ICLD 2014'!Z2</f>
        <v>430720573.998</v>
      </c>
      <c r="H91" s="333">
        <f>+G91*$X$5</f>
        <v>443642191.21794003</v>
      </c>
      <c r="I91" s="333">
        <f>+H91*$Y$5</f>
        <v>456951456.95447826</v>
      </c>
      <c r="J91" s="333">
        <f aca="true" t="shared" si="61" ref="J91:J101">+I91*$Z$5</f>
        <v>470660000.66311264</v>
      </c>
      <c r="K91" s="333">
        <f t="shared" si="57"/>
        <v>484779800.68300605</v>
      </c>
      <c r="L91" s="333">
        <f t="shared" si="46"/>
        <v>499323194.7034962</v>
      </c>
      <c r="M91" s="333">
        <f t="shared" si="31"/>
        <v>514302890.54460114</v>
      </c>
      <c r="N91" s="333">
        <f t="shared" si="47"/>
        <v>529731977.2609392</v>
      </c>
      <c r="O91" s="333">
        <f t="shared" si="33"/>
        <v>545623936.5787674</v>
      </c>
      <c r="P91" s="333">
        <f t="shared" si="34"/>
        <v>561992654.6761304</v>
      </c>
      <c r="Q91" s="343"/>
      <c r="R91" s="346"/>
      <c r="S91" s="346"/>
    </row>
    <row r="92" spans="1:19" ht="15.75">
      <c r="A92" s="626" t="s">
        <v>482</v>
      </c>
      <c r="B92" s="710" t="s">
        <v>238</v>
      </c>
      <c r="C92" s="634">
        <v>105681323</v>
      </c>
      <c r="D92" s="634">
        <v>315397693</v>
      </c>
      <c r="E92" s="634">
        <f>+'[3]InfMesPptoCDPEjec.rpt'!$H$96</f>
        <v>44000000</v>
      </c>
      <c r="F92" s="621">
        <v>0</v>
      </c>
      <c r="G92" s="590">
        <f>+F92*$W$5</f>
        <v>0</v>
      </c>
      <c r="H92" s="333">
        <v>0</v>
      </c>
      <c r="I92" s="333">
        <f>+H92*$Y$5</f>
        <v>0</v>
      </c>
      <c r="J92" s="333">
        <f t="shared" si="61"/>
        <v>0</v>
      </c>
      <c r="K92" s="333">
        <f t="shared" si="57"/>
        <v>0</v>
      </c>
      <c r="L92" s="333">
        <f t="shared" si="46"/>
        <v>0</v>
      </c>
      <c r="M92" s="333">
        <f t="shared" si="31"/>
        <v>0</v>
      </c>
      <c r="N92" s="333">
        <f t="shared" si="47"/>
        <v>0</v>
      </c>
      <c r="O92" s="333">
        <f t="shared" si="33"/>
        <v>0</v>
      </c>
      <c r="P92" s="333">
        <f t="shared" si="34"/>
        <v>0</v>
      </c>
      <c r="Q92" s="343"/>
      <c r="R92" s="346"/>
      <c r="S92" s="346"/>
    </row>
    <row r="93" spans="1:19" ht="15.75">
      <c r="A93" s="626" t="s">
        <v>595</v>
      </c>
      <c r="B93" s="697" t="s">
        <v>239</v>
      </c>
      <c r="C93" s="599">
        <v>78261750</v>
      </c>
      <c r="D93" s="599">
        <v>100785500</v>
      </c>
      <c r="E93" s="599">
        <f>+'[3]InfMesPptoCDPEjec.rpt'!$H$99</f>
        <v>155216880</v>
      </c>
      <c r="F93" s="597">
        <v>112005000</v>
      </c>
      <c r="G93" s="597">
        <f>+'ICLD 2014'!Z3</f>
        <v>171662400</v>
      </c>
      <c r="H93" s="333">
        <f>+G93*$X$5</f>
        <v>176812272</v>
      </c>
      <c r="I93" s="333">
        <f>+H93*$Y$5</f>
        <v>182116640.16</v>
      </c>
      <c r="J93" s="333">
        <f t="shared" si="61"/>
        <v>187580139.3648</v>
      </c>
      <c r="K93" s="333">
        <f t="shared" si="57"/>
        <v>193207543.545744</v>
      </c>
      <c r="L93" s="333">
        <f t="shared" si="46"/>
        <v>199003769.85211632</v>
      </c>
      <c r="M93" s="333">
        <f t="shared" si="31"/>
        <v>204973882.94767982</v>
      </c>
      <c r="N93" s="333">
        <f t="shared" si="47"/>
        <v>211123099.43611023</v>
      </c>
      <c r="O93" s="333">
        <f t="shared" si="33"/>
        <v>217456792.41919354</v>
      </c>
      <c r="P93" s="333">
        <f t="shared" si="34"/>
        <v>223980496.19176936</v>
      </c>
      <c r="Q93" s="343"/>
      <c r="R93" s="346"/>
      <c r="S93" s="346"/>
    </row>
    <row r="94" spans="1:19" ht="15.75">
      <c r="A94" s="626" t="s">
        <v>595</v>
      </c>
      <c r="B94" s="697" t="s">
        <v>609</v>
      </c>
      <c r="C94" s="599"/>
      <c r="D94" s="599"/>
      <c r="E94" s="599">
        <f>+'[3]InfMesPptoCDPEjec.rpt'!$H$98</f>
        <v>3459120</v>
      </c>
      <c r="F94" s="597">
        <v>0</v>
      </c>
      <c r="G94" s="590">
        <f>+F94*$W$5</f>
        <v>0</v>
      </c>
      <c r="H94" s="333">
        <v>0</v>
      </c>
      <c r="I94" s="333">
        <v>0</v>
      </c>
      <c r="J94" s="333">
        <f t="shared" si="61"/>
        <v>0</v>
      </c>
      <c r="K94" s="333">
        <f t="shared" si="57"/>
        <v>0</v>
      </c>
      <c r="L94" s="333">
        <f t="shared" si="46"/>
        <v>0</v>
      </c>
      <c r="M94" s="333">
        <f t="shared" si="31"/>
        <v>0</v>
      </c>
      <c r="N94" s="333">
        <f t="shared" si="47"/>
        <v>0</v>
      </c>
      <c r="O94" s="333">
        <f t="shared" si="33"/>
        <v>0</v>
      </c>
      <c r="P94" s="333">
        <f t="shared" si="34"/>
        <v>0</v>
      </c>
      <c r="Q94" s="343"/>
      <c r="R94" s="346"/>
      <c r="S94" s="346"/>
    </row>
    <row r="95" spans="1:17" ht="30">
      <c r="A95" s="625" t="s">
        <v>483</v>
      </c>
      <c r="B95" s="700" t="s">
        <v>240</v>
      </c>
      <c r="C95" s="326">
        <f aca="true" t="shared" si="62" ref="C95:P95">SUM(C96:C96)</f>
        <v>170000000</v>
      </c>
      <c r="D95" s="326">
        <f t="shared" si="62"/>
        <v>178500000</v>
      </c>
      <c r="E95" s="326">
        <f t="shared" si="62"/>
        <v>195500000</v>
      </c>
      <c r="F95" s="326">
        <f t="shared" si="62"/>
        <v>205275000</v>
      </c>
      <c r="G95" s="589">
        <f t="shared" si="62"/>
        <v>170000000</v>
      </c>
      <c r="H95" s="327">
        <f t="shared" si="62"/>
        <v>175100000</v>
      </c>
      <c r="I95" s="327">
        <f t="shared" si="62"/>
        <v>180353000</v>
      </c>
      <c r="J95" s="327">
        <f t="shared" si="62"/>
        <v>185763590</v>
      </c>
      <c r="K95" s="327">
        <f t="shared" si="62"/>
        <v>191336497.70000002</v>
      </c>
      <c r="L95" s="327">
        <f t="shared" si="62"/>
        <v>197076592.631</v>
      </c>
      <c r="M95" s="327">
        <f t="shared" si="62"/>
        <v>202988890.40993002</v>
      </c>
      <c r="N95" s="327">
        <f t="shared" si="62"/>
        <v>209078557.12222794</v>
      </c>
      <c r="O95" s="327">
        <f t="shared" si="62"/>
        <v>215350913.8358948</v>
      </c>
      <c r="P95" s="327">
        <f t="shared" si="62"/>
        <v>221811441.25097165</v>
      </c>
      <c r="Q95" s="351"/>
    </row>
    <row r="96" spans="1:17" ht="28.5">
      <c r="A96" s="626" t="s">
        <v>596</v>
      </c>
      <c r="B96" s="697" t="s">
        <v>241</v>
      </c>
      <c r="C96" s="597">
        <v>170000000</v>
      </c>
      <c r="D96" s="597">
        <f>170000000*1.05</f>
        <v>178500000</v>
      </c>
      <c r="E96" s="597">
        <f>+'[3]InfMesPptoCDPEjec.rpt'!$H$101</f>
        <v>195500000</v>
      </c>
      <c r="F96" s="597">
        <f>+E96*$R$6</f>
        <v>205275000</v>
      </c>
      <c r="G96" s="590">
        <v>170000000</v>
      </c>
      <c r="H96" s="333">
        <f>+G96*$X$5</f>
        <v>175100000</v>
      </c>
      <c r="I96" s="333">
        <f>+H96*$Y$5</f>
        <v>180353000</v>
      </c>
      <c r="J96" s="333">
        <f t="shared" si="61"/>
        <v>185763590</v>
      </c>
      <c r="K96" s="333">
        <f t="shared" si="57"/>
        <v>191336497.70000002</v>
      </c>
      <c r="L96" s="333">
        <f t="shared" si="46"/>
        <v>197076592.631</v>
      </c>
      <c r="M96" s="333">
        <f t="shared" si="31"/>
        <v>202988890.40993002</v>
      </c>
      <c r="N96" s="333">
        <f t="shared" si="47"/>
        <v>209078557.12222794</v>
      </c>
      <c r="O96" s="333">
        <f t="shared" si="33"/>
        <v>215350913.8358948</v>
      </c>
      <c r="P96" s="333">
        <f t="shared" si="34"/>
        <v>221811441.25097165</v>
      </c>
      <c r="Q96" s="343"/>
    </row>
    <row r="97" spans="1:17" ht="15.75">
      <c r="A97" s="357" t="s">
        <v>491</v>
      </c>
      <c r="B97" s="700" t="s">
        <v>245</v>
      </c>
      <c r="C97" s="326">
        <f aca="true" t="shared" si="63" ref="C97:P97">SUM(C98:C101)</f>
        <v>53000000</v>
      </c>
      <c r="D97" s="326">
        <f t="shared" si="63"/>
        <v>79150000</v>
      </c>
      <c r="E97" s="326">
        <f t="shared" si="63"/>
        <v>204400000</v>
      </c>
      <c r="F97" s="326">
        <f t="shared" si="63"/>
        <v>494142200</v>
      </c>
      <c r="G97" s="589">
        <f>SUM(G98:G101)</f>
        <v>348000000</v>
      </c>
      <c r="H97" s="327">
        <f t="shared" si="63"/>
        <v>183340000</v>
      </c>
      <c r="I97" s="327">
        <f t="shared" si="63"/>
        <v>188840200</v>
      </c>
      <c r="J97" s="327">
        <f t="shared" si="63"/>
        <v>194505406</v>
      </c>
      <c r="K97" s="327">
        <f t="shared" si="63"/>
        <v>200340568.18</v>
      </c>
      <c r="L97" s="327">
        <f t="shared" si="63"/>
        <v>206350785.2254</v>
      </c>
      <c r="M97" s="327">
        <f t="shared" si="63"/>
        <v>212541308.782162</v>
      </c>
      <c r="N97" s="327">
        <f t="shared" si="63"/>
        <v>218917548.04562688</v>
      </c>
      <c r="O97" s="327">
        <f t="shared" si="63"/>
        <v>225485074.4869957</v>
      </c>
      <c r="P97" s="327">
        <f t="shared" si="63"/>
        <v>232249626.72160557</v>
      </c>
      <c r="Q97" s="351"/>
    </row>
    <row r="98" spans="1:17" ht="15.75">
      <c r="A98" s="604" t="s">
        <v>492</v>
      </c>
      <c r="B98" s="697" t="s">
        <v>246</v>
      </c>
      <c r="C98" s="597">
        <v>23000000</v>
      </c>
      <c r="D98" s="597">
        <f>23000000*1.05</f>
        <v>24150000</v>
      </c>
      <c r="E98" s="597">
        <f>+'[3]InfMesPptoCDPEjec.rpt'!$H$109</f>
        <v>24150000</v>
      </c>
      <c r="F98" s="597">
        <f>+E98*$R$6</f>
        <v>25357500</v>
      </c>
      <c r="G98" s="590">
        <v>28000000</v>
      </c>
      <c r="H98" s="333">
        <f>+G98*$X$5</f>
        <v>28840000</v>
      </c>
      <c r="I98" s="333">
        <f>+H98*$Y$5</f>
        <v>29705200</v>
      </c>
      <c r="J98" s="333">
        <f t="shared" si="61"/>
        <v>30596356</v>
      </c>
      <c r="K98" s="333">
        <f t="shared" si="57"/>
        <v>31514246.68</v>
      </c>
      <c r="L98" s="333">
        <f t="shared" si="46"/>
        <v>32459674.0804</v>
      </c>
      <c r="M98" s="333">
        <f t="shared" si="31"/>
        <v>33433464.302812003</v>
      </c>
      <c r="N98" s="333">
        <f t="shared" si="47"/>
        <v>34436468.23189636</v>
      </c>
      <c r="O98" s="333">
        <f t="shared" si="33"/>
        <v>35469562.27885325</v>
      </c>
      <c r="P98" s="333">
        <f t="shared" si="34"/>
        <v>36533649.14721885</v>
      </c>
      <c r="Q98" s="343"/>
    </row>
    <row r="99" spans="1:17" ht="15.75">
      <c r="A99" s="604"/>
      <c r="B99" s="697" t="s">
        <v>1763</v>
      </c>
      <c r="C99" s="597"/>
      <c r="D99" s="597"/>
      <c r="E99" s="597"/>
      <c r="F99" s="597"/>
      <c r="G99" s="590">
        <v>170000000</v>
      </c>
      <c r="H99" s="333"/>
      <c r="I99" s="333"/>
      <c r="J99" s="333"/>
      <c r="K99" s="333"/>
      <c r="L99" s="333"/>
      <c r="M99" s="333"/>
      <c r="N99" s="333"/>
      <c r="O99" s="333"/>
      <c r="P99" s="333"/>
      <c r="Q99" s="343"/>
    </row>
    <row r="100" spans="1:17" ht="15.75">
      <c r="A100" s="603" t="s">
        <v>493</v>
      </c>
      <c r="B100" s="697" t="s">
        <v>247</v>
      </c>
      <c r="C100" s="597">
        <v>10000000</v>
      </c>
      <c r="D100" s="597">
        <v>10000000</v>
      </c>
      <c r="E100" s="597">
        <f>+'[3]InfMesPptoCDPEjec.rpt'!$H$110</f>
        <v>130250000</v>
      </c>
      <c r="F100" s="597">
        <f>+E100*$R$6+250000000+29522200</f>
        <v>416284700</v>
      </c>
      <c r="G100" s="590">
        <v>100000000</v>
      </c>
      <c r="H100" s="333">
        <f>+G100*$X$5</f>
        <v>103000000</v>
      </c>
      <c r="I100" s="333">
        <f>+H100*$Y$5</f>
        <v>106090000</v>
      </c>
      <c r="J100" s="333">
        <f t="shared" si="61"/>
        <v>109272700</v>
      </c>
      <c r="K100" s="333">
        <f t="shared" si="57"/>
        <v>112550881</v>
      </c>
      <c r="L100" s="333">
        <f t="shared" si="46"/>
        <v>115927407.43</v>
      </c>
      <c r="M100" s="333">
        <f t="shared" si="31"/>
        <v>119405229.65290001</v>
      </c>
      <c r="N100" s="333">
        <f t="shared" si="47"/>
        <v>122987386.54248701</v>
      </c>
      <c r="O100" s="333">
        <f t="shared" si="33"/>
        <v>126677008.13876162</v>
      </c>
      <c r="P100" s="333">
        <f t="shared" si="34"/>
        <v>130477318.38292448</v>
      </c>
      <c r="Q100" s="343"/>
    </row>
    <row r="101" spans="1:17" ht="15.75">
      <c r="A101" s="603" t="s">
        <v>494</v>
      </c>
      <c r="B101" s="697" t="s">
        <v>248</v>
      </c>
      <c r="C101" s="597">
        <v>20000000</v>
      </c>
      <c r="D101" s="597">
        <v>45000000</v>
      </c>
      <c r="E101" s="597">
        <f>+'[3]InfMesPptoCDPEjec.rpt'!$H$111</f>
        <v>50000000</v>
      </c>
      <c r="F101" s="597">
        <f>+E101*$R$6</f>
        <v>52500000</v>
      </c>
      <c r="G101" s="590">
        <v>50000000</v>
      </c>
      <c r="H101" s="333">
        <f>+G101*$X$5</f>
        <v>51500000</v>
      </c>
      <c r="I101" s="333">
        <f>+H101*$Y$5</f>
        <v>53045000</v>
      </c>
      <c r="J101" s="333">
        <f t="shared" si="61"/>
        <v>54636350</v>
      </c>
      <c r="K101" s="333">
        <f t="shared" si="57"/>
        <v>56275440.5</v>
      </c>
      <c r="L101" s="333">
        <f t="shared" si="46"/>
        <v>57963703.715</v>
      </c>
      <c r="M101" s="333">
        <f t="shared" si="31"/>
        <v>59702614.826450005</v>
      </c>
      <c r="N101" s="333">
        <f t="shared" si="47"/>
        <v>61493693.271243505</v>
      </c>
      <c r="O101" s="333">
        <f t="shared" si="33"/>
        <v>63338504.06938081</v>
      </c>
      <c r="P101" s="333">
        <f t="shared" si="34"/>
        <v>65238659.19146224</v>
      </c>
      <c r="Q101" s="343"/>
    </row>
    <row r="102" spans="1:17" ht="15.75">
      <c r="A102" s="622"/>
      <c r="B102" s="700" t="s">
        <v>488</v>
      </c>
      <c r="C102" s="598">
        <f aca="true" t="shared" si="64" ref="C102:P102">+C103+C107</f>
        <v>1344120000</v>
      </c>
      <c r="D102" s="598">
        <f t="shared" si="64"/>
        <v>2104062911</v>
      </c>
      <c r="E102" s="598">
        <f t="shared" si="64"/>
        <v>870408402.61</v>
      </c>
      <c r="F102" s="598">
        <f t="shared" si="64"/>
        <v>1110057592</v>
      </c>
      <c r="G102" s="592">
        <f>+G103+G107</f>
        <v>680693511.55632</v>
      </c>
      <c r="H102" s="344">
        <f t="shared" si="64"/>
        <v>701114316.9030097</v>
      </c>
      <c r="I102" s="344">
        <f t="shared" si="64"/>
        <v>722147746.4101</v>
      </c>
      <c r="J102" s="344">
        <f t="shared" si="64"/>
        <v>743812178.802403</v>
      </c>
      <c r="K102" s="344">
        <f t="shared" si="64"/>
        <v>766126544.166475</v>
      </c>
      <c r="L102" s="344">
        <f t="shared" si="64"/>
        <v>789110340.4914693</v>
      </c>
      <c r="M102" s="344">
        <f t="shared" si="64"/>
        <v>812783650.7062134</v>
      </c>
      <c r="N102" s="344">
        <f t="shared" si="64"/>
        <v>837167160.2273997</v>
      </c>
      <c r="O102" s="344">
        <f t="shared" si="64"/>
        <v>862282175.0342218</v>
      </c>
      <c r="P102" s="344">
        <f t="shared" si="64"/>
        <v>888150640.2852484</v>
      </c>
      <c r="Q102" s="352"/>
    </row>
    <row r="103" spans="1:17" ht="15.75">
      <c r="A103" s="623" t="s">
        <v>484</v>
      </c>
      <c r="B103" s="700" t="s">
        <v>242</v>
      </c>
      <c r="C103" s="326">
        <f aca="true" t="shared" si="65" ref="C103:P103">SUM(C104:C106)</f>
        <v>834120000</v>
      </c>
      <c r="D103" s="326">
        <f t="shared" si="65"/>
        <v>706064788</v>
      </c>
      <c r="E103" s="326">
        <f t="shared" si="65"/>
        <v>377651000</v>
      </c>
      <c r="F103" s="326">
        <f t="shared" si="65"/>
        <v>566928055</v>
      </c>
      <c r="G103" s="589">
        <f t="shared" si="65"/>
        <v>0</v>
      </c>
      <c r="H103" s="327">
        <f t="shared" si="65"/>
        <v>0</v>
      </c>
      <c r="I103" s="327">
        <f t="shared" si="65"/>
        <v>0</v>
      </c>
      <c r="J103" s="327">
        <f t="shared" si="65"/>
        <v>0</v>
      </c>
      <c r="K103" s="327">
        <f t="shared" si="65"/>
        <v>0</v>
      </c>
      <c r="L103" s="327">
        <f t="shared" si="65"/>
        <v>0</v>
      </c>
      <c r="M103" s="327">
        <f t="shared" si="65"/>
        <v>0</v>
      </c>
      <c r="N103" s="327">
        <f t="shared" si="65"/>
        <v>0</v>
      </c>
      <c r="O103" s="327">
        <f t="shared" si="65"/>
        <v>0</v>
      </c>
      <c r="P103" s="327">
        <f t="shared" si="65"/>
        <v>0</v>
      </c>
      <c r="Q103" s="351"/>
    </row>
    <row r="104" spans="1:20" ht="15.75">
      <c r="A104" s="622" t="s">
        <v>485</v>
      </c>
      <c r="B104" s="697" t="s">
        <v>243</v>
      </c>
      <c r="C104" s="599">
        <v>278040000</v>
      </c>
      <c r="D104" s="599">
        <f>257279846-100000</f>
        <v>257179846</v>
      </c>
      <c r="E104" s="599">
        <f>+'[3]InfMesPptoCDPEjec.rpt'!$H$103</f>
        <v>137000000</v>
      </c>
      <c r="F104" s="597">
        <f>+'INGRESOS 2014'!G30*20%</f>
        <v>188958766.20000002</v>
      </c>
      <c r="G104" s="590"/>
      <c r="H104" s="333">
        <f aca="true" t="shared" si="66" ref="H104:H113">+G104*$X$5</f>
        <v>0</v>
      </c>
      <c r="I104" s="333">
        <f>+H104*$Y$5</f>
        <v>0</v>
      </c>
      <c r="J104" s="333">
        <f aca="true" t="shared" si="67" ref="J104:J113">+I104*$Z$5</f>
        <v>0</v>
      </c>
      <c r="K104" s="333">
        <f aca="true" t="shared" si="68" ref="K104:K113">+J104*$AA$5</f>
        <v>0</v>
      </c>
      <c r="L104" s="333">
        <f aca="true" t="shared" si="69" ref="L104:L113">+K104*$AB$5</f>
        <v>0</v>
      </c>
      <c r="M104" s="333">
        <f aca="true" t="shared" si="70" ref="M104:M113">+L104*$AC$5</f>
        <v>0</v>
      </c>
      <c r="N104" s="333">
        <f aca="true" t="shared" si="71" ref="N104:N113">+M104*$AD$5</f>
        <v>0</v>
      </c>
      <c r="O104" s="333">
        <f aca="true" t="shared" si="72" ref="O104:O113">+N104*$AE$5</f>
        <v>0</v>
      </c>
      <c r="P104" s="333">
        <f aca="true" t="shared" si="73" ref="P104:P113">+O104*$AF$5</f>
        <v>0</v>
      </c>
      <c r="Q104" s="343"/>
      <c r="R104" s="346"/>
      <c r="S104" s="346"/>
      <c r="T104" s="339" t="e">
        <f>+'INGRESOS PROYECTADOS MARCO FISC'!D30-#REF!</f>
        <v>#REF!</v>
      </c>
    </row>
    <row r="105" spans="1:19" ht="15.75">
      <c r="A105" s="622"/>
      <c r="B105" s="697" t="s">
        <v>601</v>
      </c>
      <c r="C105" s="599"/>
      <c r="D105" s="599">
        <v>217000</v>
      </c>
      <c r="E105" s="599">
        <f>+'[3]InfMesPptoCDPEjec.rpt'!$H$105</f>
        <v>651000</v>
      </c>
      <c r="F105" s="597"/>
      <c r="G105" s="590">
        <f aca="true" t="shared" si="74" ref="G105:G113">+F105*$W$5</f>
        <v>0</v>
      </c>
      <c r="H105" s="333">
        <f t="shared" si="66"/>
        <v>0</v>
      </c>
      <c r="I105" s="333">
        <f>+H105*$Y$5</f>
        <v>0</v>
      </c>
      <c r="J105" s="333">
        <f t="shared" si="67"/>
        <v>0</v>
      </c>
      <c r="K105" s="333">
        <f t="shared" si="68"/>
        <v>0</v>
      </c>
      <c r="L105" s="333">
        <f t="shared" si="69"/>
        <v>0</v>
      </c>
      <c r="M105" s="333">
        <f t="shared" si="70"/>
        <v>0</v>
      </c>
      <c r="N105" s="333">
        <f t="shared" si="71"/>
        <v>0</v>
      </c>
      <c r="O105" s="333">
        <f t="shared" si="72"/>
        <v>0</v>
      </c>
      <c r="P105" s="333">
        <f t="shared" si="73"/>
        <v>0</v>
      </c>
      <c r="Q105" s="343"/>
      <c r="R105" s="346"/>
      <c r="S105" s="346"/>
    </row>
    <row r="106" spans="1:20" ht="15.75">
      <c r="A106" s="622" t="s">
        <v>486</v>
      </c>
      <c r="B106" s="697" t="s">
        <v>244</v>
      </c>
      <c r="C106" s="597">
        <v>556080000</v>
      </c>
      <c r="D106" s="599">
        <v>448667942</v>
      </c>
      <c r="E106" s="599">
        <f>+'[3]InfMesPptoCDPEjec.rpt'!$H$104</f>
        <v>240000000</v>
      </c>
      <c r="F106" s="597">
        <f>+'INGRESOS 2014'!G31*20%</f>
        <v>377969288.8</v>
      </c>
      <c r="G106" s="590"/>
      <c r="H106" s="333">
        <f t="shared" si="66"/>
        <v>0</v>
      </c>
      <c r="I106" s="333">
        <f>+H106*$Y$5</f>
        <v>0</v>
      </c>
      <c r="J106" s="333">
        <f t="shared" si="67"/>
        <v>0</v>
      </c>
      <c r="K106" s="333">
        <f t="shared" si="68"/>
        <v>0</v>
      </c>
      <c r="L106" s="333">
        <f t="shared" si="69"/>
        <v>0</v>
      </c>
      <c r="M106" s="333">
        <f t="shared" si="70"/>
        <v>0</v>
      </c>
      <c r="N106" s="333">
        <f t="shared" si="71"/>
        <v>0</v>
      </c>
      <c r="O106" s="333">
        <f t="shared" si="72"/>
        <v>0</v>
      </c>
      <c r="P106" s="333">
        <f t="shared" si="73"/>
        <v>0</v>
      </c>
      <c r="Q106" s="343"/>
      <c r="R106" s="343"/>
      <c r="S106" s="343"/>
      <c r="T106" s="339" t="e">
        <f>+'INGRESOS PROYECTADOS MARCO FISC'!D31-#REF!</f>
        <v>#REF!</v>
      </c>
    </row>
    <row r="107" spans="1:17" ht="15.75">
      <c r="A107" s="609" t="s">
        <v>487</v>
      </c>
      <c r="B107" s="702" t="s">
        <v>592</v>
      </c>
      <c r="C107" s="624">
        <f>SUM(C108:C112)</f>
        <v>510000000</v>
      </c>
      <c r="D107" s="624">
        <f>SUM(D108:D112)</f>
        <v>1397998123</v>
      </c>
      <c r="E107" s="624">
        <f aca="true" t="shared" si="75" ref="E107:P107">SUM(E108:E113)</f>
        <v>492757402.61</v>
      </c>
      <c r="F107" s="624">
        <f>SUM(F108:F113)</f>
        <v>543129537</v>
      </c>
      <c r="G107" s="592">
        <f t="shared" si="75"/>
        <v>680693511.55632</v>
      </c>
      <c r="H107" s="344">
        <f t="shared" si="75"/>
        <v>701114316.9030097</v>
      </c>
      <c r="I107" s="344">
        <f t="shared" si="75"/>
        <v>722147746.4101</v>
      </c>
      <c r="J107" s="344">
        <f t="shared" si="75"/>
        <v>743812178.802403</v>
      </c>
      <c r="K107" s="344">
        <f t="shared" si="75"/>
        <v>766126544.166475</v>
      </c>
      <c r="L107" s="344">
        <f t="shared" si="75"/>
        <v>789110340.4914693</v>
      </c>
      <c r="M107" s="344">
        <f t="shared" si="75"/>
        <v>812783650.7062134</v>
      </c>
      <c r="N107" s="344">
        <f t="shared" si="75"/>
        <v>837167160.2273997</v>
      </c>
      <c r="O107" s="344">
        <f t="shared" si="75"/>
        <v>862282175.0342218</v>
      </c>
      <c r="P107" s="344">
        <f t="shared" si="75"/>
        <v>888150640.2852484</v>
      </c>
      <c r="Q107" s="352"/>
    </row>
    <row r="108" spans="1:20" ht="15.75">
      <c r="A108" s="608" t="s">
        <v>489</v>
      </c>
      <c r="B108" s="697" t="s">
        <v>490</v>
      </c>
      <c r="C108" s="597">
        <v>150000000</v>
      </c>
      <c r="D108" s="597">
        <v>271849513</v>
      </c>
      <c r="E108" s="597">
        <f>+'[3]InfMesPptoCDPEjec.rpt'!$H$107</f>
        <v>277955800</v>
      </c>
      <c r="F108" s="597">
        <f>+'INGRESOS 2014'!G28</f>
        <v>392619537</v>
      </c>
      <c r="G108" s="590">
        <f>+'INGRESOS 2014'!H28</f>
        <v>500000000</v>
      </c>
      <c r="H108" s="333">
        <f t="shared" si="66"/>
        <v>515000000</v>
      </c>
      <c r="I108" s="333">
        <f aca="true" t="shared" si="76" ref="I108:I113">+H108*$Y$5</f>
        <v>530450000</v>
      </c>
      <c r="J108" s="333">
        <f t="shared" si="67"/>
        <v>546363500</v>
      </c>
      <c r="K108" s="333">
        <f t="shared" si="68"/>
        <v>562754405</v>
      </c>
      <c r="L108" s="333">
        <f t="shared" si="69"/>
        <v>579637037.15</v>
      </c>
      <c r="M108" s="333">
        <f t="shared" si="70"/>
        <v>597026148.2645</v>
      </c>
      <c r="N108" s="333">
        <f t="shared" si="71"/>
        <v>614936932.712435</v>
      </c>
      <c r="O108" s="333">
        <f t="shared" si="72"/>
        <v>633385040.6938081</v>
      </c>
      <c r="P108" s="333">
        <f t="shared" si="73"/>
        <v>652386591.9146223</v>
      </c>
      <c r="Q108" s="343"/>
      <c r="R108" s="343"/>
      <c r="S108" s="343"/>
      <c r="T108" s="339" t="e">
        <f>+'INGRESOS PROYECTADOS MARCO FISC'!D28-#REF!</f>
        <v>#REF!</v>
      </c>
    </row>
    <row r="109" spans="1:20" ht="29.25" hidden="1">
      <c r="A109" s="608"/>
      <c r="B109" s="697" t="s">
        <v>590</v>
      </c>
      <c r="C109" s="597"/>
      <c r="D109" s="597">
        <v>146530</v>
      </c>
      <c r="E109" s="597">
        <f>+'[3]InfMesPptoCDPEjec.rpt'!$H$91</f>
        <v>390000</v>
      </c>
      <c r="F109" s="597"/>
      <c r="G109" s="590">
        <f t="shared" si="74"/>
        <v>0</v>
      </c>
      <c r="H109" s="333">
        <f t="shared" si="66"/>
        <v>0</v>
      </c>
      <c r="I109" s="333">
        <f t="shared" si="76"/>
        <v>0</v>
      </c>
      <c r="J109" s="333">
        <f t="shared" si="67"/>
        <v>0</v>
      </c>
      <c r="K109" s="333">
        <f t="shared" si="68"/>
        <v>0</v>
      </c>
      <c r="L109" s="333">
        <f t="shared" si="69"/>
        <v>0</v>
      </c>
      <c r="M109" s="333">
        <f t="shared" si="70"/>
        <v>0</v>
      </c>
      <c r="N109" s="333">
        <f t="shared" si="71"/>
        <v>0</v>
      </c>
      <c r="O109" s="333">
        <f t="shared" si="72"/>
        <v>0</v>
      </c>
      <c r="P109" s="333">
        <f t="shared" si="73"/>
        <v>0</v>
      </c>
      <c r="Q109" s="343"/>
      <c r="R109" s="343"/>
      <c r="S109" s="343"/>
      <c r="T109" s="339" t="e">
        <f>+'INGRESOS PROYECTADOS MARCO FISC'!D58-'FUNCIONAMIENTO 2014'!#REF!-'FUNCIONAMIENTO 2014'!#REF!</f>
        <v>#REF!</v>
      </c>
    </row>
    <row r="110" spans="1:19" ht="15.75" hidden="1">
      <c r="A110" s="608"/>
      <c r="B110" s="697" t="s">
        <v>603</v>
      </c>
      <c r="C110" s="597"/>
      <c r="D110" s="597"/>
      <c r="E110" s="597">
        <f>+'[3]InfMesPptoCDPEjec.rpt'!$H$92</f>
        <v>49590</v>
      </c>
      <c r="F110" s="597"/>
      <c r="G110" s="590">
        <f t="shared" si="74"/>
        <v>0</v>
      </c>
      <c r="H110" s="333">
        <f t="shared" si="66"/>
        <v>0</v>
      </c>
      <c r="I110" s="333">
        <f t="shared" si="76"/>
        <v>0</v>
      </c>
      <c r="J110" s="333">
        <f t="shared" si="67"/>
        <v>0</v>
      </c>
      <c r="K110" s="333">
        <f t="shared" si="68"/>
        <v>0</v>
      </c>
      <c r="L110" s="333">
        <f t="shared" si="69"/>
        <v>0</v>
      </c>
      <c r="M110" s="333">
        <f t="shared" si="70"/>
        <v>0</v>
      </c>
      <c r="N110" s="333">
        <f t="shared" si="71"/>
        <v>0</v>
      </c>
      <c r="O110" s="333">
        <f t="shared" si="72"/>
        <v>0</v>
      </c>
      <c r="P110" s="333">
        <f t="shared" si="73"/>
        <v>0</v>
      </c>
      <c r="Q110" s="343"/>
      <c r="R110" s="343"/>
      <c r="S110" s="343"/>
    </row>
    <row r="111" spans="1:19" ht="29.25" hidden="1">
      <c r="A111" s="608"/>
      <c r="B111" s="697" t="s">
        <v>591</v>
      </c>
      <c r="C111" s="597"/>
      <c r="D111" s="597">
        <v>376200</v>
      </c>
      <c r="E111" s="597">
        <f>+'[3]InfMesPptoCDPEjec.rpt'!$H$94</f>
        <v>1128600</v>
      </c>
      <c r="F111" s="597"/>
      <c r="G111" s="590">
        <f t="shared" si="74"/>
        <v>0</v>
      </c>
      <c r="H111" s="333">
        <f t="shared" si="66"/>
        <v>0</v>
      </c>
      <c r="I111" s="333">
        <f t="shared" si="76"/>
        <v>0</v>
      </c>
      <c r="J111" s="333">
        <f t="shared" si="67"/>
        <v>0</v>
      </c>
      <c r="K111" s="333">
        <f t="shared" si="68"/>
        <v>0</v>
      </c>
      <c r="L111" s="333">
        <f t="shared" si="69"/>
        <v>0</v>
      </c>
      <c r="M111" s="333">
        <f t="shared" si="70"/>
        <v>0</v>
      </c>
      <c r="N111" s="333">
        <f t="shared" si="71"/>
        <v>0</v>
      </c>
      <c r="O111" s="333">
        <f t="shared" si="72"/>
        <v>0</v>
      </c>
      <c r="P111" s="333">
        <f t="shared" si="73"/>
        <v>0</v>
      </c>
      <c r="Q111" s="343"/>
      <c r="R111" s="343"/>
      <c r="S111" s="343"/>
    </row>
    <row r="112" spans="1:19" ht="15.75">
      <c r="A112" s="608" t="s">
        <v>495</v>
      </c>
      <c r="B112" s="697" t="s">
        <v>249</v>
      </c>
      <c r="C112" s="597">
        <v>360000000</v>
      </c>
      <c r="D112" s="597">
        <v>1125625880</v>
      </c>
      <c r="E112" s="597">
        <f>+'[3]InfMesPptoCDPEjec.rpt'!$H$112+7788469</f>
        <v>213233412.61</v>
      </c>
      <c r="F112" s="597">
        <f>+'INGRESOS 2014'!G9*20%</f>
        <v>150510000</v>
      </c>
      <c r="G112" s="590">
        <f>+'ICLD 2014'!H10*20%</f>
        <v>180693511.55632</v>
      </c>
      <c r="H112" s="333">
        <f t="shared" si="66"/>
        <v>186114316.90300962</v>
      </c>
      <c r="I112" s="333">
        <f t="shared" si="76"/>
        <v>191697746.41009992</v>
      </c>
      <c r="J112" s="333">
        <f t="shared" si="67"/>
        <v>197448678.8024029</v>
      </c>
      <c r="K112" s="333">
        <f t="shared" si="68"/>
        <v>203372139.166475</v>
      </c>
      <c r="L112" s="333">
        <f t="shared" si="69"/>
        <v>209473303.34146926</v>
      </c>
      <c r="M112" s="333">
        <f t="shared" si="70"/>
        <v>215757502.44171333</v>
      </c>
      <c r="N112" s="333">
        <f t="shared" si="71"/>
        <v>222230227.51496473</v>
      </c>
      <c r="O112" s="333">
        <f t="shared" si="72"/>
        <v>228897134.3404137</v>
      </c>
      <c r="P112" s="333">
        <f t="shared" si="73"/>
        <v>235764048.3706261</v>
      </c>
      <c r="Q112" s="343"/>
      <c r="R112" s="343"/>
      <c r="S112" s="343"/>
    </row>
    <row r="113" spans="1:17" ht="15.75" hidden="1">
      <c r="A113" s="610"/>
      <c r="B113" s="707" t="s">
        <v>249</v>
      </c>
      <c r="C113" s="600"/>
      <c r="D113" s="600"/>
      <c r="E113" s="600"/>
      <c r="F113" s="600">
        <f>+E113*$R$6</f>
        <v>0</v>
      </c>
      <c r="G113" s="590">
        <f t="shared" si="74"/>
        <v>0</v>
      </c>
      <c r="H113" s="333">
        <f t="shared" si="66"/>
        <v>0</v>
      </c>
      <c r="I113" s="333">
        <f t="shared" si="76"/>
        <v>0</v>
      </c>
      <c r="J113" s="333">
        <f t="shared" si="67"/>
        <v>0</v>
      </c>
      <c r="K113" s="333">
        <f t="shared" si="68"/>
        <v>0</v>
      </c>
      <c r="L113" s="333">
        <f t="shared" si="69"/>
        <v>0</v>
      </c>
      <c r="M113" s="333">
        <f t="shared" si="70"/>
        <v>0</v>
      </c>
      <c r="N113" s="333">
        <f t="shared" si="71"/>
        <v>0</v>
      </c>
      <c r="O113" s="333">
        <f t="shared" si="72"/>
        <v>0</v>
      </c>
      <c r="P113" s="333">
        <f t="shared" si="73"/>
        <v>0</v>
      </c>
      <c r="Q113" s="343"/>
    </row>
    <row r="114" spans="1:6" ht="15.75" hidden="1">
      <c r="A114" s="604"/>
      <c r="B114" s="697"/>
      <c r="C114" s="597"/>
      <c r="D114" s="597"/>
      <c r="E114" s="597"/>
      <c r="F114" s="597"/>
    </row>
    <row r="115" spans="1:6" ht="15.75" hidden="1">
      <c r="A115" s="604"/>
      <c r="B115" s="697"/>
      <c r="C115" s="597"/>
      <c r="D115" s="597"/>
      <c r="E115" s="597"/>
      <c r="F115" s="597"/>
    </row>
    <row r="116" spans="1:6" ht="15.75" hidden="1">
      <c r="A116" s="604"/>
      <c r="B116" s="697"/>
      <c r="C116" s="597"/>
      <c r="D116" s="597"/>
      <c r="E116" s="597"/>
      <c r="F116" s="597"/>
    </row>
    <row r="117" spans="1:16" ht="15.75" hidden="1">
      <c r="A117" s="604"/>
      <c r="B117" s="697"/>
      <c r="C117" s="597"/>
      <c r="D117" s="597"/>
      <c r="E117" s="597">
        <v>2012</v>
      </c>
      <c r="F117" s="597">
        <v>2013</v>
      </c>
      <c r="G117" s="335">
        <v>2014</v>
      </c>
      <c r="H117" s="335">
        <f>+G117+1</f>
        <v>2015</v>
      </c>
      <c r="I117" s="335">
        <f aca="true" t="shared" si="77" ref="I117:P117">+H117+1</f>
        <v>2016</v>
      </c>
      <c r="J117" s="335">
        <f t="shared" si="77"/>
        <v>2017</v>
      </c>
      <c r="K117" s="335">
        <f t="shared" si="77"/>
        <v>2018</v>
      </c>
      <c r="L117" s="335">
        <f t="shared" si="77"/>
        <v>2019</v>
      </c>
      <c r="M117" s="335">
        <f t="shared" si="77"/>
        <v>2020</v>
      </c>
      <c r="N117" s="335">
        <f t="shared" si="77"/>
        <v>2021</v>
      </c>
      <c r="O117" s="335">
        <f t="shared" si="77"/>
        <v>2022</v>
      </c>
      <c r="P117" s="335">
        <f t="shared" si="77"/>
        <v>2023</v>
      </c>
    </row>
    <row r="118" spans="1:17" ht="15" hidden="1">
      <c r="A118" s="604"/>
      <c r="B118" s="697" t="s">
        <v>243</v>
      </c>
      <c r="C118" s="599">
        <v>278040000</v>
      </c>
      <c r="D118" s="599">
        <f>257279846-100000</f>
        <v>257179846</v>
      </c>
      <c r="E118" s="599">
        <f>+'INGRESOS PROYECTADOS MARCO FISC'!C30*20%</f>
        <v>278040000</v>
      </c>
      <c r="F118" s="599">
        <f>+'INGRESOS PROYECTADOS MARCO FISC'!D30*20%</f>
        <v>206381200</v>
      </c>
      <c r="G118" s="593">
        <f>+'INGRESOS PROYECTADOS MARCO FISC'!E30*20%</f>
        <v>136572636</v>
      </c>
      <c r="H118" s="345">
        <f>+'INGRESOS PROYECTADOS MARCO FISC'!F30*20%</f>
        <v>322100000</v>
      </c>
      <c r="I118" s="345">
        <f>+'INGRESOS PROYECTADOS MARCO FISC'!G30*20%</f>
        <v>331763000</v>
      </c>
      <c r="J118" s="345">
        <f>+'INGRESOS PROYECTADOS MARCO FISC'!H30*20%</f>
        <v>341715890</v>
      </c>
      <c r="K118" s="345">
        <f>+'INGRESOS PROYECTADOS MARCO FISC'!I30*20%</f>
        <v>351967366.70000005</v>
      </c>
      <c r="L118" s="345">
        <f>+'INGRESOS PROYECTADOS MARCO FISC'!J30*20%</f>
        <v>362526387.70100003</v>
      </c>
      <c r="M118" s="345">
        <f>+'INGRESOS PROYECTADOS MARCO FISC'!K30*20%</f>
        <v>373402179.33203006</v>
      </c>
      <c r="N118" s="345">
        <f>+'INGRESOS PROYECTADOS MARCO FISC'!L30*20%</f>
        <v>384604244.71199095</v>
      </c>
      <c r="O118" s="345">
        <f>+'INGRESOS PROYECTADOS MARCO FISC'!M30*20%</f>
        <v>396142372.0533507</v>
      </c>
      <c r="P118" s="345">
        <f>+'INGRESOS PROYECTADOS MARCO FISC'!N30*20%</f>
        <v>408026643.2149513</v>
      </c>
      <c r="Q118" s="346"/>
    </row>
    <row r="119" spans="1:17" ht="15" hidden="1">
      <c r="A119" s="604"/>
      <c r="B119" s="697" t="s">
        <v>601</v>
      </c>
      <c r="C119" s="599"/>
      <c r="D119" s="599">
        <v>217000</v>
      </c>
      <c r="E119" s="599">
        <v>651000</v>
      </c>
      <c r="F119" s="599">
        <v>651000</v>
      </c>
      <c r="G119" s="593">
        <v>651000</v>
      </c>
      <c r="H119" s="345">
        <v>651000</v>
      </c>
      <c r="I119" s="345">
        <v>651000</v>
      </c>
      <c r="J119" s="345">
        <v>651000</v>
      </c>
      <c r="K119" s="345">
        <v>651000</v>
      </c>
      <c r="L119" s="345">
        <v>651000</v>
      </c>
      <c r="M119" s="345">
        <v>651000</v>
      </c>
      <c r="N119" s="345">
        <v>651000</v>
      </c>
      <c r="O119" s="345">
        <v>651000</v>
      </c>
      <c r="P119" s="345">
        <v>651000</v>
      </c>
      <c r="Q119" s="346"/>
    </row>
    <row r="120" spans="1:17" ht="15.75" hidden="1">
      <c r="A120" s="604"/>
      <c r="B120" s="697" t="s">
        <v>244</v>
      </c>
      <c r="C120" s="597">
        <v>556080000</v>
      </c>
      <c r="D120" s="599">
        <v>448667942</v>
      </c>
      <c r="E120" s="599">
        <f>+'INGRESOS PROYECTADOS MARCO FISC'!C31*20%</f>
        <v>556080000</v>
      </c>
      <c r="F120" s="599">
        <f>+'INGRESOS PROYECTADOS MARCO FISC'!D31*20%</f>
        <v>232762400</v>
      </c>
      <c r="G120" s="593">
        <f>+'INGRESOS PROYECTADOS MARCO FISC'!E31*20%</f>
        <v>239745272</v>
      </c>
      <c r="H120" s="345">
        <f>+'INGRESOS PROYECTADOS MARCO FISC'!F31*20%</f>
        <v>684191000</v>
      </c>
      <c r="I120" s="345">
        <f>+'INGRESOS PROYECTADOS MARCO FISC'!G31*20%</f>
        <v>704716730</v>
      </c>
      <c r="J120" s="345">
        <f>+'INGRESOS PROYECTADOS MARCO FISC'!H31*20%</f>
        <v>725858231.9000001</v>
      </c>
      <c r="K120" s="345">
        <f>+'INGRESOS PROYECTADOS MARCO FISC'!I31*20%</f>
        <v>747633978.8570001</v>
      </c>
      <c r="L120" s="345">
        <f>+'INGRESOS PROYECTADOS MARCO FISC'!J31*20%</f>
        <v>770062998.2227101</v>
      </c>
      <c r="M120" s="345">
        <f>+'INGRESOS PROYECTADOS MARCO FISC'!K31*20%</f>
        <v>793164888.1693915</v>
      </c>
      <c r="N120" s="345">
        <f>+'INGRESOS PROYECTADOS MARCO FISC'!L31*20%</f>
        <v>816959834.8144733</v>
      </c>
      <c r="O120" s="345">
        <f>+'INGRESOS PROYECTADOS MARCO FISC'!M31*20%</f>
        <v>841468629.8589076</v>
      </c>
      <c r="P120" s="345">
        <f>+'INGRESOS PROYECTADOS MARCO FISC'!N31*20%</f>
        <v>866712688.7546748</v>
      </c>
      <c r="Q120" s="346"/>
    </row>
    <row r="121" spans="1:17" ht="15.75" hidden="1">
      <c r="A121" s="604"/>
      <c r="B121" s="700" t="s">
        <v>592</v>
      </c>
      <c r="C121" s="598">
        <f aca="true" t="shared" si="78" ref="C121:P121">SUM(C122:C126)</f>
        <v>510000000</v>
      </c>
      <c r="D121" s="598">
        <f t="shared" si="78"/>
        <v>1397998123</v>
      </c>
      <c r="E121" s="598">
        <f t="shared" si="78"/>
        <v>823568190</v>
      </c>
      <c r="F121" s="598">
        <f t="shared" si="78"/>
        <v>478128390</v>
      </c>
      <c r="G121" s="592">
        <f t="shared" si="78"/>
        <v>492425196</v>
      </c>
      <c r="H121" s="344">
        <f t="shared" si="78"/>
        <v>720856432.1800001</v>
      </c>
      <c r="I121" s="344">
        <f t="shared" si="78"/>
        <v>742435079.4454</v>
      </c>
      <c r="J121" s="344">
        <f t="shared" si="78"/>
        <v>764661086.128762</v>
      </c>
      <c r="K121" s="344">
        <f t="shared" si="78"/>
        <v>787553873.012625</v>
      </c>
      <c r="L121" s="344">
        <f t="shared" si="78"/>
        <v>811133443.5030037</v>
      </c>
      <c r="M121" s="344">
        <f t="shared" si="78"/>
        <v>835420401.1080937</v>
      </c>
      <c r="N121" s="344">
        <f t="shared" si="78"/>
        <v>860435967.4413366</v>
      </c>
      <c r="O121" s="344">
        <f t="shared" si="78"/>
        <v>868291216.3166418</v>
      </c>
      <c r="P121" s="344">
        <f t="shared" si="78"/>
        <v>894292907.1061411</v>
      </c>
      <c r="Q121" s="352"/>
    </row>
    <row r="122" spans="1:22" s="335" customFormat="1" ht="15.75" hidden="1">
      <c r="A122" s="604"/>
      <c r="B122" s="697" t="s">
        <v>490</v>
      </c>
      <c r="C122" s="597">
        <v>150000000</v>
      </c>
      <c r="D122" s="597">
        <v>271849513</v>
      </c>
      <c r="E122" s="597">
        <f>+'INGRESOS PROYECTADOS MARCO FISC'!C28</f>
        <v>262000000</v>
      </c>
      <c r="F122" s="597">
        <f>+'INGRESOS PROYECTADOS MARCO FISC'!D28</f>
        <v>269860000</v>
      </c>
      <c r="G122" s="590">
        <f>+'INGRESOS PROYECTADOS MARCO FISC'!E28</f>
        <v>277955800</v>
      </c>
      <c r="H122" s="333">
        <f>+'INGRESOS PROYECTADOS MARCO FISC'!F28</f>
        <v>500000000</v>
      </c>
      <c r="I122" s="333">
        <f>+'INGRESOS PROYECTADOS MARCO FISC'!G28</f>
        <v>515000000</v>
      </c>
      <c r="J122" s="333">
        <f>+'INGRESOS PROYECTADOS MARCO FISC'!H28</f>
        <v>530450000</v>
      </c>
      <c r="K122" s="333">
        <f>+'INGRESOS PROYECTADOS MARCO FISC'!I28</f>
        <v>546363500</v>
      </c>
      <c r="L122" s="333">
        <f>+'INGRESOS PROYECTADOS MARCO FISC'!J28</f>
        <v>562754405</v>
      </c>
      <c r="M122" s="333">
        <f>+'INGRESOS PROYECTADOS MARCO FISC'!K28</f>
        <v>579637037.15</v>
      </c>
      <c r="N122" s="333">
        <f>+'INGRESOS PROYECTADOS MARCO FISC'!L28</f>
        <v>597026148.2645</v>
      </c>
      <c r="O122" s="333">
        <f>+'INGRESOS PROYECTADOS MARCO FISC'!M28</f>
        <v>597026148.2645</v>
      </c>
      <c r="P122" s="333">
        <f>+'INGRESOS PROYECTADOS MARCO FISC'!N28</f>
        <v>614936932.712435</v>
      </c>
      <c r="Q122" s="343"/>
      <c r="R122" s="339"/>
      <c r="S122" s="339"/>
      <c r="T122" s="339"/>
      <c r="U122" s="347"/>
      <c r="V122" s="336"/>
    </row>
    <row r="123" spans="1:22" s="335" customFormat="1" ht="29.25" hidden="1">
      <c r="A123" s="604"/>
      <c r="B123" s="697" t="s">
        <v>590</v>
      </c>
      <c r="C123" s="597"/>
      <c r="D123" s="597">
        <v>146530</v>
      </c>
      <c r="E123" s="597">
        <v>390000</v>
      </c>
      <c r="F123" s="597">
        <v>390000</v>
      </c>
      <c r="G123" s="590">
        <v>390000</v>
      </c>
      <c r="H123" s="333">
        <v>390000</v>
      </c>
      <c r="I123" s="333">
        <v>390000</v>
      </c>
      <c r="J123" s="333">
        <v>390000</v>
      </c>
      <c r="K123" s="333">
        <v>390000</v>
      </c>
      <c r="L123" s="333">
        <v>390000</v>
      </c>
      <c r="M123" s="333">
        <v>390000</v>
      </c>
      <c r="N123" s="333">
        <v>390000</v>
      </c>
      <c r="O123" s="333">
        <v>390000</v>
      </c>
      <c r="P123" s="333">
        <v>390000</v>
      </c>
      <c r="Q123" s="343"/>
      <c r="R123" s="339"/>
      <c r="S123" s="339"/>
      <c r="T123" s="339"/>
      <c r="U123" s="347"/>
      <c r="V123" s="336"/>
    </row>
    <row r="124" spans="1:17" ht="15.75" hidden="1">
      <c r="A124" s="607"/>
      <c r="B124" s="697" t="s">
        <v>603</v>
      </c>
      <c r="C124" s="597"/>
      <c r="D124" s="597"/>
      <c r="E124" s="597">
        <v>49590</v>
      </c>
      <c r="F124" s="597">
        <v>49590</v>
      </c>
      <c r="G124" s="590">
        <v>49590</v>
      </c>
      <c r="H124" s="333">
        <v>49590</v>
      </c>
      <c r="I124" s="333">
        <v>49590</v>
      </c>
      <c r="J124" s="333">
        <v>49590</v>
      </c>
      <c r="K124" s="333">
        <v>49590</v>
      </c>
      <c r="L124" s="333">
        <v>49590</v>
      </c>
      <c r="M124" s="333">
        <v>49590</v>
      </c>
      <c r="N124" s="333">
        <v>49590</v>
      </c>
      <c r="O124" s="333">
        <v>49590</v>
      </c>
      <c r="P124" s="333">
        <v>49590</v>
      </c>
      <c r="Q124" s="343"/>
    </row>
    <row r="125" spans="1:17" ht="29.25" hidden="1">
      <c r="A125" s="607"/>
      <c r="B125" s="697" t="s">
        <v>591</v>
      </c>
      <c r="C125" s="597"/>
      <c r="D125" s="597">
        <v>376200</v>
      </c>
      <c r="E125" s="597">
        <v>1128600</v>
      </c>
      <c r="F125" s="597">
        <v>1128600</v>
      </c>
      <c r="G125" s="590">
        <v>1128600</v>
      </c>
      <c r="H125" s="333">
        <v>1128600</v>
      </c>
      <c r="I125" s="333">
        <v>1128600</v>
      </c>
      <c r="J125" s="333">
        <v>1128600</v>
      </c>
      <c r="K125" s="333">
        <v>1128600</v>
      </c>
      <c r="L125" s="333">
        <v>1128600</v>
      </c>
      <c r="M125" s="333">
        <v>1128600</v>
      </c>
      <c r="N125" s="333">
        <v>1128600</v>
      </c>
      <c r="O125" s="333">
        <v>1128600</v>
      </c>
      <c r="P125" s="333">
        <v>1128600</v>
      </c>
      <c r="Q125" s="343"/>
    </row>
    <row r="126" spans="1:17" ht="16.5" hidden="1" thickBot="1">
      <c r="A126" s="607"/>
      <c r="B126" s="701" t="s">
        <v>249</v>
      </c>
      <c r="C126" s="611">
        <v>360000000</v>
      </c>
      <c r="D126" s="611">
        <v>1125625880</v>
      </c>
      <c r="E126" s="611">
        <f>+'INGRESOS PROYECTADOS MARCO FISC'!C9*20%</f>
        <v>560000000</v>
      </c>
      <c r="F126" s="611">
        <f>+'INGRESOS PROYECTADOS MARCO FISC'!F9*20%</f>
        <v>206700200</v>
      </c>
      <c r="G126" s="590">
        <f>+'INGRESOS PROYECTADOS MARCO FISC'!G9*20%</f>
        <v>212901206</v>
      </c>
      <c r="H126" s="333">
        <f>+'INGRESOS PROYECTADOS MARCO FISC'!H9*20%</f>
        <v>219288242.18000004</v>
      </c>
      <c r="I126" s="333">
        <f>+'INGRESOS PROYECTADOS MARCO FISC'!I9*20%</f>
        <v>225866889.44540006</v>
      </c>
      <c r="J126" s="333">
        <f>+'INGRESOS PROYECTADOS MARCO FISC'!J9*20%</f>
        <v>232642896.12876207</v>
      </c>
      <c r="K126" s="333">
        <f>+'INGRESOS PROYECTADOS MARCO FISC'!K9*20%</f>
        <v>239622183.01262495</v>
      </c>
      <c r="L126" s="333">
        <f>+'INGRESOS PROYECTADOS MARCO FISC'!L9*20%</f>
        <v>246810848.50300372</v>
      </c>
      <c r="M126" s="333">
        <f>+'INGRESOS PROYECTADOS MARCO FISC'!M9*20%</f>
        <v>254215173.9580938</v>
      </c>
      <c r="N126" s="333">
        <f>+'INGRESOS PROYECTADOS MARCO FISC'!N9*20%</f>
        <v>261841629.1768366</v>
      </c>
      <c r="O126" s="333">
        <f>+'INGRESOS PROYECTADOS MARCO FISC'!O9*20%</f>
        <v>269696878.0521417</v>
      </c>
      <c r="P126" s="333">
        <f>+'INGRESOS PROYECTADOS MARCO FISC'!P9*20%</f>
        <v>277787784.393706</v>
      </c>
      <c r="Q126" s="343"/>
    </row>
    <row r="127" spans="1:6" ht="15.75">
      <c r="A127" s="601"/>
      <c r="B127" s="711"/>
      <c r="C127" s="602"/>
      <c r="D127" s="602"/>
      <c r="E127" s="602"/>
      <c r="F127" s="602"/>
    </row>
    <row r="128" spans="1:6" ht="15.75">
      <c r="A128" s="601"/>
      <c r="B128" s="711"/>
      <c r="C128" s="602"/>
      <c r="D128" s="602"/>
      <c r="E128" s="602"/>
      <c r="F128" s="602"/>
    </row>
    <row r="129" spans="1:6" ht="15.75">
      <c r="A129" s="601"/>
      <c r="B129" s="711"/>
      <c r="C129" s="602"/>
      <c r="D129" s="602"/>
      <c r="E129" s="602"/>
      <c r="F129" s="602"/>
    </row>
    <row r="130" spans="1:6" ht="15.75">
      <c r="A130" s="601"/>
      <c r="B130" s="711"/>
      <c r="C130" s="602"/>
      <c r="D130" s="602"/>
      <c r="E130" s="602"/>
      <c r="F130" s="602"/>
    </row>
    <row r="131" spans="1:6" ht="15.75">
      <c r="A131" s="601"/>
      <c r="B131" s="711"/>
      <c r="C131" s="602"/>
      <c r="D131" s="602"/>
      <c r="E131" s="602"/>
      <c r="F131" s="602"/>
    </row>
    <row r="132" spans="1:6" ht="15.75">
      <c r="A132" s="601"/>
      <c r="B132" s="711"/>
      <c r="C132" s="602"/>
      <c r="D132" s="602"/>
      <c r="E132" s="602"/>
      <c r="F132" s="602"/>
    </row>
    <row r="133" spans="1:6" ht="15.75">
      <c r="A133" s="601"/>
      <c r="B133" s="711"/>
      <c r="C133" s="602"/>
      <c r="D133" s="602"/>
      <c r="E133" s="602"/>
      <c r="F133" s="602"/>
    </row>
    <row r="134" spans="1:6" ht="15.75">
      <c r="A134" s="601"/>
      <c r="B134" s="711"/>
      <c r="C134" s="602"/>
      <c r="D134" s="602"/>
      <c r="E134" s="602"/>
      <c r="F134" s="602"/>
    </row>
    <row r="135" spans="1:6" ht="15.75">
      <c r="A135" s="601"/>
      <c r="B135" s="711"/>
      <c r="C135" s="602"/>
      <c r="D135" s="602"/>
      <c r="E135" s="602"/>
      <c r="F135" s="602"/>
    </row>
    <row r="136" spans="1:6" ht="15.75">
      <c r="A136" s="601"/>
      <c r="B136" s="711"/>
      <c r="C136" s="602"/>
      <c r="D136" s="602"/>
      <c r="E136" s="602"/>
      <c r="F136" s="602"/>
    </row>
    <row r="137" spans="1:6" ht="15.75">
      <c r="A137" s="601"/>
      <c r="B137" s="711"/>
      <c r="C137" s="602"/>
      <c r="D137" s="602"/>
      <c r="E137" s="602"/>
      <c r="F137" s="602"/>
    </row>
    <row r="138" spans="1:6" ht="15.75">
      <c r="A138" s="601"/>
      <c r="B138" s="711"/>
      <c r="C138" s="602"/>
      <c r="D138" s="602"/>
      <c r="E138" s="602"/>
      <c r="F138" s="602"/>
    </row>
    <row r="139" spans="1:6" ht="15.75">
      <c r="A139" s="601"/>
      <c r="B139" s="711"/>
      <c r="C139" s="602"/>
      <c r="D139" s="602"/>
      <c r="E139" s="602"/>
      <c r="F139" s="602"/>
    </row>
    <row r="140" spans="1:6" ht="15.75">
      <c r="A140" s="601"/>
      <c r="B140" s="711"/>
      <c r="C140" s="602"/>
      <c r="D140" s="602"/>
      <c r="E140" s="602"/>
      <c r="F140" s="602"/>
    </row>
    <row r="141" spans="1:6" ht="15.75">
      <c r="A141" s="601"/>
      <c r="B141" s="711"/>
      <c r="C141" s="602"/>
      <c r="D141" s="602"/>
      <c r="E141" s="602"/>
      <c r="F141" s="602"/>
    </row>
    <row r="142" spans="1:6" ht="15.75">
      <c r="A142" s="601"/>
      <c r="B142" s="711"/>
      <c r="C142" s="602"/>
      <c r="D142" s="602"/>
      <c r="E142" s="602"/>
      <c r="F142" s="602"/>
    </row>
    <row r="143" spans="1:6" ht="15.75">
      <c r="A143" s="601"/>
      <c r="B143" s="711"/>
      <c r="C143" s="602"/>
      <c r="D143" s="602"/>
      <c r="E143" s="602"/>
      <c r="F143" s="602"/>
    </row>
    <row r="144" spans="1:6" ht="15.75">
      <c r="A144" s="601"/>
      <c r="B144" s="711"/>
      <c r="C144" s="602"/>
      <c r="D144" s="602"/>
      <c r="E144" s="602"/>
      <c r="F144" s="602"/>
    </row>
    <row r="145" spans="1:6" ht="15.75">
      <c r="A145" s="601"/>
      <c r="B145" s="711"/>
      <c r="C145" s="602"/>
      <c r="D145" s="602"/>
      <c r="E145" s="602"/>
      <c r="F145" s="602"/>
    </row>
    <row r="146" spans="1:6" ht="15.75">
      <c r="A146" s="601"/>
      <c r="B146" s="711"/>
      <c r="C146" s="602"/>
      <c r="D146" s="602"/>
      <c r="E146" s="602"/>
      <c r="F146" s="602"/>
    </row>
    <row r="147" spans="1:6" ht="15.75">
      <c r="A147" s="601"/>
      <c r="B147" s="711"/>
      <c r="C147" s="602"/>
      <c r="D147" s="602"/>
      <c r="E147" s="602"/>
      <c r="F147" s="602"/>
    </row>
    <row r="148" spans="1:6" ht="15.75">
      <c r="A148" s="601"/>
      <c r="B148" s="711"/>
      <c r="C148" s="602"/>
      <c r="D148" s="602"/>
      <c r="E148" s="602"/>
      <c r="F148" s="602"/>
    </row>
    <row r="149" spans="1:6" ht="21">
      <c r="A149" s="594"/>
      <c r="B149" s="712"/>
      <c r="C149" s="595"/>
      <c r="D149" s="595"/>
      <c r="E149" s="595"/>
      <c r="F149" s="595"/>
    </row>
  </sheetData>
  <sheetProtection/>
  <mergeCells count="3">
    <mergeCell ref="A4:C4"/>
    <mergeCell ref="B1:F1"/>
    <mergeCell ref="B2:F2"/>
  </mergeCells>
  <printOptions horizontalCentered="1"/>
  <pageMargins left="0.708661417322835" right="0.708661417322835" top="3.07480315" bottom="2.141732283" header="1" footer="0.31496062992126"/>
  <pageSetup horizontalDpi="300" verticalDpi="300" orientation="portrait" paperSize="17" scale="95"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CB357"/>
  <sheetViews>
    <sheetView tabSelected="1" zoomScale="80" zoomScaleNormal="80" zoomScalePageLayoutView="0" workbookViewId="0" topLeftCell="B1">
      <pane ySplit="2" topLeftCell="A176" activePane="bottomLeft" state="frozen"/>
      <selection pane="topLeft" activeCell="B1" sqref="B1"/>
      <selection pane="bottomLeft" activeCell="M8" sqref="M8"/>
    </sheetView>
  </sheetViews>
  <sheetFormatPr defaultColWidth="11.421875" defaultRowHeight="15"/>
  <cols>
    <col min="1" max="1" width="0" style="412" hidden="1" customWidth="1"/>
    <col min="2" max="2" width="13.28125" style="412" customWidth="1"/>
    <col min="3" max="3" width="21.8515625" style="412" hidden="1" customWidth="1"/>
    <col min="4" max="4" width="14.28125" style="412" hidden="1" customWidth="1"/>
    <col min="5" max="5" width="14.421875" style="412" hidden="1" customWidth="1"/>
    <col min="6" max="6" width="0" style="412" hidden="1" customWidth="1"/>
    <col min="7" max="7" width="12.00390625" style="412" customWidth="1"/>
    <col min="8" max="8" width="0" style="683" hidden="1" customWidth="1"/>
    <col min="9" max="9" width="24.00390625" style="763" customWidth="1"/>
    <col min="10" max="10" width="16.140625" style="412" hidden="1" customWidth="1"/>
    <col min="11" max="11" width="7.57421875" style="412" hidden="1" customWidth="1"/>
    <col min="12" max="12" width="10.00390625" style="412" hidden="1" customWidth="1"/>
    <col min="13" max="13" width="16.28125" style="412" customWidth="1"/>
    <col min="14" max="14" width="7.421875" style="412" hidden="1" customWidth="1"/>
    <col min="15" max="15" width="30.140625" style="868" hidden="1" customWidth="1"/>
    <col min="16" max="16" width="13.00390625" style="467" hidden="1" customWidth="1"/>
    <col min="17" max="20" width="11.57421875" style="467" hidden="1" customWidth="1"/>
    <col min="21" max="21" width="12.8515625" style="467" hidden="1" customWidth="1"/>
    <col min="22" max="27" width="11.57421875" style="467" hidden="1" customWidth="1"/>
    <col min="28" max="28" width="13.8515625" style="467" hidden="1" customWidth="1"/>
    <col min="29" max="29" width="0" style="467" hidden="1" customWidth="1"/>
    <col min="30" max="30" width="12.28125" style="467" hidden="1" customWidth="1"/>
    <col min="31" max="31" width="11.57421875" style="467" hidden="1" customWidth="1"/>
    <col min="32" max="32" width="14.28125" style="467" hidden="1" customWidth="1"/>
    <col min="33" max="33" width="12.28125" style="467" hidden="1" customWidth="1"/>
    <col min="34" max="34" width="13.8515625" style="467" hidden="1" customWidth="1"/>
    <col min="35" max="35" width="8.7109375" style="467" hidden="1" customWidth="1"/>
    <col min="36" max="36" width="10.140625" style="467" hidden="1" customWidth="1"/>
    <col min="37" max="37" width="7.7109375" style="467" hidden="1" customWidth="1"/>
    <col min="38" max="38" width="11.8515625" style="467" hidden="1" customWidth="1"/>
    <col min="39" max="39" width="11.57421875" style="467" hidden="1" customWidth="1"/>
    <col min="40" max="40" width="9.57421875" style="467" hidden="1" customWidth="1"/>
    <col min="41" max="41" width="10.28125" style="467" hidden="1" customWidth="1"/>
    <col min="42" max="42" width="10.57421875" style="467" hidden="1" customWidth="1"/>
    <col min="43" max="43" width="13.28125" style="467" hidden="1" customWidth="1"/>
    <col min="44" max="47" width="11.57421875" style="467" hidden="1" customWidth="1"/>
    <col min="48" max="48" width="14.57421875" style="467" hidden="1" customWidth="1"/>
    <col min="49" max="49" width="16.28125" style="467" customWidth="1"/>
    <col min="50" max="50" width="11.8515625" style="766" hidden="1" customWidth="1"/>
    <col min="51" max="51" width="13.8515625" style="742" hidden="1" customWidth="1"/>
    <col min="52" max="52" width="9.7109375" style="742" hidden="1" customWidth="1"/>
    <col min="53" max="53" width="23.8515625" style="742" customWidth="1"/>
    <col min="54" max="56" width="13.8515625" style="412" bestFit="1" customWidth="1"/>
    <col min="57" max="57" width="12.00390625" style="412" bestFit="1" customWidth="1"/>
    <col min="58" max="58" width="17.57421875" style="412" customWidth="1"/>
    <col min="59" max="59" width="15.7109375" style="412" customWidth="1"/>
    <col min="60" max="60" width="13.00390625" style="412" customWidth="1"/>
    <col min="61" max="76" width="11.421875" style="412" customWidth="1"/>
    <col min="77" max="77" width="15.7109375" style="412" customWidth="1"/>
    <col min="78" max="16384" width="11.421875" style="412" customWidth="1"/>
  </cols>
  <sheetData>
    <row r="1" spans="2:77" ht="15" customHeight="1">
      <c r="B1" s="1422" t="s">
        <v>1767</v>
      </c>
      <c r="C1" s="1422"/>
      <c r="D1" s="1422"/>
      <c r="E1" s="1422"/>
      <c r="F1" s="1422"/>
      <c r="G1" s="1422"/>
      <c r="H1" s="1422"/>
      <c r="I1" s="1422"/>
      <c r="J1" s="1422"/>
      <c r="K1" s="1422"/>
      <c r="L1" s="1422"/>
      <c r="M1" s="1422"/>
      <c r="N1" s="1422"/>
      <c r="O1" s="1422"/>
      <c r="P1" s="1422"/>
      <c r="Q1" s="1422"/>
      <c r="R1" s="1422"/>
      <c r="S1" s="1422"/>
      <c r="T1" s="1422"/>
      <c r="U1" s="1422"/>
      <c r="V1" s="1422"/>
      <c r="W1" s="1422"/>
      <c r="X1" s="1422"/>
      <c r="Y1" s="1422"/>
      <c r="Z1" s="1422"/>
      <c r="AA1" s="1422"/>
      <c r="AB1" s="1422"/>
      <c r="AC1" s="1422"/>
      <c r="AD1" s="1422"/>
      <c r="AE1" s="1422"/>
      <c r="AF1" s="1422"/>
      <c r="AG1" s="1422"/>
      <c r="AH1" s="1422"/>
      <c r="AI1" s="1422"/>
      <c r="AJ1" s="1422"/>
      <c r="AK1" s="1422"/>
      <c r="AL1" s="1422"/>
      <c r="AM1" s="1422"/>
      <c r="AN1" s="1422"/>
      <c r="AO1" s="1422"/>
      <c r="AP1" s="1422"/>
      <c r="AQ1" s="1422"/>
      <c r="AR1" s="1422"/>
      <c r="AS1" s="1422"/>
      <c r="AT1" s="1422"/>
      <c r="AU1" s="1422"/>
      <c r="AV1" s="1422"/>
      <c r="AW1" s="1422"/>
      <c r="AX1" s="1422"/>
      <c r="AY1" s="1422"/>
      <c r="AZ1" s="1422"/>
      <c r="BA1" s="1422"/>
      <c r="BB1" s="1422"/>
      <c r="BC1" s="1422"/>
      <c r="BD1" s="1422"/>
      <c r="BE1" s="1422"/>
      <c r="BF1" s="1422"/>
      <c r="BG1" s="1422"/>
      <c r="BH1" s="1422"/>
      <c r="BI1" s="1422"/>
      <c r="BJ1" s="1422"/>
      <c r="BK1" s="1422"/>
      <c r="BL1" s="1422"/>
      <c r="BM1" s="1422"/>
      <c r="BN1" s="1422"/>
      <c r="BO1" s="1422"/>
      <c r="BP1" s="1422"/>
      <c r="BQ1" s="1422"/>
      <c r="BR1" s="1422"/>
      <c r="BS1" s="1422"/>
      <c r="BT1" s="1422"/>
      <c r="BU1" s="1422"/>
      <c r="BV1" s="1422"/>
      <c r="BW1" s="1422"/>
      <c r="BX1" s="1422"/>
      <c r="BY1" s="1422"/>
    </row>
    <row r="2" spans="2:77" ht="15" customHeight="1">
      <c r="B2" s="1422"/>
      <c r="C2" s="1422"/>
      <c r="D2" s="1422"/>
      <c r="E2" s="1422"/>
      <c r="F2" s="1422"/>
      <c r="G2" s="1422"/>
      <c r="H2" s="1422"/>
      <c r="I2" s="1422"/>
      <c r="J2" s="1422"/>
      <c r="K2" s="1422"/>
      <c r="L2" s="1422"/>
      <c r="M2" s="1422"/>
      <c r="N2" s="1422"/>
      <c r="O2" s="1422"/>
      <c r="P2" s="1422"/>
      <c r="Q2" s="1422"/>
      <c r="R2" s="1422"/>
      <c r="S2" s="1422"/>
      <c r="T2" s="1422"/>
      <c r="U2" s="1422"/>
      <c r="V2" s="1422"/>
      <c r="W2" s="1422"/>
      <c r="X2" s="1422"/>
      <c r="Y2" s="1422"/>
      <c r="Z2" s="1422"/>
      <c r="AA2" s="1422"/>
      <c r="AB2" s="1422"/>
      <c r="AC2" s="1422"/>
      <c r="AD2" s="1422"/>
      <c r="AE2" s="1422"/>
      <c r="AF2" s="1422"/>
      <c r="AG2" s="1422"/>
      <c r="AH2" s="1422"/>
      <c r="AI2" s="1422"/>
      <c r="AJ2" s="1422"/>
      <c r="AK2" s="1422"/>
      <c r="AL2" s="1422"/>
      <c r="AM2" s="1422"/>
      <c r="AN2" s="1422"/>
      <c r="AO2" s="1422"/>
      <c r="AP2" s="1422"/>
      <c r="AQ2" s="1422"/>
      <c r="AR2" s="1422"/>
      <c r="AS2" s="1422"/>
      <c r="AT2" s="1422"/>
      <c r="AU2" s="1422"/>
      <c r="AV2" s="1422"/>
      <c r="AW2" s="1422"/>
      <c r="AX2" s="1422"/>
      <c r="AY2" s="1422"/>
      <c r="AZ2" s="1422"/>
      <c r="BA2" s="1422"/>
      <c r="BB2" s="1422"/>
      <c r="BC2" s="1422"/>
      <c r="BD2" s="1422"/>
      <c r="BE2" s="1422"/>
      <c r="BF2" s="1422"/>
      <c r="BG2" s="1422"/>
      <c r="BH2" s="1422"/>
      <c r="BI2" s="1422"/>
      <c r="BJ2" s="1422"/>
      <c r="BK2" s="1422"/>
      <c r="BL2" s="1422"/>
      <c r="BM2" s="1422"/>
      <c r="BN2" s="1422"/>
      <c r="BO2" s="1422"/>
      <c r="BP2" s="1422"/>
      <c r="BQ2" s="1422"/>
      <c r="BR2" s="1422"/>
      <c r="BS2" s="1422"/>
      <c r="BT2" s="1422"/>
      <c r="BU2" s="1422"/>
      <c r="BV2" s="1422"/>
      <c r="BW2" s="1422"/>
      <c r="BX2" s="1422"/>
      <c r="BY2" s="1422"/>
    </row>
    <row r="3" spans="1:80" ht="24" customHeight="1">
      <c r="A3" s="1147" t="s">
        <v>618</v>
      </c>
      <c r="B3" s="1148"/>
      <c r="C3" s="1148"/>
      <c r="D3" s="1148"/>
      <c r="E3" s="1148"/>
      <c r="F3" s="1148"/>
      <c r="G3" s="1148"/>
      <c r="H3" s="1148"/>
      <c r="I3" s="1148"/>
      <c r="J3" s="1148"/>
      <c r="K3" s="1148"/>
      <c r="L3" s="1148"/>
      <c r="M3" s="1148"/>
      <c r="N3" s="1149"/>
      <c r="O3" s="1150"/>
      <c r="P3" s="1371" t="s">
        <v>1430</v>
      </c>
      <c r="Q3" s="1371"/>
      <c r="R3" s="1371"/>
      <c r="S3" s="1371"/>
      <c r="T3" s="1371"/>
      <c r="U3" s="1371"/>
      <c r="V3" s="1371"/>
      <c r="W3" s="1371"/>
      <c r="X3" s="1371"/>
      <c r="Y3" s="1371"/>
      <c r="Z3" s="1371"/>
      <c r="AA3" s="1371"/>
      <c r="AB3" s="1371"/>
      <c r="AC3" s="1371" t="s">
        <v>1431</v>
      </c>
      <c r="AD3" s="1371"/>
      <c r="AE3" s="411"/>
      <c r="AF3" s="1371" t="s">
        <v>1433</v>
      </c>
      <c r="AG3" s="1371"/>
      <c r="AH3" s="1371" t="s">
        <v>1434</v>
      </c>
      <c r="AI3" s="1371"/>
      <c r="AJ3" s="1371"/>
      <c r="AK3" s="1371"/>
      <c r="AL3" s="1371"/>
      <c r="AM3" s="1371"/>
      <c r="AN3" s="1371"/>
      <c r="AO3" s="1371"/>
      <c r="AP3" s="1371"/>
      <c r="AQ3" s="1371"/>
      <c r="AR3" s="1371" t="s">
        <v>1435</v>
      </c>
      <c r="AS3" s="1371"/>
      <c r="AT3" s="1371"/>
      <c r="AU3" s="1371"/>
      <c r="AV3" s="1371"/>
      <c r="AW3" s="1370" t="s">
        <v>1769</v>
      </c>
      <c r="AX3" s="1066"/>
      <c r="AY3" s="389"/>
      <c r="BA3" s="1412" t="s">
        <v>1768</v>
      </c>
      <c r="BB3" s="1414" t="s">
        <v>1770</v>
      </c>
      <c r="BC3" s="1415"/>
      <c r="BD3" s="1415"/>
      <c r="BE3" s="1416"/>
      <c r="BF3" s="1414" t="s">
        <v>1771</v>
      </c>
      <c r="BG3" s="1415"/>
      <c r="BH3" s="1416"/>
      <c r="BI3" s="1414" t="s">
        <v>1772</v>
      </c>
      <c r="BJ3" s="1415"/>
      <c r="BK3" s="1415"/>
      <c r="BL3" s="1416"/>
      <c r="BM3" s="1412" t="s">
        <v>1773</v>
      </c>
      <c r="BN3" s="1423" t="s">
        <v>1774</v>
      </c>
      <c r="BO3" s="1424"/>
      <c r="BP3" s="1424"/>
      <c r="BQ3" s="1425"/>
      <c r="BR3" s="1412" t="s">
        <v>1775</v>
      </c>
      <c r="BS3" s="1412" t="s">
        <v>1776</v>
      </c>
      <c r="BT3" s="1412" t="s">
        <v>1777</v>
      </c>
      <c r="BU3" s="1417" t="s">
        <v>1778</v>
      </c>
      <c r="BV3" s="1412" t="s">
        <v>1779</v>
      </c>
      <c r="BW3" s="1417" t="s">
        <v>1780</v>
      </c>
      <c r="BX3" s="1417" t="s">
        <v>1781</v>
      </c>
      <c r="BY3" s="1421" t="s">
        <v>1782</v>
      </c>
      <c r="BZ3" s="386"/>
      <c r="CA3" s="386"/>
      <c r="CB3" s="386"/>
    </row>
    <row r="4" spans="1:80" ht="46.5" customHeight="1">
      <c r="A4" s="1406" t="s">
        <v>619</v>
      </c>
      <c r="B4" s="1409" t="s">
        <v>620</v>
      </c>
      <c r="C4" s="1406" t="s">
        <v>622</v>
      </c>
      <c r="D4" s="1409" t="s">
        <v>623</v>
      </c>
      <c r="E4" s="694" t="s">
        <v>624</v>
      </c>
      <c r="F4" s="1406" t="s">
        <v>625</v>
      </c>
      <c r="G4" s="1411" t="s">
        <v>626</v>
      </c>
      <c r="H4" s="1406" t="s">
        <v>627</v>
      </c>
      <c r="I4" s="1405" t="s">
        <v>628</v>
      </c>
      <c r="J4" s="1407" t="s">
        <v>629</v>
      </c>
      <c r="K4" s="1409" t="s">
        <v>630</v>
      </c>
      <c r="L4" s="1409"/>
      <c r="M4" s="1409"/>
      <c r="N4" s="1410"/>
      <c r="O4" s="1078" t="s">
        <v>1429</v>
      </c>
      <c r="P4" s="411" t="s">
        <v>1437</v>
      </c>
      <c r="Q4" s="411" t="s">
        <v>1461</v>
      </c>
      <c r="R4" s="411" t="s">
        <v>1633</v>
      </c>
      <c r="S4" s="411" t="s">
        <v>1438</v>
      </c>
      <c r="T4" s="411" t="s">
        <v>1758</v>
      </c>
      <c r="U4" s="411" t="s">
        <v>4</v>
      </c>
      <c r="V4" s="1079" t="s">
        <v>1439</v>
      </c>
      <c r="W4" s="1079" t="s">
        <v>1440</v>
      </c>
      <c r="X4" s="411" t="s">
        <v>1441</v>
      </c>
      <c r="Y4" s="411" t="s">
        <v>1442</v>
      </c>
      <c r="Z4" s="411" t="s">
        <v>1443</v>
      </c>
      <c r="AA4" s="411" t="s">
        <v>1444</v>
      </c>
      <c r="AB4" s="411" t="s">
        <v>1445</v>
      </c>
      <c r="AC4" s="1143" t="s">
        <v>1446</v>
      </c>
      <c r="AD4" s="1080" t="s">
        <v>255</v>
      </c>
      <c r="AE4" s="411" t="s">
        <v>1448</v>
      </c>
      <c r="AF4" s="411" t="s">
        <v>23</v>
      </c>
      <c r="AG4" s="411" t="s">
        <v>25</v>
      </c>
      <c r="AH4" s="411" t="s">
        <v>1449</v>
      </c>
      <c r="AI4" s="411" t="s">
        <v>1497</v>
      </c>
      <c r="AJ4" s="411" t="s">
        <v>28</v>
      </c>
      <c r="AK4" s="411" t="s">
        <v>6</v>
      </c>
      <c r="AL4" s="411" t="s">
        <v>25</v>
      </c>
      <c r="AM4" s="411" t="s">
        <v>23</v>
      </c>
      <c r="AN4" s="411" t="s">
        <v>21</v>
      </c>
      <c r="AO4" s="411" t="s">
        <v>19</v>
      </c>
      <c r="AP4" s="411" t="s">
        <v>1450</v>
      </c>
      <c r="AQ4" s="411" t="s">
        <v>1456</v>
      </c>
      <c r="AR4" s="411" t="s">
        <v>118</v>
      </c>
      <c r="AS4" s="411" t="s">
        <v>1451</v>
      </c>
      <c r="AT4" s="411" t="s">
        <v>1452</v>
      </c>
      <c r="AU4" s="1079" t="s">
        <v>1455</v>
      </c>
      <c r="AV4" s="411" t="s">
        <v>1453</v>
      </c>
      <c r="AW4" s="1370"/>
      <c r="AX4" s="1079" t="s">
        <v>1454</v>
      </c>
      <c r="AY4" s="411" t="s">
        <v>1635</v>
      </c>
      <c r="AZ4" s="1144" t="s">
        <v>1494</v>
      </c>
      <c r="BA4" s="1413"/>
      <c r="BB4" s="1151" t="s">
        <v>1783</v>
      </c>
      <c r="BC4" s="1151" t="s">
        <v>1784</v>
      </c>
      <c r="BD4" s="1151" t="s">
        <v>1785</v>
      </c>
      <c r="BE4" s="1151" t="s">
        <v>1786</v>
      </c>
      <c r="BF4" s="1152" t="s">
        <v>1787</v>
      </c>
      <c r="BG4" s="1153" t="s">
        <v>1788</v>
      </c>
      <c r="BH4" s="1153" t="s">
        <v>1789</v>
      </c>
      <c r="BI4" s="1151" t="s">
        <v>1783</v>
      </c>
      <c r="BJ4" s="1151" t="s">
        <v>1784</v>
      </c>
      <c r="BK4" s="1151" t="s">
        <v>1785</v>
      </c>
      <c r="BL4" s="1151" t="s">
        <v>1786</v>
      </c>
      <c r="BM4" s="1413"/>
      <c r="BN4" s="1154" t="s">
        <v>1790</v>
      </c>
      <c r="BO4" s="1154" t="s">
        <v>1791</v>
      </c>
      <c r="BP4" s="1154" t="s">
        <v>1792</v>
      </c>
      <c r="BQ4" s="1154" t="s">
        <v>1793</v>
      </c>
      <c r="BR4" s="1413"/>
      <c r="BS4" s="1413"/>
      <c r="BT4" s="1413"/>
      <c r="BU4" s="1418"/>
      <c r="BV4" s="1413"/>
      <c r="BW4" s="1418"/>
      <c r="BX4" s="1418"/>
      <c r="BY4" s="1421"/>
      <c r="BZ4" s="386"/>
      <c r="CA4" s="386"/>
      <c r="CB4" s="386"/>
    </row>
    <row r="5" spans="1:80" ht="41.25" customHeight="1">
      <c r="A5" s="1406"/>
      <c r="B5" s="1409"/>
      <c r="C5" s="1406"/>
      <c r="D5" s="1409"/>
      <c r="E5" s="694" t="s">
        <v>633</v>
      </c>
      <c r="F5" s="1406"/>
      <c r="G5" s="1411"/>
      <c r="H5" s="1406"/>
      <c r="I5" s="1405"/>
      <c r="J5" s="1408"/>
      <c r="K5" s="694" t="s">
        <v>636</v>
      </c>
      <c r="L5" s="694" t="s">
        <v>637</v>
      </c>
      <c r="M5" s="694" t="s">
        <v>638</v>
      </c>
      <c r="N5" s="414" t="s">
        <v>639</v>
      </c>
      <c r="O5" s="1078" t="s">
        <v>498</v>
      </c>
      <c r="P5" s="1083">
        <f>+'INGRESOS 2014'!H130</f>
        <v>4400000000</v>
      </c>
      <c r="Q5" s="1083">
        <f>+'INGRESOS 2014'!H136</f>
        <v>30000000</v>
      </c>
      <c r="R5" s="1083">
        <f>+'INGRESOS 2014'!H135</f>
        <v>226000000</v>
      </c>
      <c r="S5" s="1083">
        <f>+'INGRESOS 2014'!H132</f>
        <v>303915000</v>
      </c>
      <c r="T5" s="1083">
        <f>+'INGRESOS 2014'!H134</f>
        <v>55000000</v>
      </c>
      <c r="U5" s="1083">
        <f>+'INGRESOS 2014'!H133</f>
        <v>5200000000</v>
      </c>
      <c r="V5" s="1083">
        <f>+'INGRESOS 2014'!H63</f>
        <v>844780936</v>
      </c>
      <c r="W5" s="1083">
        <f>+'INGRESOS 2014'!H64</f>
        <v>550036000</v>
      </c>
      <c r="X5" s="1083">
        <f>+'INGRESOS 2014'!H72</f>
        <v>206487930</v>
      </c>
      <c r="Y5" s="1083">
        <f>+'INGRESOS 2014'!H69</f>
        <v>927633659</v>
      </c>
      <c r="Z5" s="1083">
        <f>+'INGRESOS 2014'!H67</f>
        <v>104519208</v>
      </c>
      <c r="AA5" s="1083">
        <f>+'INGRESOS 2014'!H68</f>
        <v>78389407</v>
      </c>
      <c r="AB5" s="1083">
        <f>+'INGRESOS 2014'!H70</f>
        <v>1931629558.0900002</v>
      </c>
      <c r="AC5" s="1083"/>
      <c r="AD5" s="1083">
        <f>+'INGRESOS 2014'!H7-'FUNCIONAMIENTO 2014'!G5-'INGRESOS 2014'!H130-'INGRESOS 2014'!H132-'INGRESOS 2014'!H133-'INGRESOS 2014'!H134-'INGRESOS 2014'!H135-'INGRESOS 2014'!H136-'INGRESOS 2014'!H24-'INGRESOS 2014'!H30-'INGRESOS 2014'!H31-'INGRESOS 2014'!H63-'INGRESOS 2014'!H64-'INGRESOS 2014'!H67-'INGRESOS 2014'!H68-'INGRESOS 2014'!H69-'INGRESOS 2014'!H70-'INGRESOS 2014'!H72-'INGRESOS 2014'!H75-'INGRESOS 2014'!H78-'INGRESOS 2014'!H79-'INGRESOS 2014'!H81-'INGRESOS 2014'!H44-'INGRESOS 2014'!H51</f>
        <v>7235528624.445675</v>
      </c>
      <c r="AE5" s="1083">
        <f>+'INGRESOS 2014'!H24</f>
        <v>506000000</v>
      </c>
      <c r="AF5" s="1083">
        <f>+'INGRESOS 2014'!H31</f>
        <v>3420955000</v>
      </c>
      <c r="AG5" s="1083">
        <f>+'INGRESOS 2014'!H30</f>
        <v>1610500000</v>
      </c>
      <c r="AH5" s="1083">
        <f>+'INGRESOS 2014'!H81</f>
        <v>150000000</v>
      </c>
      <c r="AI5" s="1083"/>
      <c r="AJ5" s="1083"/>
      <c r="AK5" s="1083"/>
      <c r="AL5" s="1083"/>
      <c r="AM5" s="1083"/>
      <c r="AN5" s="1083"/>
      <c r="AO5" s="1083"/>
      <c r="AP5" s="1083"/>
      <c r="AQ5" s="1083"/>
      <c r="AR5" s="1083"/>
      <c r="AS5" s="1083">
        <f>+'INGRESOS 2014'!H51</f>
        <v>500000</v>
      </c>
      <c r="AT5" s="1083">
        <f>+'INGRESOS 2014'!H75</f>
        <v>7500000</v>
      </c>
      <c r="AU5" s="1084">
        <f>+'INGRESOS 2014'!H78+'INGRESOS 2014'!H79</f>
        <v>348000000</v>
      </c>
      <c r="AV5" s="1083">
        <f>+'INGRESOS 2014'!H44</f>
        <v>3500000000</v>
      </c>
      <c r="AW5" s="1066">
        <f>SUM(P5:AV5)</f>
        <v>31637375322.535675</v>
      </c>
      <c r="AX5" s="1079">
        <f>+'FUNCIONAMIENTO 2014'!G5</f>
        <v>9833972835.55432</v>
      </c>
      <c r="AY5" s="1081">
        <f>+AW5+AX5</f>
        <v>41471348158.09</v>
      </c>
      <c r="AZ5" s="767">
        <f>+'INGRESOS 2014'!H7-AY5</f>
        <v>0</v>
      </c>
      <c r="BA5" s="389"/>
      <c r="BB5" s="1146"/>
      <c r="BC5" s="1146"/>
      <c r="BD5" s="1146"/>
      <c r="BE5" s="1146"/>
      <c r="BF5" s="1145"/>
      <c r="BG5" s="1145"/>
      <c r="BH5" s="1145"/>
      <c r="BI5" s="1145"/>
      <c r="BJ5" s="1145"/>
      <c r="BK5" s="1145"/>
      <c r="BL5" s="1145"/>
      <c r="BM5" s="1145"/>
      <c r="BN5" s="1145"/>
      <c r="BO5" s="1145"/>
      <c r="BP5" s="1145"/>
      <c r="BQ5" s="1145"/>
      <c r="BR5" s="1145"/>
      <c r="BS5" s="1145"/>
      <c r="BT5" s="1145"/>
      <c r="BU5" s="1145"/>
      <c r="BV5" s="1145"/>
      <c r="BW5" s="1145"/>
      <c r="BX5" s="1145"/>
      <c r="BY5" s="1145"/>
      <c r="BZ5" s="386"/>
      <c r="CA5" s="386"/>
      <c r="CB5" s="386"/>
    </row>
    <row r="6" spans="1:80" ht="21.75" customHeight="1">
      <c r="A6" s="413"/>
      <c r="B6" s="694"/>
      <c r="C6" s="695"/>
      <c r="D6" s="694"/>
      <c r="E6" s="694"/>
      <c r="F6" s="695"/>
      <c r="G6" s="695"/>
      <c r="H6" s="695"/>
      <c r="I6" s="753"/>
      <c r="J6" s="696"/>
      <c r="K6" s="694"/>
      <c r="L6" s="694"/>
      <c r="M6" s="694"/>
      <c r="N6" s="414"/>
      <c r="O6" s="1078" t="s">
        <v>1460</v>
      </c>
      <c r="P6" s="411">
        <f aca="true" t="shared" si="0" ref="P6:AW6">+P168+P255+P315+P355</f>
        <v>4400000000</v>
      </c>
      <c r="Q6" s="411">
        <f t="shared" si="0"/>
        <v>30000000</v>
      </c>
      <c r="R6" s="411">
        <f t="shared" si="0"/>
        <v>226000000</v>
      </c>
      <c r="S6" s="411">
        <f t="shared" si="0"/>
        <v>303915000</v>
      </c>
      <c r="T6" s="411">
        <f t="shared" si="0"/>
        <v>55000000</v>
      </c>
      <c r="U6" s="411">
        <f t="shared" si="0"/>
        <v>5200000000</v>
      </c>
      <c r="V6" s="411">
        <f t="shared" si="0"/>
        <v>844780936</v>
      </c>
      <c r="W6" s="411">
        <f t="shared" si="0"/>
        <v>550036000</v>
      </c>
      <c r="X6" s="411">
        <f t="shared" si="0"/>
        <v>206487930</v>
      </c>
      <c r="Y6" s="411">
        <f t="shared" si="0"/>
        <v>927633659</v>
      </c>
      <c r="Z6" s="411">
        <f t="shared" si="0"/>
        <v>104519208</v>
      </c>
      <c r="AA6" s="411">
        <f t="shared" si="0"/>
        <v>78389407</v>
      </c>
      <c r="AB6" s="411">
        <f t="shared" si="0"/>
        <v>1931629558</v>
      </c>
      <c r="AC6" s="411">
        <f t="shared" si="0"/>
        <v>0</v>
      </c>
      <c r="AD6" s="411">
        <f t="shared" si="0"/>
        <v>7235528624.4</v>
      </c>
      <c r="AE6" s="411">
        <f t="shared" si="0"/>
        <v>506000000</v>
      </c>
      <c r="AF6" s="411">
        <f t="shared" si="0"/>
        <v>3420955000</v>
      </c>
      <c r="AG6" s="411">
        <f t="shared" si="0"/>
        <v>1610500000</v>
      </c>
      <c r="AH6" s="411">
        <f t="shared" si="0"/>
        <v>150000000</v>
      </c>
      <c r="AI6" s="411">
        <f t="shared" si="0"/>
        <v>0</v>
      </c>
      <c r="AJ6" s="411">
        <f t="shared" si="0"/>
        <v>0</v>
      </c>
      <c r="AK6" s="411">
        <f t="shared" si="0"/>
        <v>0</v>
      </c>
      <c r="AL6" s="411">
        <f t="shared" si="0"/>
        <v>0</v>
      </c>
      <c r="AM6" s="411">
        <f t="shared" si="0"/>
        <v>0</v>
      </c>
      <c r="AN6" s="411">
        <f t="shared" si="0"/>
        <v>0</v>
      </c>
      <c r="AO6" s="411">
        <f t="shared" si="0"/>
        <v>0</v>
      </c>
      <c r="AP6" s="411">
        <f t="shared" si="0"/>
        <v>0</v>
      </c>
      <c r="AQ6" s="411">
        <f t="shared" si="0"/>
        <v>0</v>
      </c>
      <c r="AR6" s="411">
        <f t="shared" si="0"/>
        <v>0</v>
      </c>
      <c r="AS6" s="411">
        <f t="shared" si="0"/>
        <v>500000</v>
      </c>
      <c r="AT6" s="411">
        <f t="shared" si="0"/>
        <v>7500000</v>
      </c>
      <c r="AU6" s="411">
        <f t="shared" si="0"/>
        <v>348000000</v>
      </c>
      <c r="AV6" s="411">
        <f t="shared" si="0"/>
        <v>3500000000</v>
      </c>
      <c r="AW6" s="411">
        <f t="shared" si="0"/>
        <v>31637375322.4</v>
      </c>
      <c r="AX6" s="411">
        <f>+AX391</f>
        <v>0</v>
      </c>
      <c r="AY6" s="389"/>
      <c r="BA6" s="389"/>
      <c r="BB6" s="1145"/>
      <c r="BC6" s="1145"/>
      <c r="BD6" s="1145"/>
      <c r="BE6" s="1145"/>
      <c r="BF6" s="1145"/>
      <c r="BG6" s="1145"/>
      <c r="BH6" s="1145"/>
      <c r="BI6" s="1145"/>
      <c r="BJ6" s="1145"/>
      <c r="BK6" s="1145"/>
      <c r="BL6" s="1145"/>
      <c r="BM6" s="1145"/>
      <c r="BN6" s="1145"/>
      <c r="BO6" s="1145"/>
      <c r="BP6" s="1145"/>
      <c r="BQ6" s="1145"/>
      <c r="BR6" s="1145"/>
      <c r="BS6" s="1145"/>
      <c r="BT6" s="1145"/>
      <c r="BU6" s="1145"/>
      <c r="BV6" s="1145"/>
      <c r="BW6" s="1145"/>
      <c r="BX6" s="1145"/>
      <c r="BY6" s="1145"/>
      <c r="BZ6" s="386"/>
      <c r="CA6" s="386"/>
      <c r="CB6" s="386"/>
    </row>
    <row r="7" spans="1:80" ht="24" customHeight="1">
      <c r="A7" s="413"/>
      <c r="B7" s="694"/>
      <c r="C7" s="695"/>
      <c r="D7" s="694"/>
      <c r="E7" s="694"/>
      <c r="F7" s="695"/>
      <c r="G7" s="695"/>
      <c r="H7" s="695"/>
      <c r="I7" s="753"/>
      <c r="J7" s="696"/>
      <c r="K7" s="694"/>
      <c r="L7" s="694"/>
      <c r="M7" s="694"/>
      <c r="N7" s="414"/>
      <c r="O7" s="1082" t="s">
        <v>1494</v>
      </c>
      <c r="P7" s="433">
        <f>+P5-P6</f>
        <v>0</v>
      </c>
      <c r="Q7" s="433">
        <f aca="true" t="shared" si="1" ref="Q7:AV7">+Q5-Q6</f>
        <v>0</v>
      </c>
      <c r="R7" s="433">
        <f>+R5-R6</f>
        <v>0</v>
      </c>
      <c r="S7" s="433">
        <f t="shared" si="1"/>
        <v>0</v>
      </c>
      <c r="T7" s="433">
        <f t="shared" si="1"/>
        <v>0</v>
      </c>
      <c r="U7" s="433">
        <f t="shared" si="1"/>
        <v>0</v>
      </c>
      <c r="V7" s="433">
        <f t="shared" si="1"/>
        <v>0</v>
      </c>
      <c r="W7" s="433">
        <f t="shared" si="1"/>
        <v>0</v>
      </c>
      <c r="X7" s="433">
        <f t="shared" si="1"/>
        <v>0</v>
      </c>
      <c r="Y7" s="433">
        <f t="shared" si="1"/>
        <v>0</v>
      </c>
      <c r="Z7" s="433">
        <f t="shared" si="1"/>
        <v>0</v>
      </c>
      <c r="AA7" s="433">
        <f t="shared" si="1"/>
        <v>0</v>
      </c>
      <c r="AB7" s="433">
        <f t="shared" si="1"/>
        <v>0.09000015258789062</v>
      </c>
      <c r="AC7" s="433">
        <f t="shared" si="1"/>
        <v>0</v>
      </c>
      <c r="AD7" s="433">
        <f t="shared" si="1"/>
        <v>0.04567527770996094</v>
      </c>
      <c r="AE7" s="433">
        <f t="shared" si="1"/>
        <v>0</v>
      </c>
      <c r="AF7" s="433">
        <f t="shared" si="1"/>
        <v>0</v>
      </c>
      <c r="AG7" s="433">
        <f t="shared" si="1"/>
        <v>0</v>
      </c>
      <c r="AH7" s="433">
        <f t="shared" si="1"/>
        <v>0</v>
      </c>
      <c r="AI7" s="433">
        <f t="shared" si="1"/>
        <v>0</v>
      </c>
      <c r="AJ7" s="433">
        <f t="shared" si="1"/>
        <v>0</v>
      </c>
      <c r="AK7" s="433">
        <f t="shared" si="1"/>
        <v>0</v>
      </c>
      <c r="AL7" s="433">
        <f t="shared" si="1"/>
        <v>0</v>
      </c>
      <c r="AM7" s="433">
        <f t="shared" si="1"/>
        <v>0</v>
      </c>
      <c r="AN7" s="433">
        <f t="shared" si="1"/>
        <v>0</v>
      </c>
      <c r="AO7" s="433">
        <f t="shared" si="1"/>
        <v>0</v>
      </c>
      <c r="AP7" s="433">
        <f t="shared" si="1"/>
        <v>0</v>
      </c>
      <c r="AQ7" s="433">
        <f t="shared" si="1"/>
        <v>0</v>
      </c>
      <c r="AR7" s="433">
        <f t="shared" si="1"/>
        <v>0</v>
      </c>
      <c r="AS7" s="433">
        <f t="shared" si="1"/>
        <v>0</v>
      </c>
      <c r="AT7" s="433">
        <f t="shared" si="1"/>
        <v>0</v>
      </c>
      <c r="AU7" s="433">
        <f t="shared" si="1"/>
        <v>0</v>
      </c>
      <c r="AV7" s="433">
        <f t="shared" si="1"/>
        <v>0</v>
      </c>
      <c r="AW7" s="433">
        <f>+AW5-AW6</f>
        <v>0.13567352294921875</v>
      </c>
      <c r="AX7" s="433">
        <f>+AX5-AX6</f>
        <v>9833972835.55432</v>
      </c>
      <c r="AY7" s="389"/>
      <c r="BA7" s="389"/>
      <c r="BB7" s="1145"/>
      <c r="BC7" s="1145"/>
      <c r="BD7" s="1145"/>
      <c r="BE7" s="1145"/>
      <c r="BF7" s="1145"/>
      <c r="BG7" s="1145"/>
      <c r="BH7" s="1145"/>
      <c r="BI7" s="1145"/>
      <c r="BJ7" s="1145"/>
      <c r="BK7" s="1145"/>
      <c r="BL7" s="1145"/>
      <c r="BM7" s="1145"/>
      <c r="BN7" s="1145"/>
      <c r="BO7" s="1145"/>
      <c r="BP7" s="1145"/>
      <c r="BQ7" s="1145"/>
      <c r="BR7" s="1145"/>
      <c r="BS7" s="1145"/>
      <c r="BT7" s="1145"/>
      <c r="BU7" s="1145"/>
      <c r="BV7" s="1145"/>
      <c r="BW7" s="1145"/>
      <c r="BX7" s="1145"/>
      <c r="BY7" s="1145"/>
      <c r="BZ7" s="386"/>
      <c r="CA7" s="386"/>
      <c r="CB7" s="386"/>
    </row>
    <row r="8" spans="1:80" ht="78.75">
      <c r="A8" s="1376">
        <v>20</v>
      </c>
      <c r="B8" s="1375" t="s">
        <v>641</v>
      </c>
      <c r="C8" s="1375" t="s">
        <v>642</v>
      </c>
      <c r="D8" s="1367" t="s">
        <v>643</v>
      </c>
      <c r="E8" s="1367" t="s">
        <v>644</v>
      </c>
      <c r="F8" s="364"/>
      <c r="G8" s="364"/>
      <c r="H8" s="688">
        <v>5</v>
      </c>
      <c r="I8" s="750" t="s">
        <v>645</v>
      </c>
      <c r="J8" s="688" t="s">
        <v>646</v>
      </c>
      <c r="K8" s="686">
        <v>1500</v>
      </c>
      <c r="L8" s="686">
        <v>700</v>
      </c>
      <c r="M8" s="686">
        <v>600</v>
      </c>
      <c r="N8" s="769">
        <v>328</v>
      </c>
      <c r="O8" s="1075" t="s">
        <v>1638</v>
      </c>
      <c r="P8" s="1076">
        <v>4400000000</v>
      </c>
      <c r="Q8" s="1069">
        <v>30000000</v>
      </c>
      <c r="R8" s="1069"/>
      <c r="S8" s="1069"/>
      <c r="T8" s="1069">
        <v>55000000</v>
      </c>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77">
        <f>SUM(P8:AV8)</f>
        <v>4485000000</v>
      </c>
      <c r="BA8" s="1155" t="s">
        <v>1794</v>
      </c>
      <c r="BB8" s="1155"/>
      <c r="BC8" s="1155" t="s">
        <v>1850</v>
      </c>
      <c r="BD8" s="1155" t="s">
        <v>1850</v>
      </c>
      <c r="BE8" s="1155" t="s">
        <v>1850</v>
      </c>
      <c r="BF8" s="1155" t="s">
        <v>1851</v>
      </c>
      <c r="BG8" s="1155">
        <v>4</v>
      </c>
      <c r="BH8" s="1145"/>
      <c r="BI8" s="1145"/>
      <c r="BJ8" s="1145"/>
      <c r="BK8" s="1145"/>
      <c r="BL8" s="1145"/>
      <c r="BM8" s="1145"/>
      <c r="BN8" s="1145"/>
      <c r="BO8" s="1145"/>
      <c r="BP8" s="1145"/>
      <c r="BQ8" s="1145"/>
      <c r="BR8" s="1145"/>
      <c r="BS8" s="1145"/>
      <c r="BT8" s="1145"/>
      <c r="BU8" s="1145"/>
      <c r="BV8" s="1145"/>
      <c r="BW8" s="1145"/>
      <c r="BX8" s="1145"/>
      <c r="BY8" s="1145"/>
      <c r="BZ8" s="386"/>
      <c r="CA8" s="386"/>
      <c r="CB8" s="386"/>
    </row>
    <row r="9" spans="1:80" ht="89.25" hidden="1">
      <c r="A9" s="1377"/>
      <c r="B9" s="1375"/>
      <c r="C9" s="1375"/>
      <c r="D9" s="1367"/>
      <c r="E9" s="1367"/>
      <c r="F9" s="364"/>
      <c r="G9" s="364"/>
      <c r="H9" s="688">
        <v>5</v>
      </c>
      <c r="I9" s="750" t="s">
        <v>648</v>
      </c>
      <c r="J9" s="688" t="s">
        <v>649</v>
      </c>
      <c r="K9" s="688"/>
      <c r="L9" s="688">
        <v>1</v>
      </c>
      <c r="M9" s="688"/>
      <c r="N9" s="374"/>
      <c r="O9" s="827"/>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775" t="e">
        <f>SUM(#REF!)</f>
        <v>#REF!</v>
      </c>
      <c r="BA9" s="389"/>
      <c r="BB9" s="1155"/>
      <c r="BC9" s="1155"/>
      <c r="BD9" s="1155"/>
      <c r="BE9" s="1155"/>
      <c r="BF9" s="1155"/>
      <c r="BG9" s="1155"/>
      <c r="BH9" s="1145"/>
      <c r="BI9" s="1145"/>
      <c r="BJ9" s="1145"/>
      <c r="BK9" s="1145"/>
      <c r="BL9" s="1145"/>
      <c r="BM9" s="1145"/>
      <c r="BN9" s="1145"/>
      <c r="BO9" s="1145"/>
      <c r="BP9" s="1145"/>
      <c r="BQ9" s="1145"/>
      <c r="BR9" s="1145"/>
      <c r="BS9" s="1145"/>
      <c r="BT9" s="1145"/>
      <c r="BU9" s="1145"/>
      <c r="BV9" s="1145"/>
      <c r="BW9" s="1145"/>
      <c r="BX9" s="1145"/>
      <c r="BY9" s="1145"/>
      <c r="BZ9" s="386"/>
      <c r="CA9" s="386"/>
      <c r="CB9" s="386"/>
    </row>
    <row r="10" spans="1:80" ht="15">
      <c r="A10" s="1377"/>
      <c r="B10" s="1375"/>
      <c r="C10" s="1375"/>
      <c r="D10" s="1367"/>
      <c r="E10" s="1367"/>
      <c r="F10" s="364"/>
      <c r="G10" s="364"/>
      <c r="H10" s="748"/>
      <c r="I10" s="750"/>
      <c r="J10" s="748"/>
      <c r="K10" s="748"/>
      <c r="L10" s="748"/>
      <c r="M10" s="748"/>
      <c r="N10" s="374"/>
      <c r="O10" s="828" t="s">
        <v>1737</v>
      </c>
      <c r="P10" s="460"/>
      <c r="Q10" s="460"/>
      <c r="R10" s="460">
        <v>226000000</v>
      </c>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775">
        <f>SUM(P10:AV10)</f>
        <v>226000000</v>
      </c>
      <c r="AY10" s="749"/>
      <c r="AZ10" s="749"/>
      <c r="BA10" s="389"/>
      <c r="BB10" s="1155"/>
      <c r="BC10" s="1155"/>
      <c r="BD10" s="1155"/>
      <c r="BE10" s="1155"/>
      <c r="BF10" s="1155"/>
      <c r="BG10" s="1155"/>
      <c r="BH10" s="1145"/>
      <c r="BI10" s="1145"/>
      <c r="BJ10" s="1145"/>
      <c r="BK10" s="1145"/>
      <c r="BL10" s="1145"/>
      <c r="BM10" s="1145"/>
      <c r="BN10" s="1145"/>
      <c r="BO10" s="1145"/>
      <c r="BP10" s="1145"/>
      <c r="BQ10" s="1145"/>
      <c r="BR10" s="1145"/>
      <c r="BS10" s="1145"/>
      <c r="BT10" s="1145"/>
      <c r="BU10" s="1145"/>
      <c r="BV10" s="1145"/>
      <c r="BW10" s="1145"/>
      <c r="BX10" s="1145"/>
      <c r="BY10" s="1145"/>
      <c r="BZ10" s="386"/>
      <c r="CA10" s="386"/>
      <c r="CB10" s="386"/>
    </row>
    <row r="11" spans="1:80" ht="78.75">
      <c r="A11" s="1377"/>
      <c r="B11" s="1375"/>
      <c r="C11" s="1375"/>
      <c r="D11" s="1367"/>
      <c r="E11" s="1367"/>
      <c r="F11" s="364"/>
      <c r="G11" s="364"/>
      <c r="H11" s="688">
        <v>20</v>
      </c>
      <c r="I11" s="754" t="s">
        <v>650</v>
      </c>
      <c r="J11" s="688" t="s">
        <v>651</v>
      </c>
      <c r="K11" s="688">
        <v>1</v>
      </c>
      <c r="L11" s="688">
        <v>1</v>
      </c>
      <c r="M11" s="688">
        <v>1</v>
      </c>
      <c r="N11" s="374">
        <v>1</v>
      </c>
      <c r="O11" s="827" t="s">
        <v>1639</v>
      </c>
      <c r="P11" s="460"/>
      <c r="Q11" s="460"/>
      <c r="R11" s="460"/>
      <c r="S11" s="460">
        <v>303915000</v>
      </c>
      <c r="T11" s="460"/>
      <c r="U11" s="460">
        <v>5200000000</v>
      </c>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775">
        <f>SUM(P11:AV11)</f>
        <v>5503915000</v>
      </c>
      <c r="BA11" s="1155" t="s">
        <v>1795</v>
      </c>
      <c r="BB11" s="1155" t="s">
        <v>1850</v>
      </c>
      <c r="BC11" s="1155" t="s">
        <v>1850</v>
      </c>
      <c r="BD11" s="1155" t="s">
        <v>1850</v>
      </c>
      <c r="BE11" s="1155" t="s">
        <v>1850</v>
      </c>
      <c r="BF11" s="1155" t="s">
        <v>1851</v>
      </c>
      <c r="BG11" s="1155">
        <v>4</v>
      </c>
      <c r="BH11" s="1145"/>
      <c r="BI11" s="1145"/>
      <c r="BJ11" s="1145"/>
      <c r="BK11" s="1145"/>
      <c r="BL11" s="1145"/>
      <c r="BM11" s="1145"/>
      <c r="BN11" s="1145"/>
      <c r="BO11" s="1145"/>
      <c r="BP11" s="1145"/>
      <c r="BQ11" s="1145"/>
      <c r="BR11" s="1145"/>
      <c r="BS11" s="1145"/>
      <c r="BT11" s="1145"/>
      <c r="BU11" s="1145"/>
      <c r="BV11" s="1145"/>
      <c r="BW11" s="1145"/>
      <c r="BX11" s="1145"/>
      <c r="BY11" s="1145"/>
      <c r="BZ11" s="386"/>
      <c r="CA11" s="386"/>
      <c r="CB11" s="386"/>
    </row>
    <row r="12" spans="1:77" ht="140.25">
      <c r="A12" s="1377"/>
      <c r="B12" s="1375"/>
      <c r="C12" s="1375"/>
      <c r="D12" s="688" t="s">
        <v>652</v>
      </c>
      <c r="E12" s="688" t="s">
        <v>653</v>
      </c>
      <c r="F12" s="364"/>
      <c r="G12" s="364"/>
      <c r="H12" s="688">
        <v>5</v>
      </c>
      <c r="I12" s="750" t="s">
        <v>655</v>
      </c>
      <c r="J12" s="688" t="s">
        <v>656</v>
      </c>
      <c r="K12" s="688"/>
      <c r="L12" s="688">
        <v>1</v>
      </c>
      <c r="M12" s="688">
        <v>1</v>
      </c>
      <c r="N12" s="374">
        <v>1</v>
      </c>
      <c r="O12" s="1214" t="s">
        <v>1640</v>
      </c>
      <c r="P12" s="1212"/>
      <c r="Q12" s="1212"/>
      <c r="R12" s="1212"/>
      <c r="S12" s="1212"/>
      <c r="T12" s="1212"/>
      <c r="U12" s="1212"/>
      <c r="V12" s="1212"/>
      <c r="W12" s="1212"/>
      <c r="X12" s="1212"/>
      <c r="Y12" s="1212"/>
      <c r="Z12" s="1212"/>
      <c r="AA12" s="1212"/>
      <c r="AB12" s="1212"/>
      <c r="AC12" s="460"/>
      <c r="AD12" s="1212">
        <v>400000000</v>
      </c>
      <c r="AE12" s="1212"/>
      <c r="AF12" s="1212"/>
      <c r="AG12" s="1212"/>
      <c r="AH12" s="1212"/>
      <c r="AI12" s="460"/>
      <c r="AJ12" s="460"/>
      <c r="AK12" s="460"/>
      <c r="AL12" s="460"/>
      <c r="AM12" s="460"/>
      <c r="AN12" s="460"/>
      <c r="AO12" s="460"/>
      <c r="AP12" s="460"/>
      <c r="AQ12" s="460"/>
      <c r="AR12" s="1212"/>
      <c r="AS12" s="1212"/>
      <c r="AT12" s="1212"/>
      <c r="AU12" s="1212"/>
      <c r="AV12" s="1212"/>
      <c r="AW12" s="1215">
        <f aca="true" t="shared" si="2" ref="AW12:AW33">SUM(P12:AV12)</f>
        <v>400000000</v>
      </c>
      <c r="BA12" s="1155" t="s">
        <v>1796</v>
      </c>
      <c r="BB12" s="1155" t="s">
        <v>1850</v>
      </c>
      <c r="BC12" s="1155" t="s">
        <v>1850</v>
      </c>
      <c r="BD12" s="1155" t="s">
        <v>1850</v>
      </c>
      <c r="BE12" s="1155" t="s">
        <v>1850</v>
      </c>
      <c r="BF12" s="1155" t="s">
        <v>1851</v>
      </c>
      <c r="BG12" s="1155">
        <v>4</v>
      </c>
      <c r="BH12" s="1145"/>
      <c r="BI12" s="1145"/>
      <c r="BJ12" s="1145"/>
      <c r="BK12" s="1145"/>
      <c r="BL12" s="1145"/>
      <c r="BM12" s="1145"/>
      <c r="BN12" s="1145"/>
      <c r="BO12" s="1145"/>
      <c r="BP12" s="1145"/>
      <c r="BQ12" s="1145"/>
      <c r="BR12" s="1145"/>
      <c r="BS12" s="1145"/>
      <c r="BT12" s="1145"/>
      <c r="BU12" s="1145"/>
      <c r="BV12" s="1145"/>
      <c r="BW12" s="1145"/>
      <c r="BX12" s="1145"/>
      <c r="BY12" s="1145"/>
    </row>
    <row r="13" spans="1:77" ht="78.75">
      <c r="A13" s="1377"/>
      <c r="B13" s="1375"/>
      <c r="C13" s="1375"/>
      <c r="D13" s="1367" t="s">
        <v>657</v>
      </c>
      <c r="E13" s="1367" t="s">
        <v>658</v>
      </c>
      <c r="F13" s="364"/>
      <c r="G13" s="364"/>
      <c r="H13" s="688">
        <v>5</v>
      </c>
      <c r="I13" s="750" t="s">
        <v>661</v>
      </c>
      <c r="J13" s="688" t="s">
        <v>662</v>
      </c>
      <c r="K13" s="688" t="s">
        <v>663</v>
      </c>
      <c r="L13" s="688" t="s">
        <v>663</v>
      </c>
      <c r="M13" s="688" t="s">
        <v>663</v>
      </c>
      <c r="N13" s="374" t="s">
        <v>663</v>
      </c>
      <c r="O13" s="1214"/>
      <c r="P13" s="1212"/>
      <c r="Q13" s="1212"/>
      <c r="R13" s="1212"/>
      <c r="S13" s="1212"/>
      <c r="T13" s="1212"/>
      <c r="U13" s="1212"/>
      <c r="V13" s="1212"/>
      <c r="W13" s="1212"/>
      <c r="X13" s="1212"/>
      <c r="Y13" s="1212"/>
      <c r="Z13" s="1212"/>
      <c r="AA13" s="1212"/>
      <c r="AB13" s="1212"/>
      <c r="AC13" s="460"/>
      <c r="AD13" s="1212"/>
      <c r="AE13" s="1212"/>
      <c r="AF13" s="1212"/>
      <c r="AG13" s="1212"/>
      <c r="AH13" s="1212"/>
      <c r="AI13" s="460"/>
      <c r="AJ13" s="460"/>
      <c r="AK13" s="460"/>
      <c r="AL13" s="460"/>
      <c r="AM13" s="460"/>
      <c r="AN13" s="460"/>
      <c r="AO13" s="460"/>
      <c r="AP13" s="460"/>
      <c r="AQ13" s="460"/>
      <c r="AR13" s="1212"/>
      <c r="AS13" s="1212"/>
      <c r="AT13" s="1212"/>
      <c r="AU13" s="1212"/>
      <c r="AV13" s="1212"/>
      <c r="AW13" s="1215">
        <f t="shared" si="2"/>
        <v>0</v>
      </c>
      <c r="BA13" s="1155" t="s">
        <v>1797</v>
      </c>
      <c r="BB13" s="1155" t="s">
        <v>1850</v>
      </c>
      <c r="BC13" s="1155" t="s">
        <v>1850</v>
      </c>
      <c r="BD13" s="1155" t="s">
        <v>1850</v>
      </c>
      <c r="BE13" s="1155" t="s">
        <v>1850</v>
      </c>
      <c r="BF13" s="1155" t="s">
        <v>1851</v>
      </c>
      <c r="BG13" s="1155">
        <v>4</v>
      </c>
      <c r="BH13" s="1145"/>
      <c r="BI13" s="1145"/>
      <c r="BJ13" s="1145"/>
      <c r="BK13" s="1145"/>
      <c r="BL13" s="1145"/>
      <c r="BM13" s="1145"/>
      <c r="BN13" s="1145"/>
      <c r="BO13" s="1145"/>
      <c r="BP13" s="1145"/>
      <c r="BQ13" s="1145"/>
      <c r="BR13" s="1145"/>
      <c r="BS13" s="1145"/>
      <c r="BT13" s="1145"/>
      <c r="BU13" s="1145"/>
      <c r="BV13" s="1145"/>
      <c r="BW13" s="1145"/>
      <c r="BX13" s="1145"/>
      <c r="BY13" s="1145"/>
    </row>
    <row r="14" spans="1:77" ht="78.75">
      <c r="A14" s="1377"/>
      <c r="B14" s="1375"/>
      <c r="C14" s="1375"/>
      <c r="D14" s="1367"/>
      <c r="E14" s="1367"/>
      <c r="F14" s="364"/>
      <c r="G14" s="364"/>
      <c r="H14" s="688">
        <v>1</v>
      </c>
      <c r="I14" s="750" t="s">
        <v>664</v>
      </c>
      <c r="J14" s="688" t="s">
        <v>665</v>
      </c>
      <c r="K14" s="690">
        <v>0.95</v>
      </c>
      <c r="L14" s="690">
        <v>0.95</v>
      </c>
      <c r="M14" s="690">
        <v>0.95</v>
      </c>
      <c r="N14" s="770">
        <v>0.95</v>
      </c>
      <c r="O14" s="1214"/>
      <c r="P14" s="1212"/>
      <c r="Q14" s="1212"/>
      <c r="R14" s="1212"/>
      <c r="S14" s="1212"/>
      <c r="T14" s="1212"/>
      <c r="U14" s="1212"/>
      <c r="V14" s="1212"/>
      <c r="W14" s="1212"/>
      <c r="X14" s="1212"/>
      <c r="Y14" s="1212"/>
      <c r="Z14" s="1212"/>
      <c r="AA14" s="1212"/>
      <c r="AB14" s="1212"/>
      <c r="AC14" s="460"/>
      <c r="AD14" s="1212"/>
      <c r="AE14" s="1212"/>
      <c r="AF14" s="1212"/>
      <c r="AG14" s="1212"/>
      <c r="AH14" s="1212"/>
      <c r="AI14" s="460"/>
      <c r="AJ14" s="460"/>
      <c r="AK14" s="460"/>
      <c r="AL14" s="460"/>
      <c r="AM14" s="460"/>
      <c r="AN14" s="460"/>
      <c r="AO14" s="460"/>
      <c r="AP14" s="460"/>
      <c r="AQ14" s="460"/>
      <c r="AR14" s="1212"/>
      <c r="AS14" s="1212"/>
      <c r="AT14" s="1212"/>
      <c r="AU14" s="1212"/>
      <c r="AV14" s="1212"/>
      <c r="AW14" s="1215">
        <f t="shared" si="2"/>
        <v>0</v>
      </c>
      <c r="BA14" s="1155" t="s">
        <v>1798</v>
      </c>
      <c r="BB14" s="1155" t="s">
        <v>1850</v>
      </c>
      <c r="BC14" s="1155" t="s">
        <v>1850</v>
      </c>
      <c r="BD14" s="1155" t="s">
        <v>1850</v>
      </c>
      <c r="BE14" s="1155" t="s">
        <v>1850</v>
      </c>
      <c r="BF14" s="1155" t="s">
        <v>1851</v>
      </c>
      <c r="BG14" s="1155">
        <v>4</v>
      </c>
      <c r="BH14" s="1145"/>
      <c r="BI14" s="1145"/>
      <c r="BJ14" s="1145"/>
      <c r="BK14" s="1145"/>
      <c r="BL14" s="1145"/>
      <c r="BM14" s="1145"/>
      <c r="BN14" s="1145"/>
      <c r="BO14" s="1145"/>
      <c r="BP14" s="1145"/>
      <c r="BQ14" s="1145"/>
      <c r="BR14" s="1145"/>
      <c r="BS14" s="1145"/>
      <c r="BT14" s="1145"/>
      <c r="BU14" s="1145"/>
      <c r="BV14" s="1145"/>
      <c r="BW14" s="1145"/>
      <c r="BX14" s="1145"/>
      <c r="BY14" s="1145"/>
    </row>
    <row r="15" spans="1:77" ht="51">
      <c r="A15" s="1377"/>
      <c r="B15" s="1375"/>
      <c r="C15" s="1375"/>
      <c r="D15" s="1367"/>
      <c r="E15" s="1367"/>
      <c r="F15" s="365"/>
      <c r="G15" s="365"/>
      <c r="H15" s="693">
        <v>1</v>
      </c>
      <c r="I15" s="750" t="s">
        <v>666</v>
      </c>
      <c r="J15" s="688" t="s">
        <v>667</v>
      </c>
      <c r="K15" s="367"/>
      <c r="L15" s="688"/>
      <c r="M15" s="688"/>
      <c r="N15" s="374" t="s">
        <v>668</v>
      </c>
      <c r="O15" s="1214"/>
      <c r="P15" s="1212"/>
      <c r="Q15" s="1212"/>
      <c r="R15" s="1212"/>
      <c r="S15" s="1212"/>
      <c r="T15" s="1212"/>
      <c r="U15" s="1212"/>
      <c r="V15" s="1212"/>
      <c r="W15" s="1212"/>
      <c r="X15" s="1212"/>
      <c r="Y15" s="1212"/>
      <c r="Z15" s="1212"/>
      <c r="AA15" s="1212"/>
      <c r="AB15" s="1212"/>
      <c r="AC15" s="460"/>
      <c r="AD15" s="1212"/>
      <c r="AE15" s="1212"/>
      <c r="AF15" s="1212"/>
      <c r="AG15" s="1212"/>
      <c r="AH15" s="1212"/>
      <c r="AI15" s="460"/>
      <c r="AJ15" s="460"/>
      <c r="AK15" s="460"/>
      <c r="AL15" s="460"/>
      <c r="AM15" s="460"/>
      <c r="AN15" s="460"/>
      <c r="AO15" s="460"/>
      <c r="AP15" s="460"/>
      <c r="AQ15" s="460"/>
      <c r="AR15" s="1212"/>
      <c r="AS15" s="1212"/>
      <c r="AT15" s="1212"/>
      <c r="AU15" s="1212"/>
      <c r="AV15" s="1212"/>
      <c r="AW15" s="1215">
        <f t="shared" si="2"/>
        <v>0</v>
      </c>
      <c r="BA15" s="1155"/>
      <c r="BB15" s="1155"/>
      <c r="BC15" s="1155"/>
      <c r="BD15" s="1155"/>
      <c r="BE15" s="1155"/>
      <c r="BF15" s="1155"/>
      <c r="BG15" s="1155"/>
      <c r="BH15" s="1145"/>
      <c r="BI15" s="1145"/>
      <c r="BJ15" s="1145"/>
      <c r="BK15" s="1145"/>
      <c r="BL15" s="1145"/>
      <c r="BM15" s="1145"/>
      <c r="BN15" s="1145"/>
      <c r="BO15" s="1145"/>
      <c r="BP15" s="1145"/>
      <c r="BQ15" s="1145"/>
      <c r="BR15" s="1145"/>
      <c r="BS15" s="1145"/>
      <c r="BT15" s="1145"/>
      <c r="BU15" s="1145"/>
      <c r="BV15" s="1145"/>
      <c r="BW15" s="1145"/>
      <c r="BX15" s="1145"/>
      <c r="BY15" s="1145"/>
    </row>
    <row r="16" spans="1:77" ht="90">
      <c r="A16" s="1377"/>
      <c r="B16" s="1375"/>
      <c r="C16" s="1375"/>
      <c r="D16" s="1367"/>
      <c r="E16" s="1367"/>
      <c r="F16" s="365"/>
      <c r="G16" s="365"/>
      <c r="H16" s="693">
        <v>1</v>
      </c>
      <c r="I16" s="750" t="s">
        <v>669</v>
      </c>
      <c r="J16" s="688" t="s">
        <v>670</v>
      </c>
      <c r="K16" s="367"/>
      <c r="L16" s="690">
        <v>0.5</v>
      </c>
      <c r="M16" s="366">
        <v>0.5</v>
      </c>
      <c r="N16" s="771"/>
      <c r="O16" s="1214"/>
      <c r="P16" s="1212"/>
      <c r="Q16" s="1212"/>
      <c r="R16" s="1212"/>
      <c r="S16" s="1212"/>
      <c r="T16" s="1212"/>
      <c r="U16" s="1212"/>
      <c r="V16" s="1212"/>
      <c r="W16" s="1212"/>
      <c r="X16" s="1212"/>
      <c r="Y16" s="1212"/>
      <c r="Z16" s="1212"/>
      <c r="AA16" s="1212"/>
      <c r="AB16" s="1212"/>
      <c r="AC16" s="460"/>
      <c r="AD16" s="1212"/>
      <c r="AE16" s="1212"/>
      <c r="AF16" s="1212"/>
      <c r="AG16" s="1212"/>
      <c r="AH16" s="1212"/>
      <c r="AI16" s="460"/>
      <c r="AJ16" s="460"/>
      <c r="AK16" s="460"/>
      <c r="AL16" s="460"/>
      <c r="AM16" s="460"/>
      <c r="AN16" s="460"/>
      <c r="AO16" s="460"/>
      <c r="AP16" s="460"/>
      <c r="AQ16" s="460"/>
      <c r="AR16" s="1212"/>
      <c r="AS16" s="1212"/>
      <c r="AT16" s="1212"/>
      <c r="AU16" s="1212"/>
      <c r="AV16" s="1212"/>
      <c r="AW16" s="1215">
        <f t="shared" si="2"/>
        <v>0</v>
      </c>
      <c r="BA16" s="1208" t="s">
        <v>1799</v>
      </c>
      <c r="BB16" s="1208" t="s">
        <v>1850</v>
      </c>
      <c r="BC16" s="1208" t="s">
        <v>1850</v>
      </c>
      <c r="BD16" s="1208" t="s">
        <v>1850</v>
      </c>
      <c r="BE16" s="1208" t="s">
        <v>1850</v>
      </c>
      <c r="BF16" s="1208" t="s">
        <v>1851</v>
      </c>
      <c r="BG16" s="1208">
        <v>4</v>
      </c>
      <c r="BH16" s="1145"/>
      <c r="BI16" s="1145"/>
      <c r="BJ16" s="1145"/>
      <c r="BK16" s="1145"/>
      <c r="BL16" s="1145"/>
      <c r="BM16" s="1145"/>
      <c r="BN16" s="1145"/>
      <c r="BO16" s="1145"/>
      <c r="BP16" s="1145"/>
      <c r="BQ16" s="1145"/>
      <c r="BR16" s="1145"/>
      <c r="BS16" s="1145"/>
      <c r="BT16" s="1145"/>
      <c r="BU16" s="1145"/>
      <c r="BV16" s="1145"/>
      <c r="BW16" s="1145"/>
      <c r="BX16" s="1145"/>
      <c r="BY16" s="1145"/>
    </row>
    <row r="17" spans="1:77" ht="51">
      <c r="A17" s="1377"/>
      <c r="B17" s="1375"/>
      <c r="C17" s="1375"/>
      <c r="D17" s="1367"/>
      <c r="E17" s="1367"/>
      <c r="F17" s="365"/>
      <c r="G17" s="365"/>
      <c r="H17" s="693">
        <v>1</v>
      </c>
      <c r="I17" s="750" t="s">
        <v>671</v>
      </c>
      <c r="J17" s="688" t="s">
        <v>672</v>
      </c>
      <c r="K17" s="367"/>
      <c r="L17" s="366">
        <v>0.5</v>
      </c>
      <c r="M17" s="366">
        <v>0.5</v>
      </c>
      <c r="N17" s="374"/>
      <c r="O17" s="1214"/>
      <c r="P17" s="1212"/>
      <c r="Q17" s="1212"/>
      <c r="R17" s="1212"/>
      <c r="S17" s="1212"/>
      <c r="T17" s="1212"/>
      <c r="U17" s="1212"/>
      <c r="V17" s="1212"/>
      <c r="W17" s="1212"/>
      <c r="X17" s="1212"/>
      <c r="Y17" s="1212"/>
      <c r="Z17" s="1212"/>
      <c r="AA17" s="1212"/>
      <c r="AB17" s="1212"/>
      <c r="AC17" s="460"/>
      <c r="AD17" s="1212"/>
      <c r="AE17" s="1212"/>
      <c r="AF17" s="1212"/>
      <c r="AG17" s="1212"/>
      <c r="AH17" s="1212"/>
      <c r="AI17" s="460"/>
      <c r="AJ17" s="460"/>
      <c r="AK17" s="460"/>
      <c r="AL17" s="460"/>
      <c r="AM17" s="460"/>
      <c r="AN17" s="460"/>
      <c r="AO17" s="460"/>
      <c r="AP17" s="460"/>
      <c r="AQ17" s="460"/>
      <c r="AR17" s="1212"/>
      <c r="AS17" s="1212"/>
      <c r="AT17" s="1212"/>
      <c r="AU17" s="1212"/>
      <c r="AV17" s="1212"/>
      <c r="AW17" s="1215">
        <f t="shared" si="2"/>
        <v>0</v>
      </c>
      <c r="BA17" s="1209"/>
      <c r="BB17" s="1209"/>
      <c r="BC17" s="1209"/>
      <c r="BD17" s="1209"/>
      <c r="BE17" s="1209"/>
      <c r="BF17" s="1209"/>
      <c r="BG17" s="1209"/>
      <c r="BH17" s="1145"/>
      <c r="BI17" s="1145"/>
      <c r="BJ17" s="1145"/>
      <c r="BK17" s="1145"/>
      <c r="BL17" s="1145"/>
      <c r="BM17" s="1145"/>
      <c r="BN17" s="1145"/>
      <c r="BO17" s="1145"/>
      <c r="BP17" s="1145"/>
      <c r="BQ17" s="1145"/>
      <c r="BR17" s="1145"/>
      <c r="BS17" s="1145"/>
      <c r="BT17" s="1145"/>
      <c r="BU17" s="1145"/>
      <c r="BV17" s="1145"/>
      <c r="BW17" s="1145"/>
      <c r="BX17" s="1145"/>
      <c r="BY17" s="1145"/>
    </row>
    <row r="18" spans="1:77" ht="78.75" customHeight="1" hidden="1">
      <c r="A18" s="1377"/>
      <c r="B18" s="1375"/>
      <c r="C18" s="1375"/>
      <c r="D18" s="1367"/>
      <c r="E18" s="1367"/>
      <c r="F18" s="365"/>
      <c r="G18" s="365"/>
      <c r="H18" s="693">
        <v>1</v>
      </c>
      <c r="I18" s="750" t="s">
        <v>673</v>
      </c>
      <c r="J18" s="688" t="s">
        <v>674</v>
      </c>
      <c r="K18" s="367"/>
      <c r="L18" s="367">
        <v>1</v>
      </c>
      <c r="M18" s="688"/>
      <c r="N18" s="771"/>
      <c r="O18" s="1214"/>
      <c r="P18" s="1212"/>
      <c r="Q18" s="1212"/>
      <c r="R18" s="1212"/>
      <c r="S18" s="1212"/>
      <c r="T18" s="1212"/>
      <c r="U18" s="1212"/>
      <c r="V18" s="1212"/>
      <c r="W18" s="1212"/>
      <c r="X18" s="1212"/>
      <c r="Y18" s="1212"/>
      <c r="Z18" s="1212"/>
      <c r="AA18" s="1212"/>
      <c r="AB18" s="1212"/>
      <c r="AC18" s="460"/>
      <c r="AD18" s="1212"/>
      <c r="AE18" s="1212"/>
      <c r="AF18" s="1212"/>
      <c r="AG18" s="1212"/>
      <c r="AH18" s="1212"/>
      <c r="AI18" s="460"/>
      <c r="AJ18" s="460"/>
      <c r="AK18" s="460"/>
      <c r="AL18" s="460"/>
      <c r="AM18" s="460"/>
      <c r="AN18" s="460"/>
      <c r="AO18" s="460"/>
      <c r="AP18" s="460"/>
      <c r="AQ18" s="460"/>
      <c r="AR18" s="1212"/>
      <c r="AS18" s="1212"/>
      <c r="AT18" s="1212"/>
      <c r="AU18" s="1212"/>
      <c r="AV18" s="1212"/>
      <c r="AW18" s="1215">
        <f t="shared" si="2"/>
        <v>0</v>
      </c>
      <c r="BA18" s="1209"/>
      <c r="BB18" s="1209"/>
      <c r="BC18" s="1209"/>
      <c r="BD18" s="1209"/>
      <c r="BE18" s="1209"/>
      <c r="BF18" s="1209"/>
      <c r="BG18" s="1209"/>
      <c r="BH18" s="1145"/>
      <c r="BI18" s="1145"/>
      <c r="BJ18" s="1145"/>
      <c r="BK18" s="1145"/>
      <c r="BL18" s="1145"/>
      <c r="BM18" s="1145"/>
      <c r="BN18" s="1145"/>
      <c r="BO18" s="1145"/>
      <c r="BP18" s="1145"/>
      <c r="BQ18" s="1145"/>
      <c r="BR18" s="1145"/>
      <c r="BS18" s="1145"/>
      <c r="BT18" s="1145"/>
      <c r="BU18" s="1145"/>
      <c r="BV18" s="1145"/>
      <c r="BW18" s="1145"/>
      <c r="BX18" s="1145"/>
      <c r="BY18" s="1145"/>
    </row>
    <row r="19" spans="1:77" ht="67.5">
      <c r="A19" s="1377"/>
      <c r="B19" s="1375"/>
      <c r="C19" s="1375"/>
      <c r="D19" s="1367" t="s">
        <v>675</v>
      </c>
      <c r="E19" s="1367" t="s">
        <v>676</v>
      </c>
      <c r="F19" s="365"/>
      <c r="G19" s="365"/>
      <c r="H19" s="693">
        <v>1</v>
      </c>
      <c r="I19" s="750" t="s">
        <v>677</v>
      </c>
      <c r="J19" s="688" t="s">
        <v>678</v>
      </c>
      <c r="K19" s="367"/>
      <c r="L19" s="367" t="s">
        <v>679</v>
      </c>
      <c r="M19" s="688" t="s">
        <v>679</v>
      </c>
      <c r="N19" s="770">
        <v>0.01</v>
      </c>
      <c r="O19" s="1214"/>
      <c r="P19" s="1212"/>
      <c r="Q19" s="1212"/>
      <c r="R19" s="1212"/>
      <c r="S19" s="1212"/>
      <c r="T19" s="1212"/>
      <c r="U19" s="1212"/>
      <c r="V19" s="1212"/>
      <c r="W19" s="1212"/>
      <c r="X19" s="1212"/>
      <c r="Y19" s="1212"/>
      <c r="Z19" s="1212"/>
      <c r="AA19" s="1212"/>
      <c r="AB19" s="1212"/>
      <c r="AC19" s="460"/>
      <c r="AD19" s="1212"/>
      <c r="AE19" s="1212"/>
      <c r="AF19" s="1212"/>
      <c r="AG19" s="1212"/>
      <c r="AH19" s="1212"/>
      <c r="AI19" s="460"/>
      <c r="AJ19" s="460"/>
      <c r="AK19" s="460"/>
      <c r="AL19" s="460"/>
      <c r="AM19" s="460"/>
      <c r="AN19" s="460"/>
      <c r="AO19" s="460"/>
      <c r="AP19" s="460"/>
      <c r="AQ19" s="460"/>
      <c r="AR19" s="1212"/>
      <c r="AS19" s="1212"/>
      <c r="AT19" s="1212"/>
      <c r="AU19" s="1212"/>
      <c r="AV19" s="1212"/>
      <c r="AW19" s="1215">
        <f t="shared" si="2"/>
        <v>0</v>
      </c>
      <c r="BA19" s="1209"/>
      <c r="BB19" s="1209"/>
      <c r="BC19" s="1209"/>
      <c r="BD19" s="1209"/>
      <c r="BE19" s="1209"/>
      <c r="BF19" s="1209"/>
      <c r="BG19" s="1209"/>
      <c r="BH19" s="1145"/>
      <c r="BI19" s="1145"/>
      <c r="BJ19" s="1145"/>
      <c r="BK19" s="1145"/>
      <c r="BL19" s="1145"/>
      <c r="BM19" s="1145"/>
      <c r="BN19" s="1145"/>
      <c r="BO19" s="1145"/>
      <c r="BP19" s="1145"/>
      <c r="BQ19" s="1145"/>
      <c r="BR19" s="1145"/>
      <c r="BS19" s="1145"/>
      <c r="BT19" s="1145"/>
      <c r="BU19" s="1145"/>
      <c r="BV19" s="1145"/>
      <c r="BW19" s="1145"/>
      <c r="BX19" s="1145"/>
      <c r="BY19" s="1145"/>
    </row>
    <row r="20" spans="1:77" ht="67.5">
      <c r="A20" s="1377"/>
      <c r="B20" s="1375"/>
      <c r="C20" s="1375"/>
      <c r="D20" s="1367"/>
      <c r="E20" s="1367"/>
      <c r="F20" s="365"/>
      <c r="G20" s="365"/>
      <c r="H20" s="693">
        <v>1</v>
      </c>
      <c r="I20" s="750" t="s">
        <v>680</v>
      </c>
      <c r="J20" s="688" t="s">
        <v>681</v>
      </c>
      <c r="K20" s="688">
        <v>200</v>
      </c>
      <c r="L20" s="688">
        <v>200</v>
      </c>
      <c r="M20" s="688">
        <v>200</v>
      </c>
      <c r="N20" s="374">
        <v>200</v>
      </c>
      <c r="O20" s="1214"/>
      <c r="P20" s="1212"/>
      <c r="Q20" s="1212"/>
      <c r="R20" s="1212"/>
      <c r="S20" s="1212"/>
      <c r="T20" s="1212"/>
      <c r="U20" s="1212"/>
      <c r="V20" s="1212"/>
      <c r="W20" s="1212"/>
      <c r="X20" s="1212"/>
      <c r="Y20" s="1212"/>
      <c r="Z20" s="1212"/>
      <c r="AA20" s="1212"/>
      <c r="AB20" s="1212"/>
      <c r="AC20" s="460"/>
      <c r="AD20" s="1212"/>
      <c r="AE20" s="1212"/>
      <c r="AF20" s="1212"/>
      <c r="AG20" s="1212"/>
      <c r="AH20" s="1212"/>
      <c r="AI20" s="460"/>
      <c r="AJ20" s="460"/>
      <c r="AK20" s="460"/>
      <c r="AL20" s="460"/>
      <c r="AM20" s="460"/>
      <c r="AN20" s="460"/>
      <c r="AO20" s="460"/>
      <c r="AP20" s="460"/>
      <c r="AQ20" s="460"/>
      <c r="AR20" s="1212"/>
      <c r="AS20" s="1212"/>
      <c r="AT20" s="1212"/>
      <c r="AU20" s="1212"/>
      <c r="AV20" s="1212"/>
      <c r="AW20" s="1215">
        <f t="shared" si="2"/>
        <v>0</v>
      </c>
      <c r="BA20" s="1209"/>
      <c r="BB20" s="1209"/>
      <c r="BC20" s="1209"/>
      <c r="BD20" s="1209"/>
      <c r="BE20" s="1209"/>
      <c r="BF20" s="1209"/>
      <c r="BG20" s="1209"/>
      <c r="BH20" s="1145"/>
      <c r="BI20" s="1145"/>
      <c r="BJ20" s="1145"/>
      <c r="BK20" s="1145"/>
      <c r="BL20" s="1145"/>
      <c r="BM20" s="1145"/>
      <c r="BN20" s="1145"/>
      <c r="BO20" s="1145"/>
      <c r="BP20" s="1145"/>
      <c r="BQ20" s="1145"/>
      <c r="BR20" s="1145"/>
      <c r="BS20" s="1145"/>
      <c r="BT20" s="1145"/>
      <c r="BU20" s="1145"/>
      <c r="BV20" s="1145"/>
      <c r="BW20" s="1145"/>
      <c r="BX20" s="1145"/>
      <c r="BY20" s="1145"/>
    </row>
    <row r="21" spans="1:77" ht="90">
      <c r="A21" s="1377"/>
      <c r="B21" s="1375"/>
      <c r="C21" s="1375"/>
      <c r="D21" s="1367"/>
      <c r="E21" s="1367"/>
      <c r="F21" s="365"/>
      <c r="G21" s="365"/>
      <c r="H21" s="693">
        <v>1</v>
      </c>
      <c r="I21" s="750" t="s">
        <v>682</v>
      </c>
      <c r="J21" s="688" t="s">
        <v>683</v>
      </c>
      <c r="K21" s="367"/>
      <c r="L21" s="366">
        <v>0.5</v>
      </c>
      <c r="M21" s="366">
        <v>0.5</v>
      </c>
      <c r="N21" s="771"/>
      <c r="O21" s="1214"/>
      <c r="P21" s="1212"/>
      <c r="Q21" s="1212"/>
      <c r="R21" s="1212"/>
      <c r="S21" s="1212"/>
      <c r="T21" s="1212"/>
      <c r="U21" s="1212"/>
      <c r="V21" s="1212"/>
      <c r="W21" s="1212"/>
      <c r="X21" s="1212"/>
      <c r="Y21" s="1212"/>
      <c r="Z21" s="1212"/>
      <c r="AA21" s="1212"/>
      <c r="AB21" s="1212"/>
      <c r="AC21" s="460"/>
      <c r="AD21" s="1212"/>
      <c r="AE21" s="1212"/>
      <c r="AF21" s="1212"/>
      <c r="AG21" s="1212"/>
      <c r="AH21" s="1212"/>
      <c r="AI21" s="460"/>
      <c r="AJ21" s="460"/>
      <c r="AK21" s="460"/>
      <c r="AL21" s="460"/>
      <c r="AM21" s="460"/>
      <c r="AN21" s="460"/>
      <c r="AO21" s="460"/>
      <c r="AP21" s="460"/>
      <c r="AQ21" s="460"/>
      <c r="AR21" s="1212"/>
      <c r="AS21" s="1212"/>
      <c r="AT21" s="1212"/>
      <c r="AU21" s="1212"/>
      <c r="AV21" s="1212"/>
      <c r="AW21" s="1215">
        <f t="shared" si="2"/>
        <v>0</v>
      </c>
      <c r="BA21" s="1209"/>
      <c r="BB21" s="1209"/>
      <c r="BC21" s="1209"/>
      <c r="BD21" s="1209"/>
      <c r="BE21" s="1209"/>
      <c r="BF21" s="1209"/>
      <c r="BG21" s="1209"/>
      <c r="BH21" s="1145"/>
      <c r="BI21" s="1145"/>
      <c r="BJ21" s="1145"/>
      <c r="BK21" s="1145"/>
      <c r="BL21" s="1145"/>
      <c r="BM21" s="1145"/>
      <c r="BN21" s="1145"/>
      <c r="BO21" s="1145"/>
      <c r="BP21" s="1145"/>
      <c r="BQ21" s="1145"/>
      <c r="BR21" s="1145"/>
      <c r="BS21" s="1145"/>
      <c r="BT21" s="1145"/>
      <c r="BU21" s="1145"/>
      <c r="BV21" s="1145"/>
      <c r="BW21" s="1145"/>
      <c r="BX21" s="1145"/>
      <c r="BY21" s="1145"/>
    </row>
    <row r="22" spans="1:77" ht="123.75">
      <c r="A22" s="1377"/>
      <c r="B22" s="1375"/>
      <c r="C22" s="1375"/>
      <c r="D22" s="1367"/>
      <c r="E22" s="1367"/>
      <c r="F22" s="365"/>
      <c r="G22" s="365"/>
      <c r="H22" s="693">
        <v>10</v>
      </c>
      <c r="I22" s="750" t="s">
        <v>684</v>
      </c>
      <c r="J22" s="688" t="s">
        <v>685</v>
      </c>
      <c r="K22" s="367"/>
      <c r="L22" s="690">
        <v>0.5</v>
      </c>
      <c r="M22" s="690">
        <v>0.5</v>
      </c>
      <c r="N22" s="771"/>
      <c r="O22" s="1214"/>
      <c r="P22" s="1212"/>
      <c r="Q22" s="1212"/>
      <c r="R22" s="1212"/>
      <c r="S22" s="1212"/>
      <c r="T22" s="1212"/>
      <c r="U22" s="1212"/>
      <c r="V22" s="1212"/>
      <c r="W22" s="1212"/>
      <c r="X22" s="1212"/>
      <c r="Y22" s="1212"/>
      <c r="Z22" s="1212"/>
      <c r="AA22" s="1212"/>
      <c r="AB22" s="1212"/>
      <c r="AC22" s="460"/>
      <c r="AD22" s="1212"/>
      <c r="AE22" s="1212"/>
      <c r="AF22" s="1212"/>
      <c r="AG22" s="1212"/>
      <c r="AH22" s="1212"/>
      <c r="AI22" s="460"/>
      <c r="AJ22" s="460"/>
      <c r="AK22" s="460"/>
      <c r="AL22" s="460"/>
      <c r="AM22" s="460"/>
      <c r="AN22" s="460"/>
      <c r="AO22" s="460"/>
      <c r="AP22" s="460"/>
      <c r="AQ22" s="460"/>
      <c r="AR22" s="1212"/>
      <c r="AS22" s="1212"/>
      <c r="AT22" s="1212"/>
      <c r="AU22" s="1212"/>
      <c r="AV22" s="1212"/>
      <c r="AW22" s="1215">
        <f t="shared" si="2"/>
        <v>0</v>
      </c>
      <c r="BA22" s="1209"/>
      <c r="BB22" s="1209"/>
      <c r="BC22" s="1209"/>
      <c r="BD22" s="1209"/>
      <c r="BE22" s="1209"/>
      <c r="BF22" s="1209"/>
      <c r="BG22" s="1209"/>
      <c r="BH22" s="1145"/>
      <c r="BI22" s="1145"/>
      <c r="BJ22" s="1145"/>
      <c r="BK22" s="1145"/>
      <c r="BL22" s="1145"/>
      <c r="BM22" s="1145"/>
      <c r="BN22" s="1145"/>
      <c r="BO22" s="1145"/>
      <c r="BP22" s="1145"/>
      <c r="BQ22" s="1145"/>
      <c r="BR22" s="1145"/>
      <c r="BS22" s="1145"/>
      <c r="BT22" s="1145"/>
      <c r="BU22" s="1145"/>
      <c r="BV22" s="1145"/>
      <c r="BW22" s="1145"/>
      <c r="BX22" s="1145"/>
      <c r="BY22" s="1145"/>
    </row>
    <row r="23" spans="1:77" ht="89.25" customHeight="1">
      <c r="A23" s="1377"/>
      <c r="B23" s="1375"/>
      <c r="C23" s="1375"/>
      <c r="D23" s="1367" t="s">
        <v>686</v>
      </c>
      <c r="E23" s="1367" t="s">
        <v>687</v>
      </c>
      <c r="F23" s="365"/>
      <c r="G23" s="365"/>
      <c r="H23" s="693">
        <v>12</v>
      </c>
      <c r="I23" s="750" t="s">
        <v>689</v>
      </c>
      <c r="J23" s="688" t="s">
        <v>690</v>
      </c>
      <c r="K23" s="688" t="s">
        <v>691</v>
      </c>
      <c r="L23" s="688" t="s">
        <v>692</v>
      </c>
      <c r="M23" s="688" t="s">
        <v>693</v>
      </c>
      <c r="N23" s="374" t="s">
        <v>694</v>
      </c>
      <c r="O23" s="1214"/>
      <c r="P23" s="1212"/>
      <c r="Q23" s="1212"/>
      <c r="R23" s="1212"/>
      <c r="S23" s="1212"/>
      <c r="T23" s="1212"/>
      <c r="U23" s="1212"/>
      <c r="V23" s="1212"/>
      <c r="W23" s="1212"/>
      <c r="X23" s="1212"/>
      <c r="Y23" s="1212"/>
      <c r="Z23" s="1212"/>
      <c r="AA23" s="1212"/>
      <c r="AB23" s="1212"/>
      <c r="AC23" s="460"/>
      <c r="AD23" s="1212"/>
      <c r="AE23" s="1212"/>
      <c r="AF23" s="1212"/>
      <c r="AG23" s="1212"/>
      <c r="AH23" s="1212"/>
      <c r="AI23" s="460"/>
      <c r="AJ23" s="460"/>
      <c r="AK23" s="460"/>
      <c r="AL23" s="460"/>
      <c r="AM23" s="460"/>
      <c r="AN23" s="460"/>
      <c r="AO23" s="460"/>
      <c r="AP23" s="460"/>
      <c r="AQ23" s="460"/>
      <c r="AR23" s="1212"/>
      <c r="AS23" s="1212"/>
      <c r="AT23" s="1212"/>
      <c r="AU23" s="1212"/>
      <c r="AV23" s="1212"/>
      <c r="AW23" s="1215">
        <f t="shared" si="2"/>
        <v>0</v>
      </c>
      <c r="BA23" s="1209"/>
      <c r="BB23" s="1209"/>
      <c r="BC23" s="1209"/>
      <c r="BD23" s="1209"/>
      <c r="BE23" s="1209"/>
      <c r="BF23" s="1209"/>
      <c r="BG23" s="1209"/>
      <c r="BH23" s="1145"/>
      <c r="BI23" s="1145"/>
      <c r="BJ23" s="1145"/>
      <c r="BK23" s="1145"/>
      <c r="BL23" s="1145"/>
      <c r="BM23" s="1145"/>
      <c r="BN23" s="1145"/>
      <c r="BO23" s="1145"/>
      <c r="BP23" s="1145"/>
      <c r="BQ23" s="1145"/>
      <c r="BR23" s="1145"/>
      <c r="BS23" s="1145"/>
      <c r="BT23" s="1145"/>
      <c r="BU23" s="1145"/>
      <c r="BV23" s="1145"/>
      <c r="BW23" s="1145"/>
      <c r="BX23" s="1145"/>
      <c r="BY23" s="1145"/>
    </row>
    <row r="24" spans="1:77" ht="78.75">
      <c r="A24" s="1377"/>
      <c r="B24" s="1375"/>
      <c r="C24" s="1375"/>
      <c r="D24" s="1367"/>
      <c r="E24" s="1367"/>
      <c r="F24" s="365"/>
      <c r="G24" s="365"/>
      <c r="H24" s="693">
        <v>1</v>
      </c>
      <c r="I24" s="750" t="s">
        <v>695</v>
      </c>
      <c r="J24" s="688" t="s">
        <v>696</v>
      </c>
      <c r="K24" s="690">
        <v>1</v>
      </c>
      <c r="L24" s="690">
        <v>1</v>
      </c>
      <c r="M24" s="690">
        <v>1</v>
      </c>
      <c r="N24" s="770">
        <v>1</v>
      </c>
      <c r="O24" s="1214"/>
      <c r="P24" s="1212"/>
      <c r="Q24" s="1212"/>
      <c r="R24" s="1212"/>
      <c r="S24" s="1212"/>
      <c r="T24" s="1212"/>
      <c r="U24" s="1212"/>
      <c r="V24" s="1212"/>
      <c r="W24" s="1212"/>
      <c r="X24" s="1212"/>
      <c r="Y24" s="1212"/>
      <c r="Z24" s="1212"/>
      <c r="AA24" s="1212"/>
      <c r="AB24" s="1212"/>
      <c r="AC24" s="460"/>
      <c r="AD24" s="1212"/>
      <c r="AE24" s="1212"/>
      <c r="AF24" s="1212"/>
      <c r="AG24" s="1212"/>
      <c r="AH24" s="1212"/>
      <c r="AI24" s="460"/>
      <c r="AJ24" s="460"/>
      <c r="AK24" s="460"/>
      <c r="AL24" s="460"/>
      <c r="AM24" s="460"/>
      <c r="AN24" s="460"/>
      <c r="AO24" s="460"/>
      <c r="AP24" s="460"/>
      <c r="AQ24" s="460"/>
      <c r="AR24" s="1212"/>
      <c r="AS24" s="1212"/>
      <c r="AT24" s="1212"/>
      <c r="AU24" s="1212"/>
      <c r="AV24" s="1212"/>
      <c r="AW24" s="1215">
        <f t="shared" si="2"/>
        <v>0</v>
      </c>
      <c r="BA24" s="1209"/>
      <c r="BB24" s="1209"/>
      <c r="BC24" s="1209"/>
      <c r="BD24" s="1209"/>
      <c r="BE24" s="1209"/>
      <c r="BF24" s="1209"/>
      <c r="BG24" s="1209"/>
      <c r="BH24" s="1145"/>
      <c r="BI24" s="1145"/>
      <c r="BJ24" s="1145"/>
      <c r="BK24" s="1145"/>
      <c r="BL24" s="1145"/>
      <c r="BM24" s="1145"/>
      <c r="BN24" s="1145"/>
      <c r="BO24" s="1145"/>
      <c r="BP24" s="1145"/>
      <c r="BQ24" s="1145"/>
      <c r="BR24" s="1145"/>
      <c r="BS24" s="1145"/>
      <c r="BT24" s="1145"/>
      <c r="BU24" s="1145"/>
      <c r="BV24" s="1145"/>
      <c r="BW24" s="1145"/>
      <c r="BX24" s="1145"/>
      <c r="BY24" s="1145"/>
    </row>
    <row r="25" spans="1:77" ht="101.25">
      <c r="A25" s="1377"/>
      <c r="B25" s="1375"/>
      <c r="C25" s="1375"/>
      <c r="D25" s="1367"/>
      <c r="E25" s="1367"/>
      <c r="F25" s="365"/>
      <c r="G25" s="365"/>
      <c r="H25" s="693">
        <v>1</v>
      </c>
      <c r="I25" s="750" t="s">
        <v>697</v>
      </c>
      <c r="J25" s="688" t="s">
        <v>698</v>
      </c>
      <c r="K25" s="690">
        <v>1</v>
      </c>
      <c r="L25" s="690">
        <v>1</v>
      </c>
      <c r="M25" s="690">
        <v>1</v>
      </c>
      <c r="N25" s="770">
        <v>1</v>
      </c>
      <c r="O25" s="1214"/>
      <c r="P25" s="1212"/>
      <c r="Q25" s="1212"/>
      <c r="R25" s="1212"/>
      <c r="S25" s="1212"/>
      <c r="T25" s="1212"/>
      <c r="U25" s="1212"/>
      <c r="V25" s="1212"/>
      <c r="W25" s="1212"/>
      <c r="X25" s="1212"/>
      <c r="Y25" s="1212"/>
      <c r="Z25" s="1212"/>
      <c r="AA25" s="1212"/>
      <c r="AB25" s="1212"/>
      <c r="AC25" s="460"/>
      <c r="AD25" s="1212"/>
      <c r="AE25" s="1212"/>
      <c r="AF25" s="1212"/>
      <c r="AG25" s="1212"/>
      <c r="AH25" s="1212"/>
      <c r="AI25" s="460"/>
      <c r="AJ25" s="460"/>
      <c r="AK25" s="460"/>
      <c r="AL25" s="460"/>
      <c r="AM25" s="460"/>
      <c r="AN25" s="460"/>
      <c r="AO25" s="460"/>
      <c r="AP25" s="460"/>
      <c r="AQ25" s="460"/>
      <c r="AR25" s="1212"/>
      <c r="AS25" s="1212"/>
      <c r="AT25" s="1212"/>
      <c r="AU25" s="1212"/>
      <c r="AV25" s="1212"/>
      <c r="AW25" s="1215">
        <f t="shared" si="2"/>
        <v>0</v>
      </c>
      <c r="BA25" s="1209"/>
      <c r="BB25" s="1209"/>
      <c r="BC25" s="1209"/>
      <c r="BD25" s="1209"/>
      <c r="BE25" s="1209"/>
      <c r="BF25" s="1209"/>
      <c r="BG25" s="1209"/>
      <c r="BH25" s="1145"/>
      <c r="BI25" s="1145"/>
      <c r="BJ25" s="1145"/>
      <c r="BK25" s="1145"/>
      <c r="BL25" s="1145"/>
      <c r="BM25" s="1145"/>
      <c r="BN25" s="1145"/>
      <c r="BO25" s="1145"/>
      <c r="BP25" s="1145"/>
      <c r="BQ25" s="1145"/>
      <c r="BR25" s="1145"/>
      <c r="BS25" s="1145"/>
      <c r="BT25" s="1145"/>
      <c r="BU25" s="1145"/>
      <c r="BV25" s="1145"/>
      <c r="BW25" s="1145"/>
      <c r="BX25" s="1145"/>
      <c r="BY25" s="1145"/>
    </row>
    <row r="26" spans="1:77" ht="140.25">
      <c r="A26" s="1377"/>
      <c r="B26" s="1375"/>
      <c r="C26" s="1375"/>
      <c r="D26" s="1367"/>
      <c r="E26" s="1367"/>
      <c r="F26" s="365"/>
      <c r="G26" s="365"/>
      <c r="H26" s="693">
        <v>1</v>
      </c>
      <c r="I26" s="750" t="s">
        <v>699</v>
      </c>
      <c r="J26" s="688" t="s">
        <v>700</v>
      </c>
      <c r="K26" s="690">
        <v>1</v>
      </c>
      <c r="L26" s="690">
        <v>1</v>
      </c>
      <c r="M26" s="690">
        <v>1</v>
      </c>
      <c r="N26" s="770">
        <v>1</v>
      </c>
      <c r="O26" s="1214"/>
      <c r="P26" s="1212"/>
      <c r="Q26" s="1212"/>
      <c r="R26" s="1212"/>
      <c r="S26" s="1212"/>
      <c r="T26" s="1212"/>
      <c r="U26" s="1212"/>
      <c r="V26" s="1212"/>
      <c r="W26" s="1212"/>
      <c r="X26" s="1212"/>
      <c r="Y26" s="1212"/>
      <c r="Z26" s="1212"/>
      <c r="AA26" s="1212"/>
      <c r="AB26" s="1212"/>
      <c r="AC26" s="460"/>
      <c r="AD26" s="1212"/>
      <c r="AE26" s="1212"/>
      <c r="AF26" s="1212"/>
      <c r="AG26" s="1212"/>
      <c r="AH26" s="1212"/>
      <c r="AI26" s="460"/>
      <c r="AJ26" s="460"/>
      <c r="AK26" s="460"/>
      <c r="AL26" s="460"/>
      <c r="AM26" s="460"/>
      <c r="AN26" s="460"/>
      <c r="AO26" s="460"/>
      <c r="AP26" s="460"/>
      <c r="AQ26" s="460"/>
      <c r="AR26" s="1212"/>
      <c r="AS26" s="1212"/>
      <c r="AT26" s="1212"/>
      <c r="AU26" s="1212"/>
      <c r="AV26" s="1212"/>
      <c r="AW26" s="1215">
        <f t="shared" si="2"/>
        <v>0</v>
      </c>
      <c r="BA26" s="1209"/>
      <c r="BB26" s="1209"/>
      <c r="BC26" s="1209"/>
      <c r="BD26" s="1209"/>
      <c r="BE26" s="1209"/>
      <c r="BF26" s="1209"/>
      <c r="BG26" s="1209"/>
      <c r="BH26" s="1145"/>
      <c r="BI26" s="1145"/>
      <c r="BJ26" s="1145"/>
      <c r="BK26" s="1145"/>
      <c r="BL26" s="1145"/>
      <c r="BM26" s="1145"/>
      <c r="BN26" s="1145"/>
      <c r="BO26" s="1145"/>
      <c r="BP26" s="1145"/>
      <c r="BQ26" s="1145"/>
      <c r="BR26" s="1145"/>
      <c r="BS26" s="1145"/>
      <c r="BT26" s="1145"/>
      <c r="BU26" s="1145"/>
      <c r="BV26" s="1145"/>
      <c r="BW26" s="1145"/>
      <c r="BX26" s="1145"/>
      <c r="BY26" s="1145"/>
    </row>
    <row r="27" spans="1:77" ht="102.75" customHeight="1">
      <c r="A27" s="1377"/>
      <c r="B27" s="1375"/>
      <c r="C27" s="1375"/>
      <c r="D27" s="1367"/>
      <c r="E27" s="1367"/>
      <c r="F27" s="365"/>
      <c r="G27" s="365"/>
      <c r="H27" s="693">
        <v>1</v>
      </c>
      <c r="I27" s="750" t="s">
        <v>701</v>
      </c>
      <c r="J27" s="688" t="s">
        <v>702</v>
      </c>
      <c r="K27" s="688">
        <v>6</v>
      </c>
      <c r="L27" s="688">
        <v>6</v>
      </c>
      <c r="M27" s="688">
        <v>6</v>
      </c>
      <c r="N27" s="374">
        <v>6</v>
      </c>
      <c r="O27" s="1214"/>
      <c r="P27" s="1212"/>
      <c r="Q27" s="1212"/>
      <c r="R27" s="1212"/>
      <c r="S27" s="1212"/>
      <c r="T27" s="1212"/>
      <c r="U27" s="1212"/>
      <c r="V27" s="1212"/>
      <c r="W27" s="1212"/>
      <c r="X27" s="1212"/>
      <c r="Y27" s="1212"/>
      <c r="Z27" s="1212"/>
      <c r="AA27" s="1212"/>
      <c r="AB27" s="1212"/>
      <c r="AC27" s="460"/>
      <c r="AD27" s="1212"/>
      <c r="AE27" s="1212"/>
      <c r="AF27" s="1212"/>
      <c r="AG27" s="1212"/>
      <c r="AH27" s="1212"/>
      <c r="AI27" s="460"/>
      <c r="AJ27" s="460"/>
      <c r="AK27" s="460"/>
      <c r="AL27" s="460"/>
      <c r="AM27" s="460"/>
      <c r="AN27" s="460"/>
      <c r="AO27" s="460"/>
      <c r="AP27" s="460"/>
      <c r="AQ27" s="460"/>
      <c r="AR27" s="1212"/>
      <c r="AS27" s="1212"/>
      <c r="AT27" s="1212"/>
      <c r="AU27" s="1212"/>
      <c r="AV27" s="1212"/>
      <c r="AW27" s="1215">
        <f t="shared" si="2"/>
        <v>0</v>
      </c>
      <c r="BA27" s="1209"/>
      <c r="BB27" s="1209"/>
      <c r="BC27" s="1209"/>
      <c r="BD27" s="1209"/>
      <c r="BE27" s="1209"/>
      <c r="BF27" s="1209"/>
      <c r="BG27" s="1209"/>
      <c r="BH27" s="1145"/>
      <c r="BI27" s="1145"/>
      <c r="BJ27" s="1145"/>
      <c r="BK27" s="1145"/>
      <c r="BL27" s="1145"/>
      <c r="BM27" s="1145"/>
      <c r="BN27" s="1145"/>
      <c r="BO27" s="1145"/>
      <c r="BP27" s="1145"/>
      <c r="BQ27" s="1145"/>
      <c r="BR27" s="1145"/>
      <c r="BS27" s="1145"/>
      <c r="BT27" s="1145"/>
      <c r="BU27" s="1145"/>
      <c r="BV27" s="1145"/>
      <c r="BW27" s="1145"/>
      <c r="BX27" s="1145"/>
      <c r="BY27" s="1145"/>
    </row>
    <row r="28" spans="1:77" ht="84.75" customHeight="1">
      <c r="A28" s="1377"/>
      <c r="B28" s="1375"/>
      <c r="C28" s="1375"/>
      <c r="D28" s="1367"/>
      <c r="E28" s="1367"/>
      <c r="F28" s="365"/>
      <c r="G28" s="365"/>
      <c r="H28" s="693">
        <v>1</v>
      </c>
      <c r="I28" s="750" t="s">
        <v>703</v>
      </c>
      <c r="J28" s="688" t="s">
        <v>704</v>
      </c>
      <c r="K28" s="366">
        <v>1</v>
      </c>
      <c r="L28" s="366">
        <v>1</v>
      </c>
      <c r="M28" s="366">
        <v>1</v>
      </c>
      <c r="N28" s="772">
        <v>1</v>
      </c>
      <c r="O28" s="1214"/>
      <c r="P28" s="1212"/>
      <c r="Q28" s="1212"/>
      <c r="R28" s="1212"/>
      <c r="S28" s="1212"/>
      <c r="T28" s="1212"/>
      <c r="U28" s="1212"/>
      <c r="V28" s="1212"/>
      <c r="W28" s="1212"/>
      <c r="X28" s="1212"/>
      <c r="Y28" s="1212"/>
      <c r="Z28" s="1212"/>
      <c r="AA28" s="1212"/>
      <c r="AB28" s="1212"/>
      <c r="AC28" s="460"/>
      <c r="AD28" s="1212"/>
      <c r="AE28" s="1212"/>
      <c r="AF28" s="1212"/>
      <c r="AG28" s="1212"/>
      <c r="AH28" s="1212"/>
      <c r="AI28" s="460"/>
      <c r="AJ28" s="460"/>
      <c r="AK28" s="460"/>
      <c r="AL28" s="460"/>
      <c r="AM28" s="460"/>
      <c r="AN28" s="460"/>
      <c r="AO28" s="460"/>
      <c r="AP28" s="460"/>
      <c r="AQ28" s="460"/>
      <c r="AR28" s="1212"/>
      <c r="AS28" s="1212"/>
      <c r="AT28" s="1212"/>
      <c r="AU28" s="1212"/>
      <c r="AV28" s="1212"/>
      <c r="AW28" s="1215">
        <f t="shared" si="2"/>
        <v>0</v>
      </c>
      <c r="BA28" s="1209"/>
      <c r="BB28" s="1209"/>
      <c r="BC28" s="1209"/>
      <c r="BD28" s="1209"/>
      <c r="BE28" s="1209"/>
      <c r="BF28" s="1209"/>
      <c r="BG28" s="1209"/>
      <c r="BH28" s="1145"/>
      <c r="BI28" s="1145"/>
      <c r="BJ28" s="1145"/>
      <c r="BK28" s="1145"/>
      <c r="BL28" s="1145"/>
      <c r="BM28" s="1145"/>
      <c r="BN28" s="1145"/>
      <c r="BO28" s="1145"/>
      <c r="BP28" s="1145"/>
      <c r="BQ28" s="1145"/>
      <c r="BR28" s="1145"/>
      <c r="BS28" s="1145"/>
      <c r="BT28" s="1145"/>
      <c r="BU28" s="1145"/>
      <c r="BV28" s="1145"/>
      <c r="BW28" s="1145"/>
      <c r="BX28" s="1145"/>
      <c r="BY28" s="1145"/>
    </row>
    <row r="29" spans="1:77" ht="146.25" customHeight="1" hidden="1">
      <c r="A29" s="1377"/>
      <c r="B29" s="1375"/>
      <c r="C29" s="1375"/>
      <c r="D29" s="1367"/>
      <c r="E29" s="1367"/>
      <c r="F29" s="365"/>
      <c r="G29" s="365"/>
      <c r="H29" s="693">
        <v>1</v>
      </c>
      <c r="I29" s="750" t="s">
        <v>705</v>
      </c>
      <c r="J29" s="688" t="s">
        <v>706</v>
      </c>
      <c r="K29" s="367"/>
      <c r="L29" s="367">
        <v>1</v>
      </c>
      <c r="M29" s="688"/>
      <c r="N29" s="771"/>
      <c r="O29" s="1214"/>
      <c r="P29" s="1212"/>
      <c r="Q29" s="1212"/>
      <c r="R29" s="1212"/>
      <c r="S29" s="1212"/>
      <c r="T29" s="1212"/>
      <c r="U29" s="1212"/>
      <c r="V29" s="1212"/>
      <c r="W29" s="1212"/>
      <c r="X29" s="1212"/>
      <c r="Y29" s="1212"/>
      <c r="Z29" s="1212"/>
      <c r="AA29" s="1212"/>
      <c r="AB29" s="1212"/>
      <c r="AC29" s="460"/>
      <c r="AD29" s="1212"/>
      <c r="AE29" s="1212"/>
      <c r="AF29" s="1212"/>
      <c r="AG29" s="1212"/>
      <c r="AH29" s="1212"/>
      <c r="AI29" s="460"/>
      <c r="AJ29" s="460"/>
      <c r="AK29" s="460"/>
      <c r="AL29" s="460"/>
      <c r="AM29" s="460"/>
      <c r="AN29" s="460"/>
      <c r="AO29" s="460"/>
      <c r="AP29" s="460"/>
      <c r="AQ29" s="460"/>
      <c r="AR29" s="1212"/>
      <c r="AS29" s="1212"/>
      <c r="AT29" s="1212"/>
      <c r="AU29" s="1212"/>
      <c r="AV29" s="1212"/>
      <c r="AW29" s="1215">
        <f t="shared" si="2"/>
        <v>0</v>
      </c>
      <c r="BA29" s="1209"/>
      <c r="BB29" s="1209"/>
      <c r="BC29" s="1209"/>
      <c r="BD29" s="1209"/>
      <c r="BE29" s="1209"/>
      <c r="BF29" s="1209"/>
      <c r="BG29" s="1209"/>
      <c r="BH29" s="1145"/>
      <c r="BI29" s="1145"/>
      <c r="BJ29" s="1145"/>
      <c r="BK29" s="1145"/>
      <c r="BL29" s="1145"/>
      <c r="BM29" s="1145"/>
      <c r="BN29" s="1145"/>
      <c r="BO29" s="1145"/>
      <c r="BP29" s="1145"/>
      <c r="BQ29" s="1145"/>
      <c r="BR29" s="1145"/>
      <c r="BS29" s="1145"/>
      <c r="BT29" s="1145"/>
      <c r="BU29" s="1145"/>
      <c r="BV29" s="1145"/>
      <c r="BW29" s="1145"/>
      <c r="BX29" s="1145"/>
      <c r="BY29" s="1145"/>
    </row>
    <row r="30" spans="1:77" ht="78" customHeight="1" thickBot="1">
      <c r="A30" s="1377"/>
      <c r="B30" s="1375"/>
      <c r="C30" s="1375"/>
      <c r="D30" s="1367"/>
      <c r="E30" s="1367"/>
      <c r="F30" s="365"/>
      <c r="G30" s="365"/>
      <c r="H30" s="693">
        <v>1</v>
      </c>
      <c r="I30" s="750" t="s">
        <v>707</v>
      </c>
      <c r="J30" s="688" t="s">
        <v>708</v>
      </c>
      <c r="K30" s="367"/>
      <c r="L30" s="367"/>
      <c r="M30" s="688" t="s">
        <v>709</v>
      </c>
      <c r="N30" s="771"/>
      <c r="O30" s="1214"/>
      <c r="P30" s="1212"/>
      <c r="Q30" s="1212"/>
      <c r="R30" s="1212"/>
      <c r="S30" s="1212"/>
      <c r="T30" s="1212"/>
      <c r="U30" s="1212"/>
      <c r="V30" s="1212"/>
      <c r="W30" s="1212"/>
      <c r="X30" s="1212"/>
      <c r="Y30" s="1212"/>
      <c r="Z30" s="1212"/>
      <c r="AA30" s="1212"/>
      <c r="AB30" s="1212"/>
      <c r="AC30" s="460"/>
      <c r="AD30" s="1212"/>
      <c r="AE30" s="1212"/>
      <c r="AF30" s="1212"/>
      <c r="AG30" s="1212"/>
      <c r="AH30" s="1212"/>
      <c r="AI30" s="460"/>
      <c r="AJ30" s="460"/>
      <c r="AK30" s="460"/>
      <c r="AL30" s="460"/>
      <c r="AM30" s="460"/>
      <c r="AN30" s="460"/>
      <c r="AO30" s="460"/>
      <c r="AP30" s="460"/>
      <c r="AQ30" s="460"/>
      <c r="AR30" s="1212"/>
      <c r="AS30" s="1212"/>
      <c r="AT30" s="1212"/>
      <c r="AU30" s="1212"/>
      <c r="AV30" s="1212"/>
      <c r="AW30" s="1215">
        <f t="shared" si="2"/>
        <v>0</v>
      </c>
      <c r="BA30" s="1210"/>
      <c r="BB30" s="1210"/>
      <c r="BC30" s="1210"/>
      <c r="BD30" s="1210"/>
      <c r="BE30" s="1210"/>
      <c r="BF30" s="1210"/>
      <c r="BG30" s="1210"/>
      <c r="BH30" s="1145"/>
      <c r="BI30" s="1145"/>
      <c r="BJ30" s="1145"/>
      <c r="BK30" s="1145"/>
      <c r="BL30" s="1145"/>
      <c r="BM30" s="1145"/>
      <c r="BN30" s="1145"/>
      <c r="BO30" s="1145"/>
      <c r="BP30" s="1145"/>
      <c r="BQ30" s="1145"/>
      <c r="BR30" s="1145"/>
      <c r="BS30" s="1145"/>
      <c r="BT30" s="1145"/>
      <c r="BU30" s="1145"/>
      <c r="BV30" s="1145"/>
      <c r="BW30" s="1145"/>
      <c r="BX30" s="1145"/>
      <c r="BY30" s="1145"/>
    </row>
    <row r="31" spans="1:77" ht="77.25" hidden="1" thickBot="1">
      <c r="A31" s="1377"/>
      <c r="B31" s="1375"/>
      <c r="C31" s="1375"/>
      <c r="D31" s="1379" t="s">
        <v>710</v>
      </c>
      <c r="E31" s="1367" t="s">
        <v>711</v>
      </c>
      <c r="F31" s="365"/>
      <c r="G31" s="365"/>
      <c r="H31" s="693">
        <v>1</v>
      </c>
      <c r="I31" s="750" t="s">
        <v>712</v>
      </c>
      <c r="J31" s="688" t="s">
        <v>713</v>
      </c>
      <c r="K31" s="367"/>
      <c r="L31" s="367"/>
      <c r="M31" s="367"/>
      <c r="N31" s="374">
        <v>1</v>
      </c>
      <c r="O31" s="1214"/>
      <c r="P31" s="1212"/>
      <c r="Q31" s="1212"/>
      <c r="R31" s="1212"/>
      <c r="S31" s="1212"/>
      <c r="T31" s="1212"/>
      <c r="U31" s="1212"/>
      <c r="V31" s="1212"/>
      <c r="W31" s="1212"/>
      <c r="X31" s="1212"/>
      <c r="Y31" s="1212"/>
      <c r="Z31" s="1212"/>
      <c r="AA31" s="1212"/>
      <c r="AB31" s="1212"/>
      <c r="AC31" s="460"/>
      <c r="AD31" s="1212"/>
      <c r="AE31" s="1212"/>
      <c r="AF31" s="1212"/>
      <c r="AG31" s="1212"/>
      <c r="AH31" s="1212"/>
      <c r="AI31" s="460"/>
      <c r="AJ31" s="460"/>
      <c r="AK31" s="460"/>
      <c r="AL31" s="460"/>
      <c r="AM31" s="460"/>
      <c r="AN31" s="460"/>
      <c r="AO31" s="460"/>
      <c r="AP31" s="460"/>
      <c r="AQ31" s="460"/>
      <c r="AR31" s="1212"/>
      <c r="AS31" s="1212"/>
      <c r="AT31" s="1212"/>
      <c r="AU31" s="1212"/>
      <c r="AV31" s="1212"/>
      <c r="AW31" s="1215">
        <f t="shared" si="2"/>
        <v>0</v>
      </c>
      <c r="BA31" s="1155"/>
      <c r="BB31" s="1155"/>
      <c r="BC31" s="1155"/>
      <c r="BD31" s="1155"/>
      <c r="BE31" s="1155"/>
      <c r="BF31" s="1155"/>
      <c r="BG31" s="1155"/>
      <c r="BH31" s="1145"/>
      <c r="BI31" s="1145"/>
      <c r="BJ31" s="1145"/>
      <c r="BK31" s="1145"/>
      <c r="BL31" s="1145"/>
      <c r="BM31" s="1145"/>
      <c r="BN31" s="1145"/>
      <c r="BO31" s="1145"/>
      <c r="BP31" s="1145"/>
      <c r="BQ31" s="1145"/>
      <c r="BR31" s="1145"/>
      <c r="BS31" s="1145"/>
      <c r="BT31" s="1145"/>
      <c r="BU31" s="1145"/>
      <c r="BV31" s="1145"/>
      <c r="BW31" s="1145"/>
      <c r="BX31" s="1145"/>
      <c r="BY31" s="1145"/>
    </row>
    <row r="32" spans="1:77" ht="64.5" hidden="1" thickBot="1">
      <c r="A32" s="1377"/>
      <c r="B32" s="1375"/>
      <c r="C32" s="1375"/>
      <c r="D32" s="1379"/>
      <c r="E32" s="1367"/>
      <c r="F32" s="365"/>
      <c r="G32" s="365"/>
      <c r="H32" s="693">
        <v>20</v>
      </c>
      <c r="I32" s="750" t="s">
        <v>714</v>
      </c>
      <c r="J32" s="688" t="s">
        <v>715</v>
      </c>
      <c r="K32" s="367"/>
      <c r="L32" s="688">
        <v>3</v>
      </c>
      <c r="M32" s="688"/>
      <c r="N32" s="374"/>
      <c r="O32" s="1214"/>
      <c r="P32" s="1212"/>
      <c r="Q32" s="1212"/>
      <c r="R32" s="1212"/>
      <c r="S32" s="1212"/>
      <c r="T32" s="1212"/>
      <c r="U32" s="1212"/>
      <c r="V32" s="1212"/>
      <c r="W32" s="1212"/>
      <c r="X32" s="1212"/>
      <c r="Y32" s="1212"/>
      <c r="Z32" s="1212"/>
      <c r="AA32" s="1212"/>
      <c r="AB32" s="1212"/>
      <c r="AC32" s="460"/>
      <c r="AD32" s="1212"/>
      <c r="AE32" s="1212"/>
      <c r="AF32" s="1212"/>
      <c r="AG32" s="1212"/>
      <c r="AH32" s="1212"/>
      <c r="AI32" s="460"/>
      <c r="AJ32" s="460"/>
      <c r="AK32" s="460"/>
      <c r="AL32" s="460"/>
      <c r="AM32" s="460"/>
      <c r="AN32" s="460"/>
      <c r="AO32" s="460"/>
      <c r="AP32" s="460"/>
      <c r="AQ32" s="460"/>
      <c r="AR32" s="1212"/>
      <c r="AS32" s="1212"/>
      <c r="AT32" s="1212"/>
      <c r="AU32" s="1212"/>
      <c r="AV32" s="1212"/>
      <c r="AW32" s="1215">
        <f t="shared" si="2"/>
        <v>0</v>
      </c>
      <c r="BA32" s="1155"/>
      <c r="BB32" s="1155"/>
      <c r="BC32" s="1155"/>
      <c r="BD32" s="1155"/>
      <c r="BE32" s="1155"/>
      <c r="BF32" s="1155"/>
      <c r="BG32" s="1155"/>
      <c r="BH32" s="1145"/>
      <c r="BI32" s="1145"/>
      <c r="BJ32" s="1145"/>
      <c r="BK32" s="1145"/>
      <c r="BL32" s="1145"/>
      <c r="BM32" s="1145"/>
      <c r="BN32" s="1145"/>
      <c r="BO32" s="1145"/>
      <c r="BP32" s="1145"/>
      <c r="BQ32" s="1145"/>
      <c r="BR32" s="1145"/>
      <c r="BS32" s="1145"/>
      <c r="BT32" s="1145"/>
      <c r="BU32" s="1145"/>
      <c r="BV32" s="1145"/>
      <c r="BW32" s="1145"/>
      <c r="BX32" s="1145"/>
      <c r="BY32" s="1145"/>
    </row>
    <row r="33" spans="1:77" ht="153.75" hidden="1" thickBot="1">
      <c r="A33" s="1377"/>
      <c r="B33" s="1375"/>
      <c r="C33" s="1375"/>
      <c r="D33" s="1379"/>
      <c r="E33" s="1367"/>
      <c r="F33" s="365"/>
      <c r="G33" s="365"/>
      <c r="H33" s="693">
        <v>2</v>
      </c>
      <c r="I33" s="764" t="s">
        <v>716</v>
      </c>
      <c r="J33" s="732" t="s">
        <v>717</v>
      </c>
      <c r="K33" s="728">
        <v>1</v>
      </c>
      <c r="L33" s="732"/>
      <c r="M33" s="728"/>
      <c r="N33" s="773"/>
      <c r="O33" s="1354"/>
      <c r="P33" s="1228"/>
      <c r="Q33" s="1228"/>
      <c r="R33" s="1228"/>
      <c r="S33" s="1228"/>
      <c r="T33" s="1228"/>
      <c r="U33" s="1228"/>
      <c r="V33" s="1228"/>
      <c r="W33" s="1228"/>
      <c r="X33" s="1228"/>
      <c r="Y33" s="1228"/>
      <c r="Z33" s="1228"/>
      <c r="AA33" s="1228"/>
      <c r="AB33" s="1228"/>
      <c r="AC33" s="899"/>
      <c r="AD33" s="1228"/>
      <c r="AE33" s="1228"/>
      <c r="AF33" s="1228"/>
      <c r="AG33" s="1228"/>
      <c r="AH33" s="1228"/>
      <c r="AI33" s="899"/>
      <c r="AJ33" s="899"/>
      <c r="AK33" s="899"/>
      <c r="AL33" s="899"/>
      <c r="AM33" s="899"/>
      <c r="AN33" s="899"/>
      <c r="AO33" s="899"/>
      <c r="AP33" s="899"/>
      <c r="AQ33" s="899"/>
      <c r="AR33" s="1228"/>
      <c r="AS33" s="1228"/>
      <c r="AT33" s="1228"/>
      <c r="AU33" s="1228"/>
      <c r="AV33" s="1228"/>
      <c r="AW33" s="1253">
        <f t="shared" si="2"/>
        <v>0</v>
      </c>
      <c r="BA33" s="1155"/>
      <c r="BB33" s="1155"/>
      <c r="BC33" s="1155"/>
      <c r="BD33" s="1155"/>
      <c r="BE33" s="1155"/>
      <c r="BF33" s="1155"/>
      <c r="BG33" s="1155"/>
      <c r="BH33" s="1145"/>
      <c r="BI33" s="1145"/>
      <c r="BJ33" s="1145"/>
      <c r="BK33" s="1145"/>
      <c r="BL33" s="1145"/>
      <c r="BM33" s="1145"/>
      <c r="BN33" s="1145"/>
      <c r="BO33" s="1145"/>
      <c r="BP33" s="1145"/>
      <c r="BQ33" s="1145"/>
      <c r="BR33" s="1145"/>
      <c r="BS33" s="1145"/>
      <c r="BT33" s="1145"/>
      <c r="BU33" s="1145"/>
      <c r="BV33" s="1145"/>
      <c r="BW33" s="1145"/>
      <c r="BX33" s="1145"/>
      <c r="BY33" s="1145"/>
    </row>
    <row r="34" spans="1:77" ht="16.5" thickBot="1">
      <c r="A34" s="1377"/>
      <c r="B34" s="1375"/>
      <c r="C34" s="719"/>
      <c r="D34" s="723"/>
      <c r="E34" s="718"/>
      <c r="F34" s="373"/>
      <c r="G34" s="365"/>
      <c r="H34" s="776"/>
      <c r="I34" s="1359" t="s">
        <v>1699</v>
      </c>
      <c r="J34" s="1284"/>
      <c r="K34" s="1284"/>
      <c r="L34" s="1284"/>
      <c r="M34" s="1284"/>
      <c r="N34" s="1284"/>
      <c r="O34" s="1284"/>
      <c r="P34" s="821">
        <f>SUM(P8:P33)</f>
        <v>4400000000</v>
      </c>
      <c r="Q34" s="821">
        <f aca="true" t="shared" si="3" ref="Q34:AV34">SUM(Q8:Q33)</f>
        <v>30000000</v>
      </c>
      <c r="R34" s="821">
        <f t="shared" si="3"/>
        <v>226000000</v>
      </c>
      <c r="S34" s="821">
        <f t="shared" si="3"/>
        <v>303915000</v>
      </c>
      <c r="T34" s="821">
        <f t="shared" si="3"/>
        <v>55000000</v>
      </c>
      <c r="U34" s="821">
        <f t="shared" si="3"/>
        <v>5200000000</v>
      </c>
      <c r="V34" s="821">
        <f t="shared" si="3"/>
        <v>0</v>
      </c>
      <c r="W34" s="821">
        <f t="shared" si="3"/>
        <v>0</v>
      </c>
      <c r="X34" s="821">
        <f t="shared" si="3"/>
        <v>0</v>
      </c>
      <c r="Y34" s="821">
        <f t="shared" si="3"/>
        <v>0</v>
      </c>
      <c r="Z34" s="821">
        <f t="shared" si="3"/>
        <v>0</v>
      </c>
      <c r="AA34" s="821">
        <f t="shared" si="3"/>
        <v>0</v>
      </c>
      <c r="AB34" s="821">
        <f t="shared" si="3"/>
        <v>0</v>
      </c>
      <c r="AC34" s="821">
        <f t="shared" si="3"/>
        <v>0</v>
      </c>
      <c r="AD34" s="821">
        <f t="shared" si="3"/>
        <v>400000000</v>
      </c>
      <c r="AE34" s="821">
        <f t="shared" si="3"/>
        <v>0</v>
      </c>
      <c r="AF34" s="821">
        <f t="shared" si="3"/>
        <v>0</v>
      </c>
      <c r="AG34" s="821">
        <f t="shared" si="3"/>
        <v>0</v>
      </c>
      <c r="AH34" s="821">
        <f t="shared" si="3"/>
        <v>0</v>
      </c>
      <c r="AI34" s="821">
        <f t="shared" si="3"/>
        <v>0</v>
      </c>
      <c r="AJ34" s="821">
        <f t="shared" si="3"/>
        <v>0</v>
      </c>
      <c r="AK34" s="821">
        <f t="shared" si="3"/>
        <v>0</v>
      </c>
      <c r="AL34" s="821">
        <f t="shared" si="3"/>
        <v>0</v>
      </c>
      <c r="AM34" s="821">
        <f t="shared" si="3"/>
        <v>0</v>
      </c>
      <c r="AN34" s="821">
        <f t="shared" si="3"/>
        <v>0</v>
      </c>
      <c r="AO34" s="821">
        <f t="shared" si="3"/>
        <v>0</v>
      </c>
      <c r="AP34" s="821">
        <f t="shared" si="3"/>
        <v>0</v>
      </c>
      <c r="AQ34" s="821">
        <f t="shared" si="3"/>
        <v>0</v>
      </c>
      <c r="AR34" s="821">
        <f t="shared" si="3"/>
        <v>0</v>
      </c>
      <c r="AS34" s="821">
        <f t="shared" si="3"/>
        <v>0</v>
      </c>
      <c r="AT34" s="821">
        <f t="shared" si="3"/>
        <v>0</v>
      </c>
      <c r="AU34" s="821">
        <f t="shared" si="3"/>
        <v>0</v>
      </c>
      <c r="AV34" s="821">
        <f t="shared" si="3"/>
        <v>0</v>
      </c>
      <c r="AW34" s="778">
        <f>+AW8+AW10+AW11+AW12</f>
        <v>10614915000</v>
      </c>
      <c r="BA34" s="1155"/>
      <c r="BB34" s="1155"/>
      <c r="BC34" s="1155"/>
      <c r="BD34" s="1155"/>
      <c r="BE34" s="1155"/>
      <c r="BF34" s="1155"/>
      <c r="BG34" s="1155"/>
      <c r="BH34" s="1145"/>
      <c r="BI34" s="1145"/>
      <c r="BJ34" s="1145"/>
      <c r="BK34" s="1145"/>
      <c r="BL34" s="1145"/>
      <c r="BM34" s="1145"/>
      <c r="BN34" s="1145"/>
      <c r="BO34" s="1145"/>
      <c r="BP34" s="1145"/>
      <c r="BQ34" s="1145"/>
      <c r="BR34" s="1145"/>
      <c r="BS34" s="1145"/>
      <c r="BT34" s="1145"/>
      <c r="BU34" s="1145"/>
      <c r="BV34" s="1145"/>
      <c r="BW34" s="1145"/>
      <c r="BX34" s="1145"/>
      <c r="BY34" s="1145"/>
    </row>
    <row r="35" spans="1:77" ht="78" customHeight="1">
      <c r="A35" s="1377"/>
      <c r="B35" s="1375"/>
      <c r="C35" s="1375" t="s">
        <v>718</v>
      </c>
      <c r="D35" s="1367" t="s">
        <v>719</v>
      </c>
      <c r="E35" s="1379" t="s">
        <v>720</v>
      </c>
      <c r="F35" s="1376">
        <v>3</v>
      </c>
      <c r="G35" s="1375" t="s">
        <v>722</v>
      </c>
      <c r="H35" s="776">
        <v>5</v>
      </c>
      <c r="I35" s="779" t="s">
        <v>723</v>
      </c>
      <c r="J35" s="780" t="s">
        <v>724</v>
      </c>
      <c r="K35" s="781">
        <v>1</v>
      </c>
      <c r="L35" s="781">
        <v>1</v>
      </c>
      <c r="M35" s="781">
        <v>1</v>
      </c>
      <c r="N35" s="781">
        <v>1</v>
      </c>
      <c r="O35" s="1211" t="s">
        <v>1675</v>
      </c>
      <c r="P35" s="1211"/>
      <c r="Q35" s="1211"/>
      <c r="R35" s="1211"/>
      <c r="S35" s="1211"/>
      <c r="T35" s="1211"/>
      <c r="U35" s="1211"/>
      <c r="V35" s="1211">
        <v>200000000</v>
      </c>
      <c r="W35" s="1211"/>
      <c r="X35" s="1211"/>
      <c r="Y35" s="1211"/>
      <c r="Z35" s="1211"/>
      <c r="AA35" s="1211"/>
      <c r="AB35" s="1211"/>
      <c r="AC35" s="826"/>
      <c r="AD35" s="1211">
        <v>60000000</v>
      </c>
      <c r="AE35" s="1211"/>
      <c r="AF35" s="1211"/>
      <c r="AG35" s="1211"/>
      <c r="AH35" s="1211"/>
      <c r="AI35" s="826"/>
      <c r="AJ35" s="826"/>
      <c r="AK35" s="826"/>
      <c r="AL35" s="826"/>
      <c r="AM35" s="826"/>
      <c r="AN35" s="826"/>
      <c r="AO35" s="826"/>
      <c r="AP35" s="826"/>
      <c r="AQ35" s="826"/>
      <c r="AR35" s="1211"/>
      <c r="AS35" s="1211"/>
      <c r="AT35" s="1211"/>
      <c r="AU35" s="1211"/>
      <c r="AV35" s="1211"/>
      <c r="AW35" s="1216">
        <f>SUM(P35:AV46)</f>
        <v>260000000</v>
      </c>
      <c r="BA35" s="1208" t="s">
        <v>1800</v>
      </c>
      <c r="BB35" s="1208" t="s">
        <v>1850</v>
      </c>
      <c r="BC35" s="1208" t="s">
        <v>1850</v>
      </c>
      <c r="BD35" s="1208" t="s">
        <v>1850</v>
      </c>
      <c r="BE35" s="1208" t="s">
        <v>1850</v>
      </c>
      <c r="BF35" s="1208" t="s">
        <v>1851</v>
      </c>
      <c r="BG35" s="1208">
        <v>4</v>
      </c>
      <c r="BH35" s="1145"/>
      <c r="BI35" s="1145"/>
      <c r="BJ35" s="1145"/>
      <c r="BK35" s="1145"/>
      <c r="BL35" s="1145"/>
      <c r="BM35" s="1145"/>
      <c r="BN35" s="1145"/>
      <c r="BO35" s="1145"/>
      <c r="BP35" s="1145"/>
      <c r="BQ35" s="1145"/>
      <c r="BR35" s="1145"/>
      <c r="BS35" s="1145"/>
      <c r="BT35" s="1145"/>
      <c r="BU35" s="1145"/>
      <c r="BV35" s="1145"/>
      <c r="BW35" s="1145"/>
      <c r="BX35" s="1145"/>
      <c r="BY35" s="1145"/>
    </row>
    <row r="36" spans="1:77" ht="66.75" customHeight="1">
      <c r="A36" s="1377"/>
      <c r="B36" s="1375"/>
      <c r="C36" s="1375"/>
      <c r="D36" s="1367"/>
      <c r="E36" s="1379"/>
      <c r="F36" s="1377"/>
      <c r="G36" s="1375"/>
      <c r="H36" s="776">
        <v>5</v>
      </c>
      <c r="I36" s="782" t="s">
        <v>726</v>
      </c>
      <c r="J36" s="718" t="s">
        <v>724</v>
      </c>
      <c r="K36" s="744">
        <v>0.91</v>
      </c>
      <c r="L36" s="744">
        <v>0.94</v>
      </c>
      <c r="M36" s="744">
        <v>0.97</v>
      </c>
      <c r="N36" s="744">
        <v>1</v>
      </c>
      <c r="O36" s="1212"/>
      <c r="P36" s="1212"/>
      <c r="Q36" s="1212"/>
      <c r="R36" s="1212"/>
      <c r="S36" s="1212"/>
      <c r="T36" s="1212"/>
      <c r="U36" s="1212"/>
      <c r="V36" s="1212"/>
      <c r="W36" s="1212"/>
      <c r="X36" s="1212"/>
      <c r="Y36" s="1212"/>
      <c r="Z36" s="1212"/>
      <c r="AA36" s="1212"/>
      <c r="AB36" s="1212"/>
      <c r="AC36" s="460"/>
      <c r="AD36" s="1212"/>
      <c r="AE36" s="1212"/>
      <c r="AF36" s="1212"/>
      <c r="AG36" s="1212"/>
      <c r="AH36" s="1212"/>
      <c r="AI36" s="460"/>
      <c r="AJ36" s="460"/>
      <c r="AK36" s="460"/>
      <c r="AL36" s="460"/>
      <c r="AM36" s="460"/>
      <c r="AN36" s="460"/>
      <c r="AO36" s="460"/>
      <c r="AP36" s="460"/>
      <c r="AQ36" s="460"/>
      <c r="AR36" s="1212"/>
      <c r="AS36" s="1212"/>
      <c r="AT36" s="1212"/>
      <c r="AU36" s="1212"/>
      <c r="AV36" s="1212"/>
      <c r="AW36" s="1215"/>
      <c r="BA36" s="1209"/>
      <c r="BB36" s="1209"/>
      <c r="BC36" s="1209"/>
      <c r="BD36" s="1209"/>
      <c r="BE36" s="1209"/>
      <c r="BF36" s="1209"/>
      <c r="BG36" s="1209"/>
      <c r="BH36" s="1145"/>
      <c r="BI36" s="1145"/>
      <c r="BJ36" s="1145"/>
      <c r="BK36" s="1145"/>
      <c r="BL36" s="1145"/>
      <c r="BM36" s="1145"/>
      <c r="BN36" s="1145"/>
      <c r="BO36" s="1145"/>
      <c r="BP36" s="1145"/>
      <c r="BQ36" s="1145"/>
      <c r="BR36" s="1145"/>
      <c r="BS36" s="1145"/>
      <c r="BT36" s="1145"/>
      <c r="BU36" s="1145"/>
      <c r="BV36" s="1145"/>
      <c r="BW36" s="1145"/>
      <c r="BX36" s="1145"/>
      <c r="BY36" s="1145"/>
    </row>
    <row r="37" spans="1:77" ht="65.25" customHeight="1">
      <c r="A37" s="1377"/>
      <c r="B37" s="1375"/>
      <c r="C37" s="1375"/>
      <c r="D37" s="1367"/>
      <c r="E37" s="1379"/>
      <c r="F37" s="1377"/>
      <c r="G37" s="1375"/>
      <c r="H37" s="776">
        <v>5</v>
      </c>
      <c r="I37" s="782" t="s">
        <v>727</v>
      </c>
      <c r="J37" s="718" t="s">
        <v>728</v>
      </c>
      <c r="K37" s="744">
        <v>0.7</v>
      </c>
      <c r="L37" s="744">
        <v>0.8</v>
      </c>
      <c r="M37" s="744">
        <v>0.9</v>
      </c>
      <c r="N37" s="744">
        <v>1</v>
      </c>
      <c r="O37" s="1212"/>
      <c r="P37" s="1212"/>
      <c r="Q37" s="1212"/>
      <c r="R37" s="1212"/>
      <c r="S37" s="1212"/>
      <c r="T37" s="1212"/>
      <c r="U37" s="1212"/>
      <c r="V37" s="1212"/>
      <c r="W37" s="1212"/>
      <c r="X37" s="1212"/>
      <c r="Y37" s="1212"/>
      <c r="Z37" s="1212"/>
      <c r="AA37" s="1212"/>
      <c r="AB37" s="1212"/>
      <c r="AC37" s="460"/>
      <c r="AD37" s="1212"/>
      <c r="AE37" s="1212"/>
      <c r="AF37" s="1212"/>
      <c r="AG37" s="1212"/>
      <c r="AH37" s="1212"/>
      <c r="AI37" s="460"/>
      <c r="AJ37" s="460"/>
      <c r="AK37" s="460"/>
      <c r="AL37" s="460"/>
      <c r="AM37" s="460"/>
      <c r="AN37" s="460"/>
      <c r="AO37" s="460"/>
      <c r="AP37" s="460"/>
      <c r="AQ37" s="460"/>
      <c r="AR37" s="1212"/>
      <c r="AS37" s="1212"/>
      <c r="AT37" s="1212"/>
      <c r="AU37" s="1212"/>
      <c r="AV37" s="1212"/>
      <c r="AW37" s="1215"/>
      <c r="BA37" s="1210"/>
      <c r="BB37" s="1210"/>
      <c r="BC37" s="1210"/>
      <c r="BD37" s="1210"/>
      <c r="BE37" s="1210"/>
      <c r="BF37" s="1210"/>
      <c r="BG37" s="1210"/>
      <c r="BH37" s="1145"/>
      <c r="BI37" s="1145"/>
      <c r="BJ37" s="1145"/>
      <c r="BK37" s="1145"/>
      <c r="BL37" s="1145"/>
      <c r="BM37" s="1145"/>
      <c r="BN37" s="1145"/>
      <c r="BO37" s="1145"/>
      <c r="BP37" s="1145"/>
      <c r="BQ37" s="1145"/>
      <c r="BR37" s="1145"/>
      <c r="BS37" s="1145"/>
      <c r="BT37" s="1145"/>
      <c r="BU37" s="1145"/>
      <c r="BV37" s="1145"/>
      <c r="BW37" s="1145"/>
      <c r="BX37" s="1145"/>
      <c r="BY37" s="1145"/>
    </row>
    <row r="38" spans="1:77" ht="54" customHeight="1">
      <c r="A38" s="1377"/>
      <c r="B38" s="1375"/>
      <c r="C38" s="1375"/>
      <c r="D38" s="1367"/>
      <c r="E38" s="1379"/>
      <c r="F38" s="1377"/>
      <c r="G38" s="1375"/>
      <c r="H38" s="776">
        <v>18</v>
      </c>
      <c r="I38" s="783" t="s">
        <v>729</v>
      </c>
      <c r="J38" s="723" t="s">
        <v>730</v>
      </c>
      <c r="K38" s="387"/>
      <c r="L38" s="746">
        <v>0.15</v>
      </c>
      <c r="M38" s="746">
        <v>0.1</v>
      </c>
      <c r="N38" s="746">
        <v>0.05</v>
      </c>
      <c r="O38" s="1212"/>
      <c r="P38" s="1212"/>
      <c r="Q38" s="1212"/>
      <c r="R38" s="1212"/>
      <c r="S38" s="1212"/>
      <c r="T38" s="1212"/>
      <c r="U38" s="1212"/>
      <c r="V38" s="1212"/>
      <c r="W38" s="1212"/>
      <c r="X38" s="1212"/>
      <c r="Y38" s="1212"/>
      <c r="Z38" s="1212"/>
      <c r="AA38" s="1212"/>
      <c r="AB38" s="1212"/>
      <c r="AC38" s="460"/>
      <c r="AD38" s="1212"/>
      <c r="AE38" s="1212"/>
      <c r="AF38" s="1212"/>
      <c r="AG38" s="1212"/>
      <c r="AH38" s="1212"/>
      <c r="AI38" s="460"/>
      <c r="AJ38" s="460"/>
      <c r="AK38" s="460"/>
      <c r="AL38" s="460"/>
      <c r="AM38" s="460"/>
      <c r="AN38" s="460"/>
      <c r="AO38" s="460"/>
      <c r="AP38" s="460"/>
      <c r="AQ38" s="460"/>
      <c r="AR38" s="1212"/>
      <c r="AS38" s="1212"/>
      <c r="AT38" s="1212"/>
      <c r="AU38" s="1212"/>
      <c r="AV38" s="1212"/>
      <c r="AW38" s="1215"/>
      <c r="BA38" s="1155" t="s">
        <v>1801</v>
      </c>
      <c r="BB38" s="1155"/>
      <c r="BC38" s="1155" t="s">
        <v>1850</v>
      </c>
      <c r="BD38" s="1155" t="s">
        <v>1850</v>
      </c>
      <c r="BE38" s="1155" t="s">
        <v>1850</v>
      </c>
      <c r="BF38" s="1155" t="s">
        <v>1851</v>
      </c>
      <c r="BG38" s="1155" t="s">
        <v>1852</v>
      </c>
      <c r="BH38" s="1145"/>
      <c r="BI38" s="1145"/>
      <c r="BJ38" s="1145"/>
      <c r="BK38" s="1145"/>
      <c r="BL38" s="1145"/>
      <c r="BM38" s="1145"/>
      <c r="BN38" s="1145"/>
      <c r="BO38" s="1145"/>
      <c r="BP38" s="1145"/>
      <c r="BQ38" s="1145"/>
      <c r="BR38" s="1145"/>
      <c r="BS38" s="1145"/>
      <c r="BT38" s="1145"/>
      <c r="BU38" s="1145"/>
      <c r="BV38" s="1145"/>
      <c r="BW38" s="1145"/>
      <c r="BX38" s="1145"/>
      <c r="BY38" s="1145"/>
    </row>
    <row r="39" spans="1:77" ht="104.25" customHeight="1">
      <c r="A39" s="1377"/>
      <c r="B39" s="1375"/>
      <c r="C39" s="1375"/>
      <c r="D39" s="1367"/>
      <c r="E39" s="1379"/>
      <c r="F39" s="1377"/>
      <c r="G39" s="1375"/>
      <c r="H39" s="776">
        <v>1</v>
      </c>
      <c r="I39" s="782" t="s">
        <v>732</v>
      </c>
      <c r="J39" s="718" t="s">
        <v>733</v>
      </c>
      <c r="K39" s="367"/>
      <c r="L39" s="718">
        <v>1</v>
      </c>
      <c r="M39" s="367"/>
      <c r="N39" s="367"/>
      <c r="O39" s="1212"/>
      <c r="P39" s="1212"/>
      <c r="Q39" s="1212"/>
      <c r="R39" s="1212"/>
      <c r="S39" s="1212"/>
      <c r="T39" s="1212"/>
      <c r="U39" s="1212"/>
      <c r="V39" s="1212"/>
      <c r="W39" s="1212"/>
      <c r="X39" s="1212"/>
      <c r="Y39" s="1212"/>
      <c r="Z39" s="1212"/>
      <c r="AA39" s="1212"/>
      <c r="AB39" s="1212"/>
      <c r="AC39" s="460"/>
      <c r="AD39" s="1212"/>
      <c r="AE39" s="1212"/>
      <c r="AF39" s="1212"/>
      <c r="AG39" s="1212"/>
      <c r="AH39" s="1212"/>
      <c r="AI39" s="460"/>
      <c r="AJ39" s="460"/>
      <c r="AK39" s="460"/>
      <c r="AL39" s="460"/>
      <c r="AM39" s="460"/>
      <c r="AN39" s="460"/>
      <c r="AO39" s="460"/>
      <c r="AP39" s="460"/>
      <c r="AQ39" s="460"/>
      <c r="AR39" s="1212"/>
      <c r="AS39" s="1212"/>
      <c r="AT39" s="1212"/>
      <c r="AU39" s="1212"/>
      <c r="AV39" s="1212"/>
      <c r="AW39" s="1215"/>
      <c r="BA39" s="1155"/>
      <c r="BB39" s="1155"/>
      <c r="BC39" s="1155"/>
      <c r="BD39" s="1155"/>
      <c r="BE39" s="1155"/>
      <c r="BF39" s="1155"/>
      <c r="BG39" s="1155"/>
      <c r="BH39" s="1145"/>
      <c r="BI39" s="1145"/>
      <c r="BJ39" s="1145"/>
      <c r="BK39" s="1145"/>
      <c r="BL39" s="1145"/>
      <c r="BM39" s="1145"/>
      <c r="BN39" s="1145"/>
      <c r="BO39" s="1145"/>
      <c r="BP39" s="1145"/>
      <c r="BQ39" s="1145"/>
      <c r="BR39" s="1145"/>
      <c r="BS39" s="1145"/>
      <c r="BT39" s="1145"/>
      <c r="BU39" s="1145"/>
      <c r="BV39" s="1145"/>
      <c r="BW39" s="1145"/>
      <c r="BX39" s="1145"/>
      <c r="BY39" s="1145"/>
    </row>
    <row r="40" spans="1:77" ht="102" customHeight="1">
      <c r="A40" s="1377"/>
      <c r="B40" s="1375"/>
      <c r="C40" s="1375"/>
      <c r="D40" s="1367"/>
      <c r="E40" s="1379"/>
      <c r="F40" s="1377"/>
      <c r="G40" s="1375"/>
      <c r="H40" s="776">
        <v>2</v>
      </c>
      <c r="I40" s="782" t="s">
        <v>734</v>
      </c>
      <c r="J40" s="718" t="s">
        <v>735</v>
      </c>
      <c r="K40" s="367"/>
      <c r="L40" s="367">
        <v>1</v>
      </c>
      <c r="M40" s="718"/>
      <c r="N40" s="367"/>
      <c r="O40" s="1212"/>
      <c r="P40" s="1212"/>
      <c r="Q40" s="1212"/>
      <c r="R40" s="1212"/>
      <c r="S40" s="1212"/>
      <c r="T40" s="1212"/>
      <c r="U40" s="1212"/>
      <c r="V40" s="1212"/>
      <c r="W40" s="1212"/>
      <c r="X40" s="1212"/>
      <c r="Y40" s="1212"/>
      <c r="Z40" s="1212"/>
      <c r="AA40" s="1212"/>
      <c r="AB40" s="1212"/>
      <c r="AC40" s="460"/>
      <c r="AD40" s="1212"/>
      <c r="AE40" s="1212"/>
      <c r="AF40" s="1212"/>
      <c r="AG40" s="1212"/>
      <c r="AH40" s="1212"/>
      <c r="AI40" s="460"/>
      <c r="AJ40" s="460"/>
      <c r="AK40" s="460"/>
      <c r="AL40" s="460"/>
      <c r="AM40" s="460"/>
      <c r="AN40" s="460"/>
      <c r="AO40" s="460"/>
      <c r="AP40" s="460"/>
      <c r="AQ40" s="460"/>
      <c r="AR40" s="1212"/>
      <c r="AS40" s="1212"/>
      <c r="AT40" s="1212"/>
      <c r="AU40" s="1212"/>
      <c r="AV40" s="1212"/>
      <c r="AW40" s="1215"/>
      <c r="BA40" s="1155"/>
      <c r="BB40" s="1155"/>
      <c r="BC40" s="1155"/>
      <c r="BD40" s="1155"/>
      <c r="BE40" s="1155"/>
      <c r="BF40" s="1155"/>
      <c r="BG40" s="1155"/>
      <c r="BH40" s="1145"/>
      <c r="BI40" s="1145"/>
      <c r="BJ40" s="1145"/>
      <c r="BK40" s="1145"/>
      <c r="BL40" s="1145"/>
      <c r="BM40" s="1145"/>
      <c r="BN40" s="1145"/>
      <c r="BO40" s="1145"/>
      <c r="BP40" s="1145"/>
      <c r="BQ40" s="1145"/>
      <c r="BR40" s="1145"/>
      <c r="BS40" s="1145"/>
      <c r="BT40" s="1145"/>
      <c r="BU40" s="1145"/>
      <c r="BV40" s="1145"/>
      <c r="BW40" s="1145"/>
      <c r="BX40" s="1145"/>
      <c r="BY40" s="1145"/>
    </row>
    <row r="41" spans="1:77" ht="65.25" customHeight="1">
      <c r="A41" s="1377"/>
      <c r="B41" s="1375"/>
      <c r="C41" s="1375"/>
      <c r="D41" s="1367"/>
      <c r="E41" s="1379"/>
      <c r="F41" s="1377"/>
      <c r="G41" s="1375"/>
      <c r="H41" s="776">
        <v>1</v>
      </c>
      <c r="I41" s="782" t="s">
        <v>736</v>
      </c>
      <c r="J41" s="718" t="s">
        <v>737</v>
      </c>
      <c r="K41" s="367"/>
      <c r="L41" s="718">
        <v>1</v>
      </c>
      <c r="M41" s="367"/>
      <c r="N41" s="367"/>
      <c r="O41" s="1212"/>
      <c r="P41" s="1212"/>
      <c r="Q41" s="1212"/>
      <c r="R41" s="1212"/>
      <c r="S41" s="1212"/>
      <c r="T41" s="1212"/>
      <c r="U41" s="1212"/>
      <c r="V41" s="1212"/>
      <c r="W41" s="1212"/>
      <c r="X41" s="1212"/>
      <c r="Y41" s="1212"/>
      <c r="Z41" s="1212"/>
      <c r="AA41" s="1212"/>
      <c r="AB41" s="1212"/>
      <c r="AC41" s="460"/>
      <c r="AD41" s="1212"/>
      <c r="AE41" s="1212"/>
      <c r="AF41" s="1212"/>
      <c r="AG41" s="1212"/>
      <c r="AH41" s="1212"/>
      <c r="AI41" s="460"/>
      <c r="AJ41" s="460"/>
      <c r="AK41" s="460"/>
      <c r="AL41" s="460"/>
      <c r="AM41" s="460"/>
      <c r="AN41" s="460"/>
      <c r="AO41" s="460"/>
      <c r="AP41" s="460"/>
      <c r="AQ41" s="460"/>
      <c r="AR41" s="1212"/>
      <c r="AS41" s="1212"/>
      <c r="AT41" s="1212"/>
      <c r="AU41" s="1212"/>
      <c r="AV41" s="1212"/>
      <c r="AW41" s="1215"/>
      <c r="BA41" s="1155"/>
      <c r="BB41" s="1155"/>
      <c r="BC41" s="1155"/>
      <c r="BD41" s="1155"/>
      <c r="BE41" s="1155"/>
      <c r="BF41" s="1155"/>
      <c r="BG41" s="1155"/>
      <c r="BH41" s="1145"/>
      <c r="BI41" s="1145"/>
      <c r="BJ41" s="1145"/>
      <c r="BK41" s="1145"/>
      <c r="BL41" s="1145"/>
      <c r="BM41" s="1145"/>
      <c r="BN41" s="1145"/>
      <c r="BO41" s="1145"/>
      <c r="BP41" s="1145"/>
      <c r="BQ41" s="1145"/>
      <c r="BR41" s="1145"/>
      <c r="BS41" s="1145"/>
      <c r="BT41" s="1145"/>
      <c r="BU41" s="1145"/>
      <c r="BV41" s="1145"/>
      <c r="BW41" s="1145"/>
      <c r="BX41" s="1145"/>
      <c r="BY41" s="1145"/>
    </row>
    <row r="42" spans="1:77" ht="72.75" customHeight="1">
      <c r="A42" s="1377"/>
      <c r="B42" s="1375"/>
      <c r="C42" s="1375"/>
      <c r="D42" s="1367"/>
      <c r="E42" s="1379"/>
      <c r="F42" s="1377"/>
      <c r="G42" s="1375"/>
      <c r="H42" s="776">
        <v>5</v>
      </c>
      <c r="I42" s="782" t="s">
        <v>738</v>
      </c>
      <c r="J42" s="718" t="s">
        <v>739</v>
      </c>
      <c r="K42" s="367"/>
      <c r="L42" s="367">
        <v>1</v>
      </c>
      <c r="M42" s="718">
        <v>1</v>
      </c>
      <c r="N42" s="367"/>
      <c r="O42" s="1212"/>
      <c r="P42" s="1212"/>
      <c r="Q42" s="1212"/>
      <c r="R42" s="1212"/>
      <c r="S42" s="1212"/>
      <c r="T42" s="1212"/>
      <c r="U42" s="1212"/>
      <c r="V42" s="1212"/>
      <c r="W42" s="1212"/>
      <c r="X42" s="1212"/>
      <c r="Y42" s="1212"/>
      <c r="Z42" s="1212"/>
      <c r="AA42" s="1212"/>
      <c r="AB42" s="1212"/>
      <c r="AC42" s="460"/>
      <c r="AD42" s="1212"/>
      <c r="AE42" s="1212"/>
      <c r="AF42" s="1212"/>
      <c r="AG42" s="1212"/>
      <c r="AH42" s="1212"/>
      <c r="AI42" s="460"/>
      <c r="AJ42" s="460"/>
      <c r="AK42" s="460"/>
      <c r="AL42" s="460"/>
      <c r="AM42" s="460"/>
      <c r="AN42" s="460"/>
      <c r="AO42" s="460"/>
      <c r="AP42" s="460"/>
      <c r="AQ42" s="460"/>
      <c r="AR42" s="1212"/>
      <c r="AS42" s="1212"/>
      <c r="AT42" s="1212"/>
      <c r="AU42" s="1212"/>
      <c r="AV42" s="1212"/>
      <c r="AW42" s="1215"/>
      <c r="BA42" s="1155"/>
      <c r="BB42" s="1155"/>
      <c r="BC42" s="1155"/>
      <c r="BD42" s="1155"/>
      <c r="BE42" s="1155"/>
      <c r="BF42" s="1155"/>
      <c r="BG42" s="1155"/>
      <c r="BH42" s="1145"/>
      <c r="BI42" s="1145"/>
      <c r="BJ42" s="1145"/>
      <c r="BK42" s="1145"/>
      <c r="BL42" s="1145"/>
      <c r="BM42" s="1145"/>
      <c r="BN42" s="1145"/>
      <c r="BO42" s="1145"/>
      <c r="BP42" s="1145"/>
      <c r="BQ42" s="1145"/>
      <c r="BR42" s="1145"/>
      <c r="BS42" s="1145"/>
      <c r="BT42" s="1145"/>
      <c r="BU42" s="1145"/>
      <c r="BV42" s="1145"/>
      <c r="BW42" s="1145"/>
      <c r="BX42" s="1145"/>
      <c r="BY42" s="1145"/>
    </row>
    <row r="43" spans="1:77" ht="72.75" customHeight="1">
      <c r="A43" s="1377"/>
      <c r="B43" s="1375"/>
      <c r="C43" s="1375"/>
      <c r="D43" s="1367"/>
      <c r="E43" s="1379"/>
      <c r="F43" s="1377"/>
      <c r="G43" s="1375"/>
      <c r="H43" s="776">
        <v>1</v>
      </c>
      <c r="I43" s="782" t="s">
        <v>740</v>
      </c>
      <c r="J43" s="718" t="s">
        <v>741</v>
      </c>
      <c r="K43" s="367"/>
      <c r="L43" s="367">
        <v>1</v>
      </c>
      <c r="M43" s="718"/>
      <c r="N43" s="367"/>
      <c r="O43" s="1212"/>
      <c r="P43" s="1212"/>
      <c r="Q43" s="1212"/>
      <c r="R43" s="1212"/>
      <c r="S43" s="1212"/>
      <c r="T43" s="1212"/>
      <c r="U43" s="1212"/>
      <c r="V43" s="1212"/>
      <c r="W43" s="1212"/>
      <c r="X43" s="1212"/>
      <c r="Y43" s="1212"/>
      <c r="Z43" s="1212"/>
      <c r="AA43" s="1212"/>
      <c r="AB43" s="1212"/>
      <c r="AC43" s="460"/>
      <c r="AD43" s="1212"/>
      <c r="AE43" s="1212"/>
      <c r="AF43" s="1212"/>
      <c r="AG43" s="1212"/>
      <c r="AH43" s="1212"/>
      <c r="AI43" s="460"/>
      <c r="AJ43" s="460"/>
      <c r="AK43" s="460"/>
      <c r="AL43" s="460"/>
      <c r="AM43" s="460"/>
      <c r="AN43" s="460"/>
      <c r="AO43" s="460"/>
      <c r="AP43" s="460"/>
      <c r="AQ43" s="460"/>
      <c r="AR43" s="1212"/>
      <c r="AS43" s="1212"/>
      <c r="AT43" s="1212"/>
      <c r="AU43" s="1212"/>
      <c r="AV43" s="1212"/>
      <c r="AW43" s="1215"/>
      <c r="BA43" s="1155"/>
      <c r="BB43" s="1155"/>
      <c r="BC43" s="1155"/>
      <c r="BD43" s="1155"/>
      <c r="BE43" s="1155"/>
      <c r="BF43" s="1155"/>
      <c r="BG43" s="1155"/>
      <c r="BH43" s="1145"/>
      <c r="BI43" s="1145"/>
      <c r="BJ43" s="1145"/>
      <c r="BK43" s="1145"/>
      <c r="BL43" s="1145"/>
      <c r="BM43" s="1145"/>
      <c r="BN43" s="1145"/>
      <c r="BO43" s="1145"/>
      <c r="BP43" s="1145"/>
      <c r="BQ43" s="1145"/>
      <c r="BR43" s="1145"/>
      <c r="BS43" s="1145"/>
      <c r="BT43" s="1145"/>
      <c r="BU43" s="1145"/>
      <c r="BV43" s="1145"/>
      <c r="BW43" s="1145"/>
      <c r="BX43" s="1145"/>
      <c r="BY43" s="1145"/>
    </row>
    <row r="44" spans="1:77" ht="92.25" customHeight="1">
      <c r="A44" s="1377"/>
      <c r="B44" s="1375"/>
      <c r="C44" s="1375"/>
      <c r="D44" s="1367"/>
      <c r="E44" s="1379"/>
      <c r="F44" s="1377"/>
      <c r="G44" s="1375"/>
      <c r="H44" s="776">
        <v>5</v>
      </c>
      <c r="I44" s="782" t="s">
        <v>742</v>
      </c>
      <c r="J44" s="718" t="s">
        <v>743</v>
      </c>
      <c r="K44" s="744">
        <v>0.5</v>
      </c>
      <c r="L44" s="744">
        <v>0.5</v>
      </c>
      <c r="M44" s="744"/>
      <c r="N44" s="744"/>
      <c r="O44" s="1212"/>
      <c r="P44" s="1212"/>
      <c r="Q44" s="1212"/>
      <c r="R44" s="1212"/>
      <c r="S44" s="1212"/>
      <c r="T44" s="1212"/>
      <c r="U44" s="1212"/>
      <c r="V44" s="1212"/>
      <c r="W44" s="1212"/>
      <c r="X44" s="1212"/>
      <c r="Y44" s="1212"/>
      <c r="Z44" s="1212"/>
      <c r="AA44" s="1212"/>
      <c r="AB44" s="1212"/>
      <c r="AC44" s="460"/>
      <c r="AD44" s="1212"/>
      <c r="AE44" s="1212"/>
      <c r="AF44" s="1212"/>
      <c r="AG44" s="1212"/>
      <c r="AH44" s="1212"/>
      <c r="AI44" s="460"/>
      <c r="AJ44" s="460"/>
      <c r="AK44" s="460"/>
      <c r="AL44" s="460"/>
      <c r="AM44" s="460"/>
      <c r="AN44" s="460"/>
      <c r="AO44" s="460"/>
      <c r="AP44" s="460"/>
      <c r="AQ44" s="460"/>
      <c r="AR44" s="1212"/>
      <c r="AS44" s="1212"/>
      <c r="AT44" s="1212"/>
      <c r="AU44" s="1212"/>
      <c r="AV44" s="1212"/>
      <c r="AW44" s="1215"/>
      <c r="BA44" s="1155"/>
      <c r="BB44" s="1155"/>
      <c r="BC44" s="1155"/>
      <c r="BD44" s="1155"/>
      <c r="BE44" s="1155"/>
      <c r="BF44" s="1155"/>
      <c r="BG44" s="1155"/>
      <c r="BH44" s="1145"/>
      <c r="BI44" s="1145"/>
      <c r="BJ44" s="1145"/>
      <c r="BK44" s="1145"/>
      <c r="BL44" s="1145"/>
      <c r="BM44" s="1145"/>
      <c r="BN44" s="1145"/>
      <c r="BO44" s="1145"/>
      <c r="BP44" s="1145"/>
      <c r="BQ44" s="1145"/>
      <c r="BR44" s="1145"/>
      <c r="BS44" s="1145"/>
      <c r="BT44" s="1145"/>
      <c r="BU44" s="1145"/>
      <c r="BV44" s="1145"/>
      <c r="BW44" s="1145"/>
      <c r="BX44" s="1145"/>
      <c r="BY44" s="1145"/>
    </row>
    <row r="45" spans="1:77" ht="103.5" customHeight="1">
      <c r="A45" s="1377"/>
      <c r="B45" s="1375"/>
      <c r="C45" s="1375"/>
      <c r="D45" s="1367"/>
      <c r="E45" s="1379"/>
      <c r="F45" s="1377"/>
      <c r="G45" s="1375"/>
      <c r="H45" s="776">
        <v>1</v>
      </c>
      <c r="I45" s="783" t="s">
        <v>744</v>
      </c>
      <c r="J45" s="718" t="s">
        <v>745</v>
      </c>
      <c r="K45" s="718">
        <v>1</v>
      </c>
      <c r="L45" s="718">
        <v>1</v>
      </c>
      <c r="M45" s="718">
        <v>1</v>
      </c>
      <c r="N45" s="718">
        <v>1</v>
      </c>
      <c r="O45" s="1212"/>
      <c r="P45" s="1212"/>
      <c r="Q45" s="1212"/>
      <c r="R45" s="1212"/>
      <c r="S45" s="1212"/>
      <c r="T45" s="1212"/>
      <c r="U45" s="1212"/>
      <c r="V45" s="1212"/>
      <c r="W45" s="1212"/>
      <c r="X45" s="1212"/>
      <c r="Y45" s="1212"/>
      <c r="Z45" s="1212"/>
      <c r="AA45" s="1212"/>
      <c r="AB45" s="1212"/>
      <c r="AC45" s="460"/>
      <c r="AD45" s="1212"/>
      <c r="AE45" s="1212"/>
      <c r="AF45" s="1212"/>
      <c r="AG45" s="1212"/>
      <c r="AH45" s="1212"/>
      <c r="AI45" s="460"/>
      <c r="AJ45" s="460"/>
      <c r="AK45" s="460"/>
      <c r="AL45" s="460"/>
      <c r="AM45" s="460"/>
      <c r="AN45" s="460"/>
      <c r="AO45" s="460"/>
      <c r="AP45" s="460"/>
      <c r="AQ45" s="460"/>
      <c r="AR45" s="1212"/>
      <c r="AS45" s="1212"/>
      <c r="AT45" s="1212"/>
      <c r="AU45" s="1212"/>
      <c r="AV45" s="1212"/>
      <c r="AW45" s="1215"/>
      <c r="BA45" s="1155" t="s">
        <v>1802</v>
      </c>
      <c r="BB45" s="1155"/>
      <c r="BC45" s="1155" t="s">
        <v>1850</v>
      </c>
      <c r="BD45" s="1155" t="s">
        <v>1850</v>
      </c>
      <c r="BE45" s="1155" t="s">
        <v>1850</v>
      </c>
      <c r="BF45" s="1155" t="s">
        <v>1851</v>
      </c>
      <c r="BG45" s="1155">
        <v>4</v>
      </c>
      <c r="BH45" s="1145"/>
      <c r="BI45" s="1145"/>
      <c r="BJ45" s="1145"/>
      <c r="BK45" s="1145"/>
      <c r="BL45" s="1145"/>
      <c r="BM45" s="1145"/>
      <c r="BN45" s="1145"/>
      <c r="BO45" s="1145"/>
      <c r="BP45" s="1145"/>
      <c r="BQ45" s="1145"/>
      <c r="BR45" s="1145"/>
      <c r="BS45" s="1145"/>
      <c r="BT45" s="1145"/>
      <c r="BU45" s="1145"/>
      <c r="BV45" s="1145"/>
      <c r="BW45" s="1145"/>
      <c r="BX45" s="1145"/>
      <c r="BY45" s="1145"/>
    </row>
    <row r="46" spans="1:77" ht="78.75">
      <c r="A46" s="1377"/>
      <c r="B46" s="1375"/>
      <c r="C46" s="1375"/>
      <c r="D46" s="688" t="s">
        <v>746</v>
      </c>
      <c r="E46" s="688" t="s">
        <v>747</v>
      </c>
      <c r="F46" s="1377"/>
      <c r="G46" s="1375"/>
      <c r="H46" s="776">
        <v>1</v>
      </c>
      <c r="I46" s="782" t="s">
        <v>748</v>
      </c>
      <c r="J46" s="718" t="s">
        <v>749</v>
      </c>
      <c r="K46" s="718"/>
      <c r="L46" s="718">
        <v>300</v>
      </c>
      <c r="M46" s="718">
        <v>300</v>
      </c>
      <c r="N46" s="718">
        <v>400</v>
      </c>
      <c r="O46" s="1212"/>
      <c r="P46" s="1212"/>
      <c r="Q46" s="1212"/>
      <c r="R46" s="1212"/>
      <c r="S46" s="1212"/>
      <c r="T46" s="1212"/>
      <c r="U46" s="1212"/>
      <c r="V46" s="1212"/>
      <c r="W46" s="1212"/>
      <c r="X46" s="1212"/>
      <c r="Y46" s="1212"/>
      <c r="Z46" s="1212"/>
      <c r="AA46" s="1212"/>
      <c r="AB46" s="1212"/>
      <c r="AC46" s="460"/>
      <c r="AD46" s="1212"/>
      <c r="AE46" s="1212"/>
      <c r="AF46" s="1212"/>
      <c r="AG46" s="1212"/>
      <c r="AH46" s="1212"/>
      <c r="AI46" s="460"/>
      <c r="AJ46" s="460"/>
      <c r="AK46" s="460"/>
      <c r="AL46" s="460"/>
      <c r="AM46" s="460"/>
      <c r="AN46" s="460"/>
      <c r="AO46" s="460"/>
      <c r="AP46" s="460"/>
      <c r="AQ46" s="460"/>
      <c r="AR46" s="1212"/>
      <c r="AS46" s="1212"/>
      <c r="AT46" s="1212"/>
      <c r="AU46" s="1212"/>
      <c r="AV46" s="1212"/>
      <c r="AW46" s="1215"/>
      <c r="BA46" s="1155" t="s">
        <v>1803</v>
      </c>
      <c r="BB46" s="1155"/>
      <c r="BC46" s="1155" t="s">
        <v>1850</v>
      </c>
      <c r="BD46" s="1155" t="s">
        <v>1850</v>
      </c>
      <c r="BE46" s="1155" t="s">
        <v>1850</v>
      </c>
      <c r="BF46" s="1155" t="s">
        <v>1851</v>
      </c>
      <c r="BG46" s="1155">
        <v>4</v>
      </c>
      <c r="BH46" s="1145"/>
      <c r="BI46" s="1145"/>
      <c r="BJ46" s="1145"/>
      <c r="BK46" s="1145"/>
      <c r="BL46" s="1145"/>
      <c r="BM46" s="1145"/>
      <c r="BN46" s="1145"/>
      <c r="BO46" s="1145"/>
      <c r="BP46" s="1145"/>
      <c r="BQ46" s="1145"/>
      <c r="BR46" s="1145"/>
      <c r="BS46" s="1145"/>
      <c r="BT46" s="1145"/>
      <c r="BU46" s="1145"/>
      <c r="BV46" s="1145"/>
      <c r="BW46" s="1145"/>
      <c r="BX46" s="1145"/>
      <c r="BY46" s="1145"/>
    </row>
    <row r="47" spans="1:77" ht="78.75">
      <c r="A47" s="1377"/>
      <c r="B47" s="1375"/>
      <c r="C47" s="1375"/>
      <c r="D47" s="1367" t="s">
        <v>750</v>
      </c>
      <c r="E47" s="1367" t="s">
        <v>751</v>
      </c>
      <c r="F47" s="1377"/>
      <c r="G47" s="1375"/>
      <c r="H47" s="776">
        <v>2</v>
      </c>
      <c r="I47" s="782" t="s">
        <v>752</v>
      </c>
      <c r="J47" s="718" t="s">
        <v>753</v>
      </c>
      <c r="K47" s="744">
        <v>1</v>
      </c>
      <c r="L47" s="744"/>
      <c r="M47" s="744"/>
      <c r="N47" s="744"/>
      <c r="O47" s="829" t="s">
        <v>1642</v>
      </c>
      <c r="P47" s="460"/>
      <c r="Q47" s="460"/>
      <c r="R47" s="460"/>
      <c r="S47" s="460"/>
      <c r="T47" s="460"/>
      <c r="U47" s="460"/>
      <c r="V47" s="460"/>
      <c r="W47" s="460"/>
      <c r="X47" s="460">
        <f>224327513-17839583</f>
        <v>206487930</v>
      </c>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775">
        <f>SUM(P47:AV47)</f>
        <v>206487930</v>
      </c>
      <c r="BA47" s="1155" t="s">
        <v>1804</v>
      </c>
      <c r="BB47" s="1155" t="s">
        <v>1850</v>
      </c>
      <c r="BC47" s="1155" t="s">
        <v>1850</v>
      </c>
      <c r="BD47" s="1155" t="s">
        <v>1850</v>
      </c>
      <c r="BE47" s="1155" t="s">
        <v>1850</v>
      </c>
      <c r="BF47" s="1155" t="s">
        <v>1851</v>
      </c>
      <c r="BG47" s="1155">
        <v>4</v>
      </c>
      <c r="BH47" s="1145"/>
      <c r="BI47" s="1145"/>
      <c r="BJ47" s="1145"/>
      <c r="BK47" s="1145"/>
      <c r="BL47" s="1145"/>
      <c r="BM47" s="1145"/>
      <c r="BN47" s="1145"/>
      <c r="BO47" s="1145"/>
      <c r="BP47" s="1145"/>
      <c r="BQ47" s="1145"/>
      <c r="BR47" s="1145"/>
      <c r="BS47" s="1145"/>
      <c r="BT47" s="1145"/>
      <c r="BU47" s="1145"/>
      <c r="BV47" s="1145"/>
      <c r="BW47" s="1145"/>
      <c r="BX47" s="1145"/>
      <c r="BY47" s="1145"/>
    </row>
    <row r="48" spans="1:77" ht="89.25" hidden="1">
      <c r="A48" s="1377"/>
      <c r="B48" s="1375"/>
      <c r="C48" s="1375"/>
      <c r="D48" s="1367"/>
      <c r="E48" s="1367"/>
      <c r="F48" s="1377"/>
      <c r="G48" s="1375"/>
      <c r="H48" s="776">
        <v>1</v>
      </c>
      <c r="I48" s="782" t="s">
        <v>754</v>
      </c>
      <c r="J48" s="718" t="s">
        <v>755</v>
      </c>
      <c r="K48" s="718">
        <v>1</v>
      </c>
      <c r="L48" s="718"/>
      <c r="M48" s="367"/>
      <c r="N48" s="367"/>
      <c r="O48" s="829"/>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775"/>
      <c r="BA48" s="1155"/>
      <c r="BB48" s="1155"/>
      <c r="BC48" s="1155"/>
      <c r="BD48" s="1155"/>
      <c r="BE48" s="1155"/>
      <c r="BF48" s="1155"/>
      <c r="BG48" s="1155"/>
      <c r="BH48" s="1145"/>
      <c r="BI48" s="1145"/>
      <c r="BJ48" s="1145"/>
      <c r="BK48" s="1145"/>
      <c r="BL48" s="1145"/>
      <c r="BM48" s="1145"/>
      <c r="BN48" s="1145"/>
      <c r="BO48" s="1145"/>
      <c r="BP48" s="1145"/>
      <c r="BQ48" s="1145"/>
      <c r="BR48" s="1145"/>
      <c r="BS48" s="1145"/>
      <c r="BT48" s="1145"/>
      <c r="BU48" s="1145"/>
      <c r="BV48" s="1145"/>
      <c r="BW48" s="1145"/>
      <c r="BX48" s="1145"/>
      <c r="BY48" s="1145"/>
    </row>
    <row r="49" spans="1:77" ht="22.5">
      <c r="A49" s="1377"/>
      <c r="B49" s="1375"/>
      <c r="C49" s="1375"/>
      <c r="D49" s="1367"/>
      <c r="E49" s="1367"/>
      <c r="F49" s="1377"/>
      <c r="G49" s="1375"/>
      <c r="H49" s="776"/>
      <c r="I49" s="782"/>
      <c r="J49" s="894"/>
      <c r="K49" s="894"/>
      <c r="L49" s="894"/>
      <c r="M49" s="367"/>
      <c r="N49" s="367"/>
      <c r="O49" s="883" t="s">
        <v>1743</v>
      </c>
      <c r="P49" s="460"/>
      <c r="Q49" s="460"/>
      <c r="R49" s="460"/>
      <c r="S49" s="460"/>
      <c r="T49" s="460"/>
      <c r="U49" s="460"/>
      <c r="V49" s="460">
        <f>300000000-25343428</f>
        <v>274656572</v>
      </c>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775">
        <f>SUM(P49:AV49)</f>
        <v>274656572</v>
      </c>
      <c r="AY49" s="898"/>
      <c r="AZ49" s="898"/>
      <c r="BA49" s="1155"/>
      <c r="BB49" s="1155"/>
      <c r="BC49" s="1155"/>
      <c r="BD49" s="1155"/>
      <c r="BE49" s="1155"/>
      <c r="BF49" s="1155"/>
      <c r="BG49" s="1155"/>
      <c r="BH49" s="1145"/>
      <c r="BI49" s="1145"/>
      <c r="BJ49" s="1145"/>
      <c r="BK49" s="1145"/>
      <c r="BL49" s="1145"/>
      <c r="BM49" s="1145"/>
      <c r="BN49" s="1145"/>
      <c r="BO49" s="1145"/>
      <c r="BP49" s="1145"/>
      <c r="BQ49" s="1145"/>
      <c r="BR49" s="1145"/>
      <c r="BS49" s="1145"/>
      <c r="BT49" s="1145"/>
      <c r="BU49" s="1145"/>
      <c r="BV49" s="1145"/>
      <c r="BW49" s="1145"/>
      <c r="BX49" s="1145"/>
      <c r="BY49" s="1145"/>
    </row>
    <row r="50" spans="1:77" ht="78.75">
      <c r="A50" s="1377"/>
      <c r="B50" s="1375"/>
      <c r="C50" s="1375"/>
      <c r="D50" s="1367"/>
      <c r="E50" s="1367"/>
      <c r="F50" s="1377"/>
      <c r="G50" s="1375"/>
      <c r="H50" s="776">
        <v>2</v>
      </c>
      <c r="I50" s="782" t="s">
        <v>756</v>
      </c>
      <c r="J50" s="718" t="s">
        <v>757</v>
      </c>
      <c r="K50" s="744">
        <v>0.9</v>
      </c>
      <c r="L50" s="744">
        <v>0.95</v>
      </c>
      <c r="M50" s="744">
        <v>0.97</v>
      </c>
      <c r="N50" s="744">
        <v>1</v>
      </c>
      <c r="O50" s="829" t="s">
        <v>1643</v>
      </c>
      <c r="P50" s="460"/>
      <c r="Q50" s="460"/>
      <c r="R50" s="460"/>
      <c r="S50" s="460"/>
      <c r="T50" s="460"/>
      <c r="U50" s="460"/>
      <c r="V50" s="460">
        <v>10000000</v>
      </c>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775">
        <f>SUM(P50:AV50)</f>
        <v>10000000</v>
      </c>
      <c r="BA50" s="1155" t="s">
        <v>1805</v>
      </c>
      <c r="BB50" s="1155" t="s">
        <v>1850</v>
      </c>
      <c r="BC50" s="1155" t="s">
        <v>1850</v>
      </c>
      <c r="BD50" s="1155" t="s">
        <v>1850</v>
      </c>
      <c r="BE50" s="1155" t="s">
        <v>1850</v>
      </c>
      <c r="BF50" s="1155" t="s">
        <v>1851</v>
      </c>
      <c r="BG50" s="1155">
        <v>4</v>
      </c>
      <c r="BH50" s="1145"/>
      <c r="BI50" s="1145"/>
      <c r="BJ50" s="1145"/>
      <c r="BK50" s="1145"/>
      <c r="BL50" s="1145"/>
      <c r="BM50" s="1145"/>
      <c r="BN50" s="1145"/>
      <c r="BO50" s="1145"/>
      <c r="BP50" s="1145"/>
      <c r="BQ50" s="1145"/>
      <c r="BR50" s="1145"/>
      <c r="BS50" s="1145"/>
      <c r="BT50" s="1145"/>
      <c r="BU50" s="1145"/>
      <c r="BV50" s="1145"/>
      <c r="BW50" s="1145"/>
      <c r="BX50" s="1145"/>
      <c r="BY50" s="1145"/>
    </row>
    <row r="51" spans="1:77" ht="78.75">
      <c r="A51" s="1377"/>
      <c r="B51" s="1375"/>
      <c r="C51" s="1375"/>
      <c r="D51" s="688" t="s">
        <v>758</v>
      </c>
      <c r="E51" s="688" t="s">
        <v>759</v>
      </c>
      <c r="F51" s="1377"/>
      <c r="G51" s="1375"/>
      <c r="H51" s="776">
        <v>1</v>
      </c>
      <c r="I51" s="782" t="s">
        <v>762</v>
      </c>
      <c r="J51" s="718" t="s">
        <v>763</v>
      </c>
      <c r="K51" s="718">
        <v>1</v>
      </c>
      <c r="L51" s="718">
        <v>1</v>
      </c>
      <c r="M51" s="718">
        <v>1</v>
      </c>
      <c r="N51" s="718">
        <v>1</v>
      </c>
      <c r="O51" s="1212" t="s">
        <v>1676</v>
      </c>
      <c r="P51" s="1212"/>
      <c r="Q51" s="1212"/>
      <c r="R51" s="1212"/>
      <c r="S51" s="1212"/>
      <c r="T51" s="1212"/>
      <c r="U51" s="1212"/>
      <c r="V51" s="1212"/>
      <c r="W51" s="1212"/>
      <c r="X51" s="1212"/>
      <c r="Y51" s="1212"/>
      <c r="Z51" s="1212"/>
      <c r="AA51" s="1212"/>
      <c r="AB51" s="1212"/>
      <c r="AC51" s="460"/>
      <c r="AD51" s="1212">
        <v>60000000</v>
      </c>
      <c r="AE51" s="1212"/>
      <c r="AF51" s="1212"/>
      <c r="AG51" s="1212"/>
      <c r="AH51" s="1212"/>
      <c r="AI51" s="460"/>
      <c r="AJ51" s="460"/>
      <c r="AK51" s="460"/>
      <c r="AL51" s="460"/>
      <c r="AM51" s="460"/>
      <c r="AN51" s="460"/>
      <c r="AO51" s="460"/>
      <c r="AP51" s="460"/>
      <c r="AQ51" s="460"/>
      <c r="AR51" s="1212"/>
      <c r="AS51" s="1212"/>
      <c r="AT51" s="1212"/>
      <c r="AU51" s="1212"/>
      <c r="AV51" s="1212"/>
      <c r="AW51" s="1215">
        <f aca="true" t="shared" si="4" ref="AW51:AW67">SUM(P51:AV51)</f>
        <v>60000000</v>
      </c>
      <c r="BA51" s="1155" t="s">
        <v>1806</v>
      </c>
      <c r="BB51" s="1155"/>
      <c r="BC51" s="1155" t="s">
        <v>1850</v>
      </c>
      <c r="BD51" s="1155" t="s">
        <v>1850</v>
      </c>
      <c r="BE51" s="1155"/>
      <c r="BF51" s="1155" t="s">
        <v>1851</v>
      </c>
      <c r="BG51" s="1155">
        <v>4</v>
      </c>
      <c r="BH51" s="1145"/>
      <c r="BI51" s="1145"/>
      <c r="BJ51" s="1145"/>
      <c r="BK51" s="1145"/>
      <c r="BL51" s="1145"/>
      <c r="BM51" s="1145"/>
      <c r="BN51" s="1145"/>
      <c r="BO51" s="1145"/>
      <c r="BP51" s="1145"/>
      <c r="BQ51" s="1145"/>
      <c r="BR51" s="1145"/>
      <c r="BS51" s="1145"/>
      <c r="BT51" s="1145"/>
      <c r="BU51" s="1145"/>
      <c r="BV51" s="1145"/>
      <c r="BW51" s="1145"/>
      <c r="BX51" s="1145"/>
      <c r="BY51" s="1145"/>
    </row>
    <row r="52" spans="1:77" ht="78.75">
      <c r="A52" s="1377"/>
      <c r="B52" s="1375"/>
      <c r="C52" s="1375"/>
      <c r="D52" s="1367" t="s">
        <v>764</v>
      </c>
      <c r="E52" s="1367" t="s">
        <v>765</v>
      </c>
      <c r="F52" s="1377"/>
      <c r="G52" s="1375"/>
      <c r="H52" s="776">
        <v>1</v>
      </c>
      <c r="I52" s="783" t="s">
        <v>766</v>
      </c>
      <c r="J52" s="718" t="s">
        <v>767</v>
      </c>
      <c r="K52" s="718">
        <v>1</v>
      </c>
      <c r="L52" s="718">
        <v>1</v>
      </c>
      <c r="M52" s="718">
        <v>1</v>
      </c>
      <c r="N52" s="718">
        <v>1</v>
      </c>
      <c r="O52" s="1212"/>
      <c r="P52" s="1212"/>
      <c r="Q52" s="1212"/>
      <c r="R52" s="1212"/>
      <c r="S52" s="1212"/>
      <c r="T52" s="1212"/>
      <c r="U52" s="1212"/>
      <c r="V52" s="1212"/>
      <c r="W52" s="1212"/>
      <c r="X52" s="1212"/>
      <c r="Y52" s="1212"/>
      <c r="Z52" s="1212"/>
      <c r="AA52" s="1212"/>
      <c r="AB52" s="1212"/>
      <c r="AC52" s="460"/>
      <c r="AD52" s="1212"/>
      <c r="AE52" s="1212"/>
      <c r="AF52" s="1212"/>
      <c r="AG52" s="1212"/>
      <c r="AH52" s="1212"/>
      <c r="AI52" s="460"/>
      <c r="AJ52" s="460"/>
      <c r="AK52" s="460"/>
      <c r="AL52" s="460"/>
      <c r="AM52" s="460"/>
      <c r="AN52" s="460"/>
      <c r="AO52" s="460"/>
      <c r="AP52" s="460"/>
      <c r="AQ52" s="460"/>
      <c r="AR52" s="1212"/>
      <c r="AS52" s="1212"/>
      <c r="AT52" s="1212"/>
      <c r="AU52" s="1212"/>
      <c r="AV52" s="1212"/>
      <c r="AW52" s="1215">
        <f t="shared" si="4"/>
        <v>0</v>
      </c>
      <c r="BA52" s="1155" t="s">
        <v>1807</v>
      </c>
      <c r="BB52" s="1155"/>
      <c r="BC52" s="1155" t="s">
        <v>1850</v>
      </c>
      <c r="BD52" s="1155" t="s">
        <v>1850</v>
      </c>
      <c r="BE52" s="1155" t="s">
        <v>1850</v>
      </c>
      <c r="BF52" s="1155" t="s">
        <v>1851</v>
      </c>
      <c r="BG52" s="1155">
        <v>4</v>
      </c>
      <c r="BH52" s="1145"/>
      <c r="BI52" s="1145"/>
      <c r="BJ52" s="1145"/>
      <c r="BK52" s="1145"/>
      <c r="BL52" s="1145"/>
      <c r="BM52" s="1145"/>
      <c r="BN52" s="1145"/>
      <c r="BO52" s="1145"/>
      <c r="BP52" s="1145"/>
      <c r="BQ52" s="1145"/>
      <c r="BR52" s="1145"/>
      <c r="BS52" s="1145"/>
      <c r="BT52" s="1145"/>
      <c r="BU52" s="1145"/>
      <c r="BV52" s="1145"/>
      <c r="BW52" s="1145"/>
      <c r="BX52" s="1145"/>
      <c r="BY52" s="1145"/>
    </row>
    <row r="53" spans="1:77" ht="78.75">
      <c r="A53" s="1377"/>
      <c r="B53" s="1375"/>
      <c r="C53" s="1375"/>
      <c r="D53" s="1367"/>
      <c r="E53" s="1367"/>
      <c r="F53" s="1377"/>
      <c r="G53" s="1375"/>
      <c r="H53" s="776">
        <v>2</v>
      </c>
      <c r="I53" s="783" t="s">
        <v>768</v>
      </c>
      <c r="J53" s="718" t="s">
        <v>769</v>
      </c>
      <c r="K53" s="718">
        <v>1</v>
      </c>
      <c r="L53" s="718">
        <v>1</v>
      </c>
      <c r="M53" s="718">
        <v>1</v>
      </c>
      <c r="N53" s="718">
        <v>1</v>
      </c>
      <c r="O53" s="1212"/>
      <c r="P53" s="1212"/>
      <c r="Q53" s="1212"/>
      <c r="R53" s="1212"/>
      <c r="S53" s="1212"/>
      <c r="T53" s="1212"/>
      <c r="U53" s="1212"/>
      <c r="V53" s="1212"/>
      <c r="W53" s="1212"/>
      <c r="X53" s="1212"/>
      <c r="Y53" s="1212"/>
      <c r="Z53" s="1212"/>
      <c r="AA53" s="1212"/>
      <c r="AB53" s="1212"/>
      <c r="AC53" s="460"/>
      <c r="AD53" s="1212"/>
      <c r="AE53" s="1212"/>
      <c r="AF53" s="1212"/>
      <c r="AG53" s="1212"/>
      <c r="AH53" s="1212"/>
      <c r="AI53" s="460"/>
      <c r="AJ53" s="460"/>
      <c r="AK53" s="460"/>
      <c r="AL53" s="460"/>
      <c r="AM53" s="460"/>
      <c r="AN53" s="460"/>
      <c r="AO53" s="460"/>
      <c r="AP53" s="460"/>
      <c r="AQ53" s="460"/>
      <c r="AR53" s="1212"/>
      <c r="AS53" s="1212"/>
      <c r="AT53" s="1212"/>
      <c r="AU53" s="1212"/>
      <c r="AV53" s="1212"/>
      <c r="AW53" s="1215">
        <f t="shared" si="4"/>
        <v>0</v>
      </c>
      <c r="BA53" s="1155" t="s">
        <v>1808</v>
      </c>
      <c r="BB53" s="1155"/>
      <c r="BC53" s="1155" t="s">
        <v>1850</v>
      </c>
      <c r="BD53" s="1155" t="s">
        <v>1850</v>
      </c>
      <c r="BE53" s="1155"/>
      <c r="BF53" s="1155" t="s">
        <v>1851</v>
      </c>
      <c r="BG53" s="1155">
        <v>4</v>
      </c>
      <c r="BH53" s="1145"/>
      <c r="BI53" s="1145"/>
      <c r="BJ53" s="1145"/>
      <c r="BK53" s="1145"/>
      <c r="BL53" s="1145"/>
      <c r="BM53" s="1145"/>
      <c r="BN53" s="1145"/>
      <c r="BO53" s="1145"/>
      <c r="BP53" s="1145"/>
      <c r="BQ53" s="1145"/>
      <c r="BR53" s="1145"/>
      <c r="BS53" s="1145"/>
      <c r="BT53" s="1145"/>
      <c r="BU53" s="1145"/>
      <c r="BV53" s="1145"/>
      <c r="BW53" s="1145"/>
      <c r="BX53" s="1145"/>
      <c r="BY53" s="1145"/>
    </row>
    <row r="54" spans="1:77" ht="78.75">
      <c r="A54" s="1377"/>
      <c r="B54" s="1375"/>
      <c r="C54" s="1375"/>
      <c r="D54" s="1367"/>
      <c r="E54" s="1367"/>
      <c r="F54" s="1377"/>
      <c r="G54" s="1375"/>
      <c r="H54" s="776">
        <v>1</v>
      </c>
      <c r="I54" s="782" t="s">
        <v>770</v>
      </c>
      <c r="J54" s="718" t="s">
        <v>771</v>
      </c>
      <c r="K54" s="718">
        <v>1</v>
      </c>
      <c r="L54" s="718">
        <v>1</v>
      </c>
      <c r="M54" s="718">
        <v>1</v>
      </c>
      <c r="N54" s="718">
        <v>1</v>
      </c>
      <c r="O54" s="1212"/>
      <c r="P54" s="1212"/>
      <c r="Q54" s="1212"/>
      <c r="R54" s="1212"/>
      <c r="S54" s="1212"/>
      <c r="T54" s="1212"/>
      <c r="U54" s="1212"/>
      <c r="V54" s="1212"/>
      <c r="W54" s="1212"/>
      <c r="X54" s="1212"/>
      <c r="Y54" s="1212"/>
      <c r="Z54" s="1212"/>
      <c r="AA54" s="1212"/>
      <c r="AB54" s="1212"/>
      <c r="AC54" s="460"/>
      <c r="AD54" s="1212"/>
      <c r="AE54" s="1212"/>
      <c r="AF54" s="1212"/>
      <c r="AG54" s="1212"/>
      <c r="AH54" s="1212"/>
      <c r="AI54" s="460"/>
      <c r="AJ54" s="460"/>
      <c r="AK54" s="460"/>
      <c r="AL54" s="460"/>
      <c r="AM54" s="460"/>
      <c r="AN54" s="460"/>
      <c r="AO54" s="460"/>
      <c r="AP54" s="460"/>
      <c r="AQ54" s="460"/>
      <c r="AR54" s="1212"/>
      <c r="AS54" s="1212"/>
      <c r="AT54" s="1212"/>
      <c r="AU54" s="1212"/>
      <c r="AV54" s="1212"/>
      <c r="AW54" s="1215">
        <f t="shared" si="4"/>
        <v>0</v>
      </c>
      <c r="BA54" s="1155" t="s">
        <v>1809</v>
      </c>
      <c r="BB54" s="1155"/>
      <c r="BC54" s="1155" t="s">
        <v>1850</v>
      </c>
      <c r="BD54" s="1155" t="s">
        <v>1850</v>
      </c>
      <c r="BE54" s="1155" t="s">
        <v>1850</v>
      </c>
      <c r="BF54" s="1155" t="s">
        <v>1851</v>
      </c>
      <c r="BG54" s="1155">
        <v>4</v>
      </c>
      <c r="BH54" s="1145"/>
      <c r="BI54" s="1145"/>
      <c r="BJ54" s="1145"/>
      <c r="BK54" s="1145"/>
      <c r="BL54" s="1145"/>
      <c r="BM54" s="1145"/>
      <c r="BN54" s="1145"/>
      <c r="BO54" s="1145"/>
      <c r="BP54" s="1145"/>
      <c r="BQ54" s="1145"/>
      <c r="BR54" s="1145"/>
      <c r="BS54" s="1145"/>
      <c r="BT54" s="1145"/>
      <c r="BU54" s="1145"/>
      <c r="BV54" s="1145"/>
      <c r="BW54" s="1145"/>
      <c r="BX54" s="1145"/>
      <c r="BY54" s="1145"/>
    </row>
    <row r="55" spans="1:77" ht="99.75" customHeight="1">
      <c r="A55" s="1377"/>
      <c r="B55" s="1375"/>
      <c r="C55" s="1375"/>
      <c r="D55" s="1367"/>
      <c r="E55" s="1367"/>
      <c r="F55" s="1377"/>
      <c r="G55" s="1375"/>
      <c r="H55" s="776">
        <v>1</v>
      </c>
      <c r="I55" s="782" t="s">
        <v>772</v>
      </c>
      <c r="J55" s="718" t="s">
        <v>773</v>
      </c>
      <c r="K55" s="718"/>
      <c r="L55" s="718"/>
      <c r="M55" s="718">
        <v>1</v>
      </c>
      <c r="N55" s="718"/>
      <c r="O55" s="1212"/>
      <c r="P55" s="1212"/>
      <c r="Q55" s="1212"/>
      <c r="R55" s="1212"/>
      <c r="S55" s="1212"/>
      <c r="T55" s="1212"/>
      <c r="U55" s="1212"/>
      <c r="V55" s="1212"/>
      <c r="W55" s="1212"/>
      <c r="X55" s="1212"/>
      <c r="Y55" s="1212"/>
      <c r="Z55" s="1212"/>
      <c r="AA55" s="1212"/>
      <c r="AB55" s="1212"/>
      <c r="AC55" s="460"/>
      <c r="AD55" s="1212"/>
      <c r="AE55" s="1212"/>
      <c r="AF55" s="1212"/>
      <c r="AG55" s="1212"/>
      <c r="AH55" s="1212"/>
      <c r="AI55" s="460"/>
      <c r="AJ55" s="460"/>
      <c r="AK55" s="460"/>
      <c r="AL55" s="460"/>
      <c r="AM55" s="460"/>
      <c r="AN55" s="460"/>
      <c r="AO55" s="460"/>
      <c r="AP55" s="460"/>
      <c r="AQ55" s="460"/>
      <c r="AR55" s="1212"/>
      <c r="AS55" s="1212"/>
      <c r="AT55" s="1212"/>
      <c r="AU55" s="1212"/>
      <c r="AV55" s="1212"/>
      <c r="AW55" s="1215">
        <f t="shared" si="4"/>
        <v>0</v>
      </c>
      <c r="BA55" s="1155" t="s">
        <v>1810</v>
      </c>
      <c r="BB55" s="1155" t="s">
        <v>1850</v>
      </c>
      <c r="BC55" s="1155" t="s">
        <v>1850</v>
      </c>
      <c r="BD55" s="1155" t="s">
        <v>1850</v>
      </c>
      <c r="BE55" s="1155" t="s">
        <v>1850</v>
      </c>
      <c r="BF55" s="1155" t="s">
        <v>1851</v>
      </c>
      <c r="BG55" s="1155">
        <v>4</v>
      </c>
      <c r="BH55" s="1145"/>
      <c r="BI55" s="1145"/>
      <c r="BJ55" s="1145"/>
      <c r="BK55" s="1145"/>
      <c r="BL55" s="1145"/>
      <c r="BM55" s="1145"/>
      <c r="BN55" s="1145"/>
      <c r="BO55" s="1145"/>
      <c r="BP55" s="1145"/>
      <c r="BQ55" s="1145"/>
      <c r="BR55" s="1145"/>
      <c r="BS55" s="1145"/>
      <c r="BT55" s="1145"/>
      <c r="BU55" s="1145"/>
      <c r="BV55" s="1145"/>
      <c r="BW55" s="1145"/>
      <c r="BX55" s="1145"/>
      <c r="BY55" s="1145"/>
    </row>
    <row r="56" spans="1:77" ht="78.75">
      <c r="A56" s="1377"/>
      <c r="B56" s="1375"/>
      <c r="C56" s="1375"/>
      <c r="D56" s="1367"/>
      <c r="E56" s="1367"/>
      <c r="F56" s="1377"/>
      <c r="G56" s="1375"/>
      <c r="H56" s="776">
        <v>1</v>
      </c>
      <c r="I56" s="782" t="s">
        <v>774</v>
      </c>
      <c r="J56" s="718" t="s">
        <v>775</v>
      </c>
      <c r="K56" s="718">
        <v>1</v>
      </c>
      <c r="L56" s="718">
        <v>1</v>
      </c>
      <c r="M56" s="718">
        <v>1</v>
      </c>
      <c r="N56" s="718">
        <v>1</v>
      </c>
      <c r="O56" s="1212"/>
      <c r="P56" s="1212"/>
      <c r="Q56" s="1212"/>
      <c r="R56" s="1212"/>
      <c r="S56" s="1212"/>
      <c r="T56" s="1212"/>
      <c r="U56" s="1212"/>
      <c r="V56" s="1212"/>
      <c r="W56" s="1212"/>
      <c r="X56" s="1212"/>
      <c r="Y56" s="1212"/>
      <c r="Z56" s="1212"/>
      <c r="AA56" s="1212"/>
      <c r="AB56" s="1212"/>
      <c r="AC56" s="460"/>
      <c r="AD56" s="1212"/>
      <c r="AE56" s="1212"/>
      <c r="AF56" s="1212"/>
      <c r="AG56" s="1212"/>
      <c r="AH56" s="1212"/>
      <c r="AI56" s="460"/>
      <c r="AJ56" s="460"/>
      <c r="AK56" s="460"/>
      <c r="AL56" s="460"/>
      <c r="AM56" s="460"/>
      <c r="AN56" s="460"/>
      <c r="AO56" s="460"/>
      <c r="AP56" s="460"/>
      <c r="AQ56" s="460"/>
      <c r="AR56" s="1212"/>
      <c r="AS56" s="1212"/>
      <c r="AT56" s="1212"/>
      <c r="AU56" s="1212"/>
      <c r="AV56" s="1212"/>
      <c r="AW56" s="1215">
        <f t="shared" si="4"/>
        <v>0</v>
      </c>
      <c r="BA56" s="1155" t="s">
        <v>1811</v>
      </c>
      <c r="BB56" s="1155" t="s">
        <v>1850</v>
      </c>
      <c r="BC56" s="1155" t="s">
        <v>1850</v>
      </c>
      <c r="BD56" s="1155" t="s">
        <v>1850</v>
      </c>
      <c r="BE56" s="1155" t="s">
        <v>1850</v>
      </c>
      <c r="BF56" s="1155" t="s">
        <v>1851</v>
      </c>
      <c r="BG56" s="1155">
        <v>4</v>
      </c>
      <c r="BH56" s="1145"/>
      <c r="BI56" s="1145"/>
      <c r="BJ56" s="1145"/>
      <c r="BK56" s="1145"/>
      <c r="BL56" s="1145"/>
      <c r="BM56" s="1145"/>
      <c r="BN56" s="1145"/>
      <c r="BO56" s="1145"/>
      <c r="BP56" s="1145"/>
      <c r="BQ56" s="1145"/>
      <c r="BR56" s="1145"/>
      <c r="BS56" s="1145"/>
      <c r="BT56" s="1145"/>
      <c r="BU56" s="1145"/>
      <c r="BV56" s="1145"/>
      <c r="BW56" s="1145"/>
      <c r="BX56" s="1145"/>
      <c r="BY56" s="1145"/>
    </row>
    <row r="57" spans="1:77" ht="76.5" hidden="1">
      <c r="A57" s="1377"/>
      <c r="B57" s="1375"/>
      <c r="C57" s="1375"/>
      <c r="D57" s="1367"/>
      <c r="E57" s="1367"/>
      <c r="F57" s="1377"/>
      <c r="G57" s="1375"/>
      <c r="H57" s="776">
        <v>1</v>
      </c>
      <c r="I57" s="782" t="s">
        <v>776</v>
      </c>
      <c r="J57" s="718" t="s">
        <v>777</v>
      </c>
      <c r="K57" s="367"/>
      <c r="L57" s="367">
        <v>1</v>
      </c>
      <c r="M57" s="718"/>
      <c r="N57" s="367"/>
      <c r="O57" s="1212"/>
      <c r="P57" s="1212"/>
      <c r="Q57" s="1212"/>
      <c r="R57" s="1212"/>
      <c r="S57" s="1212"/>
      <c r="T57" s="1212"/>
      <c r="U57" s="1212"/>
      <c r="V57" s="1212"/>
      <c r="W57" s="1212"/>
      <c r="X57" s="1212"/>
      <c r="Y57" s="1212"/>
      <c r="Z57" s="1212"/>
      <c r="AA57" s="1212"/>
      <c r="AB57" s="1212"/>
      <c r="AC57" s="460"/>
      <c r="AD57" s="1212"/>
      <c r="AE57" s="1212"/>
      <c r="AF57" s="1212"/>
      <c r="AG57" s="1212"/>
      <c r="AH57" s="1212"/>
      <c r="AI57" s="460"/>
      <c r="AJ57" s="460"/>
      <c r="AK57" s="460"/>
      <c r="AL57" s="460"/>
      <c r="AM57" s="460"/>
      <c r="AN57" s="460"/>
      <c r="AO57" s="460"/>
      <c r="AP57" s="460"/>
      <c r="AQ57" s="460"/>
      <c r="AR57" s="1212"/>
      <c r="AS57" s="1212"/>
      <c r="AT57" s="1212"/>
      <c r="AU57" s="1212"/>
      <c r="AV57" s="1212"/>
      <c r="AW57" s="1215">
        <f t="shared" si="4"/>
        <v>0</v>
      </c>
      <c r="BA57" s="1155"/>
      <c r="BB57" s="1155"/>
      <c r="BC57" s="1155"/>
      <c r="BD57" s="1155"/>
      <c r="BE57" s="1155"/>
      <c r="BF57" s="1155" t="s">
        <v>1851</v>
      </c>
      <c r="BG57" s="1155">
        <v>4</v>
      </c>
      <c r="BH57" s="1145"/>
      <c r="BI57" s="1145"/>
      <c r="BJ57" s="1145"/>
      <c r="BK57" s="1145"/>
      <c r="BL57" s="1145"/>
      <c r="BM57" s="1145"/>
      <c r="BN57" s="1145"/>
      <c r="BO57" s="1145"/>
      <c r="BP57" s="1145"/>
      <c r="BQ57" s="1145"/>
      <c r="BR57" s="1145"/>
      <c r="BS57" s="1145"/>
      <c r="BT57" s="1145"/>
      <c r="BU57" s="1145"/>
      <c r="BV57" s="1145"/>
      <c r="BW57" s="1145"/>
      <c r="BX57" s="1145"/>
      <c r="BY57" s="1145"/>
    </row>
    <row r="58" spans="1:77" ht="76.5" hidden="1">
      <c r="A58" s="1377"/>
      <c r="B58" s="1375"/>
      <c r="C58" s="1375"/>
      <c r="D58" s="1367"/>
      <c r="E58" s="1367"/>
      <c r="F58" s="1377"/>
      <c r="G58" s="1375"/>
      <c r="H58" s="776">
        <v>1</v>
      </c>
      <c r="I58" s="784" t="s">
        <v>778</v>
      </c>
      <c r="J58" s="718" t="s">
        <v>779</v>
      </c>
      <c r="K58" s="367">
        <v>1</v>
      </c>
      <c r="L58" s="367">
        <v>1</v>
      </c>
      <c r="M58" s="718"/>
      <c r="N58" s="367"/>
      <c r="O58" s="1212"/>
      <c r="P58" s="1212"/>
      <c r="Q58" s="1212"/>
      <c r="R58" s="1212"/>
      <c r="S58" s="1212"/>
      <c r="T58" s="1212"/>
      <c r="U58" s="1212"/>
      <c r="V58" s="1212"/>
      <c r="W58" s="1212"/>
      <c r="X58" s="1212"/>
      <c r="Y58" s="1212"/>
      <c r="Z58" s="1212"/>
      <c r="AA58" s="1212"/>
      <c r="AB58" s="1212"/>
      <c r="AC58" s="460"/>
      <c r="AD58" s="1212"/>
      <c r="AE58" s="1212"/>
      <c r="AF58" s="1212"/>
      <c r="AG58" s="1212"/>
      <c r="AH58" s="1212"/>
      <c r="AI58" s="460"/>
      <c r="AJ58" s="460"/>
      <c r="AK58" s="460"/>
      <c r="AL58" s="460"/>
      <c r="AM58" s="460"/>
      <c r="AN58" s="460"/>
      <c r="AO58" s="460"/>
      <c r="AP58" s="460"/>
      <c r="AQ58" s="460"/>
      <c r="AR58" s="1212"/>
      <c r="AS58" s="1212"/>
      <c r="AT58" s="1212"/>
      <c r="AU58" s="1212"/>
      <c r="AV58" s="1212"/>
      <c r="AW58" s="1215">
        <f t="shared" si="4"/>
        <v>0</v>
      </c>
      <c r="BA58" s="1155"/>
      <c r="BB58" s="1155"/>
      <c r="BC58" s="1155"/>
      <c r="BD58" s="1155"/>
      <c r="BE58" s="1155"/>
      <c r="BF58" s="1155" t="s">
        <v>1851</v>
      </c>
      <c r="BG58" s="1155">
        <v>4</v>
      </c>
      <c r="BH58" s="1145"/>
      <c r="BI58" s="1145"/>
      <c r="BJ58" s="1145"/>
      <c r="BK58" s="1145"/>
      <c r="BL58" s="1145"/>
      <c r="BM58" s="1145"/>
      <c r="BN58" s="1145"/>
      <c r="BO58" s="1145"/>
      <c r="BP58" s="1145"/>
      <c r="BQ58" s="1145"/>
      <c r="BR58" s="1145"/>
      <c r="BS58" s="1145"/>
      <c r="BT58" s="1145"/>
      <c r="BU58" s="1145"/>
      <c r="BV58" s="1145"/>
      <c r="BW58" s="1145"/>
      <c r="BX58" s="1145"/>
      <c r="BY58" s="1145"/>
    </row>
    <row r="59" spans="1:77" ht="67.5" hidden="1">
      <c r="A59" s="1377"/>
      <c r="B59" s="1375"/>
      <c r="C59" s="1375"/>
      <c r="D59" s="1367"/>
      <c r="E59" s="1367"/>
      <c r="F59" s="1377"/>
      <c r="G59" s="1375"/>
      <c r="H59" s="776">
        <v>1</v>
      </c>
      <c r="I59" s="783" t="s">
        <v>780</v>
      </c>
      <c r="J59" s="718" t="s">
        <v>781</v>
      </c>
      <c r="K59" s="367">
        <v>1</v>
      </c>
      <c r="L59" s="718">
        <v>1</v>
      </c>
      <c r="M59" s="718"/>
      <c r="N59" s="367"/>
      <c r="O59" s="1212"/>
      <c r="P59" s="1212"/>
      <c r="Q59" s="1212"/>
      <c r="R59" s="1212"/>
      <c r="S59" s="1212"/>
      <c r="T59" s="1212"/>
      <c r="U59" s="1212"/>
      <c r="V59" s="1212"/>
      <c r="W59" s="1212"/>
      <c r="X59" s="1212"/>
      <c r="Y59" s="1212"/>
      <c r="Z59" s="1212"/>
      <c r="AA59" s="1212"/>
      <c r="AB59" s="1212"/>
      <c r="AC59" s="460"/>
      <c r="AD59" s="1212"/>
      <c r="AE59" s="1212"/>
      <c r="AF59" s="1212"/>
      <c r="AG59" s="1212"/>
      <c r="AH59" s="1212"/>
      <c r="AI59" s="460"/>
      <c r="AJ59" s="460"/>
      <c r="AK59" s="460"/>
      <c r="AL59" s="460"/>
      <c r="AM59" s="460"/>
      <c r="AN59" s="460"/>
      <c r="AO59" s="460"/>
      <c r="AP59" s="460"/>
      <c r="AQ59" s="460"/>
      <c r="AR59" s="1212"/>
      <c r="AS59" s="1212"/>
      <c r="AT59" s="1212"/>
      <c r="AU59" s="1212"/>
      <c r="AV59" s="1212"/>
      <c r="AW59" s="1215">
        <f t="shared" si="4"/>
        <v>0</v>
      </c>
      <c r="BA59" s="1155"/>
      <c r="BB59" s="1155"/>
      <c r="BC59" s="1155"/>
      <c r="BD59" s="1155"/>
      <c r="BE59" s="1155"/>
      <c r="BF59" s="1155" t="s">
        <v>1851</v>
      </c>
      <c r="BG59" s="1155">
        <v>4</v>
      </c>
      <c r="BH59" s="1145"/>
      <c r="BI59" s="1145"/>
      <c r="BJ59" s="1145"/>
      <c r="BK59" s="1145"/>
      <c r="BL59" s="1145"/>
      <c r="BM59" s="1145"/>
      <c r="BN59" s="1145"/>
      <c r="BO59" s="1145"/>
      <c r="BP59" s="1145"/>
      <c r="BQ59" s="1145"/>
      <c r="BR59" s="1145"/>
      <c r="BS59" s="1145"/>
      <c r="BT59" s="1145"/>
      <c r="BU59" s="1145"/>
      <c r="BV59" s="1145"/>
      <c r="BW59" s="1145"/>
      <c r="BX59" s="1145"/>
      <c r="BY59" s="1145"/>
    </row>
    <row r="60" spans="1:77" ht="72" customHeight="1" hidden="1">
      <c r="A60" s="1377"/>
      <c r="B60" s="1375"/>
      <c r="C60" s="1375"/>
      <c r="D60" s="1367"/>
      <c r="E60" s="1367"/>
      <c r="F60" s="1377"/>
      <c r="G60" s="1375"/>
      <c r="H60" s="776">
        <v>1</v>
      </c>
      <c r="I60" s="782" t="s">
        <v>782</v>
      </c>
      <c r="J60" s="718" t="s">
        <v>783</v>
      </c>
      <c r="K60" s="367"/>
      <c r="L60" s="367">
        <v>1</v>
      </c>
      <c r="M60" s="718"/>
      <c r="N60" s="367"/>
      <c r="O60" s="1212"/>
      <c r="P60" s="1212"/>
      <c r="Q60" s="1212"/>
      <c r="R60" s="1212"/>
      <c r="S60" s="1212"/>
      <c r="T60" s="1212"/>
      <c r="U60" s="1212"/>
      <c r="V60" s="1212"/>
      <c r="W60" s="1212"/>
      <c r="X60" s="1212"/>
      <c r="Y60" s="1212"/>
      <c r="Z60" s="1212"/>
      <c r="AA60" s="1212"/>
      <c r="AB60" s="1212"/>
      <c r="AC60" s="460"/>
      <c r="AD60" s="1212"/>
      <c r="AE60" s="1212"/>
      <c r="AF60" s="1212"/>
      <c r="AG60" s="1212"/>
      <c r="AH60" s="1212"/>
      <c r="AI60" s="460"/>
      <c r="AJ60" s="460"/>
      <c r="AK60" s="460"/>
      <c r="AL60" s="460"/>
      <c r="AM60" s="460"/>
      <c r="AN60" s="460"/>
      <c r="AO60" s="460"/>
      <c r="AP60" s="460"/>
      <c r="AQ60" s="460"/>
      <c r="AR60" s="1212"/>
      <c r="AS60" s="1212"/>
      <c r="AT60" s="1212"/>
      <c r="AU60" s="1212"/>
      <c r="AV60" s="1212"/>
      <c r="AW60" s="1215">
        <f t="shared" si="4"/>
        <v>0</v>
      </c>
      <c r="BA60" s="1155"/>
      <c r="BB60" s="1155"/>
      <c r="BC60" s="1155"/>
      <c r="BD60" s="1155"/>
      <c r="BE60" s="1155"/>
      <c r="BF60" s="1155" t="s">
        <v>1851</v>
      </c>
      <c r="BG60" s="1155">
        <v>4</v>
      </c>
      <c r="BH60" s="1145"/>
      <c r="BI60" s="1145"/>
      <c r="BJ60" s="1145"/>
      <c r="BK60" s="1145"/>
      <c r="BL60" s="1145"/>
      <c r="BM60" s="1145"/>
      <c r="BN60" s="1145"/>
      <c r="BO60" s="1145"/>
      <c r="BP60" s="1145"/>
      <c r="BQ60" s="1145"/>
      <c r="BR60" s="1145"/>
      <c r="BS60" s="1145"/>
      <c r="BT60" s="1145"/>
      <c r="BU60" s="1145"/>
      <c r="BV60" s="1145"/>
      <c r="BW60" s="1145"/>
      <c r="BX60" s="1145"/>
      <c r="BY60" s="1145"/>
    </row>
    <row r="61" spans="1:77" ht="72" customHeight="1">
      <c r="A61" s="1377"/>
      <c r="B61" s="1375"/>
      <c r="C61" s="1375"/>
      <c r="D61" s="1367"/>
      <c r="E61" s="1367"/>
      <c r="F61" s="1377"/>
      <c r="G61" s="1375"/>
      <c r="H61" s="776"/>
      <c r="I61" s="782" t="s">
        <v>780</v>
      </c>
      <c r="J61" s="1158"/>
      <c r="K61" s="367"/>
      <c r="L61" s="367"/>
      <c r="M61" s="1158">
        <v>1</v>
      </c>
      <c r="N61" s="367"/>
      <c r="O61" s="1212"/>
      <c r="P61" s="1212"/>
      <c r="Q61" s="1212"/>
      <c r="R61" s="1212"/>
      <c r="S61" s="1212"/>
      <c r="T61" s="1212"/>
      <c r="U61" s="1212"/>
      <c r="V61" s="1212"/>
      <c r="W61" s="1212"/>
      <c r="X61" s="1212"/>
      <c r="Y61" s="1212"/>
      <c r="Z61" s="1212"/>
      <c r="AA61" s="1212"/>
      <c r="AB61" s="1212"/>
      <c r="AC61" s="460"/>
      <c r="AD61" s="1212"/>
      <c r="AE61" s="1212"/>
      <c r="AF61" s="1212"/>
      <c r="AG61" s="1212"/>
      <c r="AH61" s="1212"/>
      <c r="AI61" s="460"/>
      <c r="AJ61" s="460"/>
      <c r="AK61" s="460"/>
      <c r="AL61" s="460"/>
      <c r="AM61" s="460"/>
      <c r="AN61" s="460"/>
      <c r="AO61" s="460"/>
      <c r="AP61" s="460"/>
      <c r="AQ61" s="460"/>
      <c r="AR61" s="1212"/>
      <c r="AS61" s="1212"/>
      <c r="AT61" s="1212"/>
      <c r="AU61" s="1212"/>
      <c r="AV61" s="1212"/>
      <c r="AW61" s="1215"/>
      <c r="AY61" s="904"/>
      <c r="AZ61" s="904"/>
      <c r="BA61" s="1155" t="s">
        <v>1853</v>
      </c>
      <c r="BB61" s="1155" t="s">
        <v>1850</v>
      </c>
      <c r="BC61" s="1155" t="s">
        <v>1850</v>
      </c>
      <c r="BD61" s="1155" t="s">
        <v>1850</v>
      </c>
      <c r="BE61" s="1155" t="s">
        <v>1850</v>
      </c>
      <c r="BF61" s="1155" t="s">
        <v>1851</v>
      </c>
      <c r="BG61" s="1155">
        <v>4</v>
      </c>
      <c r="BH61" s="1145"/>
      <c r="BI61" s="1145"/>
      <c r="BJ61" s="1145"/>
      <c r="BK61" s="1145"/>
      <c r="BL61" s="1145"/>
      <c r="BM61" s="1145"/>
      <c r="BN61" s="1145"/>
      <c r="BO61" s="1145"/>
      <c r="BP61" s="1145"/>
      <c r="BQ61" s="1145"/>
      <c r="BR61" s="1145"/>
      <c r="BS61" s="1145"/>
      <c r="BT61" s="1145"/>
      <c r="BU61" s="1145"/>
      <c r="BV61" s="1145"/>
      <c r="BW61" s="1145"/>
      <c r="BX61" s="1145"/>
      <c r="BY61" s="1145"/>
    </row>
    <row r="62" spans="1:77" ht="102">
      <c r="A62" s="1377"/>
      <c r="B62" s="1375"/>
      <c r="C62" s="1375"/>
      <c r="D62" s="1367"/>
      <c r="E62" s="1367"/>
      <c r="F62" s="1377"/>
      <c r="G62" s="1375"/>
      <c r="H62" s="776">
        <v>1</v>
      </c>
      <c r="I62" s="783" t="s">
        <v>784</v>
      </c>
      <c r="J62" s="718" t="s">
        <v>785</v>
      </c>
      <c r="K62" s="718">
        <v>1</v>
      </c>
      <c r="L62" s="718">
        <v>1</v>
      </c>
      <c r="M62" s="718">
        <v>1</v>
      </c>
      <c r="N62" s="718">
        <v>1</v>
      </c>
      <c r="O62" s="1212"/>
      <c r="P62" s="1212"/>
      <c r="Q62" s="1212"/>
      <c r="R62" s="1212"/>
      <c r="S62" s="1212"/>
      <c r="T62" s="1212"/>
      <c r="U62" s="1212"/>
      <c r="V62" s="1212"/>
      <c r="W62" s="1212"/>
      <c r="X62" s="1212"/>
      <c r="Y62" s="1212"/>
      <c r="Z62" s="1212"/>
      <c r="AA62" s="1212"/>
      <c r="AB62" s="1212"/>
      <c r="AC62" s="460"/>
      <c r="AD62" s="1212"/>
      <c r="AE62" s="1212"/>
      <c r="AF62" s="1212"/>
      <c r="AG62" s="1212"/>
      <c r="AH62" s="1212"/>
      <c r="AI62" s="460"/>
      <c r="AJ62" s="460"/>
      <c r="AK62" s="460"/>
      <c r="AL62" s="460"/>
      <c r="AM62" s="460"/>
      <c r="AN62" s="460"/>
      <c r="AO62" s="460"/>
      <c r="AP62" s="460"/>
      <c r="AQ62" s="460"/>
      <c r="AR62" s="1212"/>
      <c r="AS62" s="1212"/>
      <c r="AT62" s="1212"/>
      <c r="AU62" s="1212"/>
      <c r="AV62" s="1212"/>
      <c r="AW62" s="1215">
        <f t="shared" si="4"/>
        <v>0</v>
      </c>
      <c r="BA62" s="1155" t="s">
        <v>1812</v>
      </c>
      <c r="BB62" s="1155" t="s">
        <v>1850</v>
      </c>
      <c r="BC62" s="1155" t="s">
        <v>1850</v>
      </c>
      <c r="BD62" s="1155" t="s">
        <v>1850</v>
      </c>
      <c r="BE62" s="1155" t="s">
        <v>1850</v>
      </c>
      <c r="BF62" s="1155" t="s">
        <v>1851</v>
      </c>
      <c r="BG62" s="1155">
        <v>4</v>
      </c>
      <c r="BH62" s="1145"/>
      <c r="BI62" s="1145"/>
      <c r="BJ62" s="1145"/>
      <c r="BK62" s="1145"/>
      <c r="BL62" s="1145"/>
      <c r="BM62" s="1145"/>
      <c r="BN62" s="1145"/>
      <c r="BO62" s="1145"/>
      <c r="BP62" s="1145"/>
      <c r="BQ62" s="1145"/>
      <c r="BR62" s="1145"/>
      <c r="BS62" s="1145"/>
      <c r="BT62" s="1145"/>
      <c r="BU62" s="1145"/>
      <c r="BV62" s="1145"/>
      <c r="BW62" s="1145"/>
      <c r="BX62" s="1145"/>
      <c r="BY62" s="1145"/>
    </row>
    <row r="63" spans="1:77" ht="63.75" hidden="1">
      <c r="A63" s="1377"/>
      <c r="B63" s="1375"/>
      <c r="C63" s="1375"/>
      <c r="D63" s="1367"/>
      <c r="E63" s="1367"/>
      <c r="F63" s="1377"/>
      <c r="G63" s="1375"/>
      <c r="H63" s="776">
        <v>1</v>
      </c>
      <c r="I63" s="782" t="s">
        <v>786</v>
      </c>
      <c r="J63" s="718" t="s">
        <v>787</v>
      </c>
      <c r="K63" s="367"/>
      <c r="L63" s="718">
        <v>1</v>
      </c>
      <c r="M63" s="367"/>
      <c r="N63" s="367"/>
      <c r="O63" s="1212"/>
      <c r="P63" s="1212"/>
      <c r="Q63" s="1212"/>
      <c r="R63" s="1212"/>
      <c r="S63" s="1212"/>
      <c r="T63" s="1212"/>
      <c r="U63" s="1212"/>
      <c r="V63" s="1212"/>
      <c r="W63" s="1212"/>
      <c r="X63" s="1212"/>
      <c r="Y63" s="1212"/>
      <c r="Z63" s="1212"/>
      <c r="AA63" s="1212"/>
      <c r="AB63" s="1212"/>
      <c r="AC63" s="460"/>
      <c r="AD63" s="1212"/>
      <c r="AE63" s="1212"/>
      <c r="AF63" s="1212"/>
      <c r="AG63" s="1212"/>
      <c r="AH63" s="1212"/>
      <c r="AI63" s="460"/>
      <c r="AJ63" s="460"/>
      <c r="AK63" s="460"/>
      <c r="AL63" s="460"/>
      <c r="AM63" s="460"/>
      <c r="AN63" s="460"/>
      <c r="AO63" s="460"/>
      <c r="AP63" s="460"/>
      <c r="AQ63" s="460"/>
      <c r="AR63" s="1212"/>
      <c r="AS63" s="1212"/>
      <c r="AT63" s="1212"/>
      <c r="AU63" s="1212"/>
      <c r="AV63" s="1212"/>
      <c r="AW63" s="1215">
        <f t="shared" si="4"/>
        <v>0</v>
      </c>
      <c r="BA63" s="1155"/>
      <c r="BB63" s="1155"/>
      <c r="BC63" s="1155"/>
      <c r="BD63" s="1155"/>
      <c r="BE63" s="1155"/>
      <c r="BF63" s="1155"/>
      <c r="BG63" s="1155"/>
      <c r="BH63" s="1145"/>
      <c r="BI63" s="1145"/>
      <c r="BJ63" s="1145"/>
      <c r="BK63" s="1145"/>
      <c r="BL63" s="1145"/>
      <c r="BM63" s="1145"/>
      <c r="BN63" s="1145"/>
      <c r="BO63" s="1145"/>
      <c r="BP63" s="1145"/>
      <c r="BQ63" s="1145"/>
      <c r="BR63" s="1145"/>
      <c r="BS63" s="1145"/>
      <c r="BT63" s="1145"/>
      <c r="BU63" s="1145"/>
      <c r="BV63" s="1145"/>
      <c r="BW63" s="1145"/>
      <c r="BX63" s="1145"/>
      <c r="BY63" s="1145"/>
    </row>
    <row r="64" spans="1:77" ht="78.75">
      <c r="A64" s="1377"/>
      <c r="B64" s="1375"/>
      <c r="C64" s="1375"/>
      <c r="D64" s="1367"/>
      <c r="E64" s="1367"/>
      <c r="F64" s="1377"/>
      <c r="G64" s="1375"/>
      <c r="H64" s="776">
        <v>1</v>
      </c>
      <c r="I64" s="782" t="s">
        <v>788</v>
      </c>
      <c r="J64" s="718" t="s">
        <v>789</v>
      </c>
      <c r="K64" s="367"/>
      <c r="L64" s="718"/>
      <c r="M64" s="367">
        <v>1</v>
      </c>
      <c r="N64" s="367"/>
      <c r="O64" s="1212"/>
      <c r="P64" s="1212"/>
      <c r="Q64" s="1212"/>
      <c r="R64" s="1212"/>
      <c r="S64" s="1212"/>
      <c r="T64" s="1212"/>
      <c r="U64" s="1212"/>
      <c r="V64" s="1212"/>
      <c r="W64" s="1212"/>
      <c r="X64" s="1212"/>
      <c r="Y64" s="1212"/>
      <c r="Z64" s="1212"/>
      <c r="AA64" s="1212"/>
      <c r="AB64" s="1212"/>
      <c r="AC64" s="460"/>
      <c r="AD64" s="1212"/>
      <c r="AE64" s="1212"/>
      <c r="AF64" s="1212"/>
      <c r="AG64" s="1212"/>
      <c r="AH64" s="1212"/>
      <c r="AI64" s="460"/>
      <c r="AJ64" s="460"/>
      <c r="AK64" s="460"/>
      <c r="AL64" s="460"/>
      <c r="AM64" s="460"/>
      <c r="AN64" s="460"/>
      <c r="AO64" s="460"/>
      <c r="AP64" s="460"/>
      <c r="AQ64" s="460"/>
      <c r="AR64" s="1212"/>
      <c r="AS64" s="1212"/>
      <c r="AT64" s="1212"/>
      <c r="AU64" s="1212"/>
      <c r="AV64" s="1212"/>
      <c r="AW64" s="1215">
        <f t="shared" si="4"/>
        <v>0</v>
      </c>
      <c r="BA64" s="1155" t="s">
        <v>1813</v>
      </c>
      <c r="BB64" s="1155"/>
      <c r="BC64" s="1155" t="s">
        <v>1850</v>
      </c>
      <c r="BD64" s="1155" t="s">
        <v>1850</v>
      </c>
      <c r="BE64" s="1155" t="s">
        <v>1850</v>
      </c>
      <c r="BF64" s="1155" t="s">
        <v>1851</v>
      </c>
      <c r="BG64" s="1155">
        <v>4</v>
      </c>
      <c r="BH64" s="1145"/>
      <c r="BI64" s="1145"/>
      <c r="BJ64" s="1145"/>
      <c r="BK64" s="1145"/>
      <c r="BL64" s="1145"/>
      <c r="BM64" s="1145"/>
      <c r="BN64" s="1145"/>
      <c r="BO64" s="1145"/>
      <c r="BP64" s="1145"/>
      <c r="BQ64" s="1145"/>
      <c r="BR64" s="1145"/>
      <c r="BS64" s="1145"/>
      <c r="BT64" s="1145"/>
      <c r="BU64" s="1145"/>
      <c r="BV64" s="1145"/>
      <c r="BW64" s="1145"/>
      <c r="BX64" s="1145"/>
      <c r="BY64" s="1145"/>
    </row>
    <row r="65" spans="1:77" ht="76.5" hidden="1">
      <c r="A65" s="1377"/>
      <c r="B65" s="1375"/>
      <c r="C65" s="1375"/>
      <c r="D65" s="1367"/>
      <c r="E65" s="1367"/>
      <c r="F65" s="1377"/>
      <c r="G65" s="1375"/>
      <c r="H65" s="776">
        <v>1</v>
      </c>
      <c r="I65" s="782" t="s">
        <v>790</v>
      </c>
      <c r="J65" s="718" t="s">
        <v>791</v>
      </c>
      <c r="K65" s="367"/>
      <c r="L65" s="367">
        <v>1</v>
      </c>
      <c r="M65" s="718"/>
      <c r="N65" s="367"/>
      <c r="O65" s="1212"/>
      <c r="P65" s="1212"/>
      <c r="Q65" s="1212"/>
      <c r="R65" s="1212"/>
      <c r="S65" s="1212"/>
      <c r="T65" s="1212"/>
      <c r="U65" s="1212"/>
      <c r="V65" s="1212"/>
      <c r="W65" s="1212"/>
      <c r="X65" s="1212"/>
      <c r="Y65" s="1212"/>
      <c r="Z65" s="1212"/>
      <c r="AA65" s="1212"/>
      <c r="AB65" s="1212"/>
      <c r="AC65" s="460"/>
      <c r="AD65" s="1212"/>
      <c r="AE65" s="1212"/>
      <c r="AF65" s="1212"/>
      <c r="AG65" s="1212"/>
      <c r="AH65" s="1212"/>
      <c r="AI65" s="460"/>
      <c r="AJ65" s="460"/>
      <c r="AK65" s="460"/>
      <c r="AL65" s="460"/>
      <c r="AM65" s="460"/>
      <c r="AN65" s="460"/>
      <c r="AO65" s="460"/>
      <c r="AP65" s="460"/>
      <c r="AQ65" s="460"/>
      <c r="AR65" s="1212"/>
      <c r="AS65" s="1212"/>
      <c r="AT65" s="1212"/>
      <c r="AU65" s="1212"/>
      <c r="AV65" s="1212"/>
      <c r="AW65" s="1215">
        <f t="shared" si="4"/>
        <v>0</v>
      </c>
      <c r="BA65" s="1155"/>
      <c r="BB65" s="1155"/>
      <c r="BC65" s="1155"/>
      <c r="BD65" s="1155"/>
      <c r="BE65" s="1155"/>
      <c r="BF65" s="1155"/>
      <c r="BG65" s="1155"/>
      <c r="BH65" s="1145"/>
      <c r="BI65" s="1145"/>
      <c r="BJ65" s="1145"/>
      <c r="BK65" s="1145"/>
      <c r="BL65" s="1145"/>
      <c r="BM65" s="1145"/>
      <c r="BN65" s="1145"/>
      <c r="BO65" s="1145"/>
      <c r="BP65" s="1145"/>
      <c r="BQ65" s="1145"/>
      <c r="BR65" s="1145"/>
      <c r="BS65" s="1145"/>
      <c r="BT65" s="1145"/>
      <c r="BU65" s="1145"/>
      <c r="BV65" s="1145"/>
      <c r="BW65" s="1145"/>
      <c r="BX65" s="1145"/>
      <c r="BY65" s="1145"/>
    </row>
    <row r="66" spans="1:77" ht="67.5" hidden="1">
      <c r="A66" s="1377"/>
      <c r="B66" s="1375"/>
      <c r="C66" s="1375"/>
      <c r="D66" s="1367"/>
      <c r="E66" s="1367"/>
      <c r="F66" s="1377"/>
      <c r="G66" s="1375"/>
      <c r="H66" s="776">
        <v>1</v>
      </c>
      <c r="I66" s="782" t="s">
        <v>792</v>
      </c>
      <c r="J66" s="718" t="s">
        <v>793</v>
      </c>
      <c r="K66" s="718"/>
      <c r="L66" s="718">
        <v>1</v>
      </c>
      <c r="M66" s="367"/>
      <c r="N66" s="367"/>
      <c r="O66" s="1212"/>
      <c r="P66" s="1212"/>
      <c r="Q66" s="1212"/>
      <c r="R66" s="1212"/>
      <c r="S66" s="1212"/>
      <c r="T66" s="1212"/>
      <c r="U66" s="1212"/>
      <c r="V66" s="1212"/>
      <c r="W66" s="1212"/>
      <c r="X66" s="1212"/>
      <c r="Y66" s="1212"/>
      <c r="Z66" s="1212"/>
      <c r="AA66" s="1212"/>
      <c r="AB66" s="1212"/>
      <c r="AC66" s="460"/>
      <c r="AD66" s="1212"/>
      <c r="AE66" s="1212"/>
      <c r="AF66" s="1212"/>
      <c r="AG66" s="1212"/>
      <c r="AH66" s="1212"/>
      <c r="AI66" s="460"/>
      <c r="AJ66" s="460"/>
      <c r="AK66" s="460"/>
      <c r="AL66" s="460"/>
      <c r="AM66" s="460"/>
      <c r="AN66" s="460"/>
      <c r="AO66" s="460"/>
      <c r="AP66" s="460"/>
      <c r="AQ66" s="460"/>
      <c r="AR66" s="1212"/>
      <c r="AS66" s="1212"/>
      <c r="AT66" s="1212"/>
      <c r="AU66" s="1212"/>
      <c r="AV66" s="1212"/>
      <c r="AW66" s="1215">
        <f t="shared" si="4"/>
        <v>0</v>
      </c>
      <c r="BA66" s="1155"/>
      <c r="BB66" s="1155"/>
      <c r="BC66" s="1155"/>
      <c r="BD66" s="1155"/>
      <c r="BE66" s="1155"/>
      <c r="BF66" s="1155"/>
      <c r="BG66" s="1155"/>
      <c r="BH66" s="1145"/>
      <c r="BI66" s="1145"/>
      <c r="BJ66" s="1145"/>
      <c r="BK66" s="1145"/>
      <c r="BL66" s="1145"/>
      <c r="BM66" s="1145"/>
      <c r="BN66" s="1145"/>
      <c r="BO66" s="1145"/>
      <c r="BP66" s="1145"/>
      <c r="BQ66" s="1145"/>
      <c r="BR66" s="1145"/>
      <c r="BS66" s="1145"/>
      <c r="BT66" s="1145"/>
      <c r="BU66" s="1145"/>
      <c r="BV66" s="1145"/>
      <c r="BW66" s="1145"/>
      <c r="BX66" s="1145"/>
      <c r="BY66" s="1145"/>
    </row>
    <row r="67" spans="1:77" ht="114.75" hidden="1">
      <c r="A67" s="1377"/>
      <c r="B67" s="1375"/>
      <c r="C67" s="1375"/>
      <c r="D67" s="1367"/>
      <c r="E67" s="1367"/>
      <c r="F67" s="1377"/>
      <c r="G67" s="1375"/>
      <c r="H67" s="776">
        <v>1</v>
      </c>
      <c r="I67" s="782" t="s">
        <v>794</v>
      </c>
      <c r="J67" s="718" t="s">
        <v>795</v>
      </c>
      <c r="K67" s="367"/>
      <c r="L67" s="367">
        <v>1</v>
      </c>
      <c r="M67" s="718"/>
      <c r="N67" s="367"/>
      <c r="O67" s="1212"/>
      <c r="P67" s="1212"/>
      <c r="Q67" s="1212"/>
      <c r="R67" s="1212"/>
      <c r="S67" s="1212"/>
      <c r="T67" s="1212"/>
      <c r="U67" s="1212"/>
      <c r="V67" s="1212"/>
      <c r="W67" s="1212"/>
      <c r="X67" s="1212"/>
      <c r="Y67" s="1212"/>
      <c r="Z67" s="1212"/>
      <c r="AA67" s="1212"/>
      <c r="AB67" s="1212"/>
      <c r="AC67" s="460"/>
      <c r="AD67" s="1212"/>
      <c r="AE67" s="1212"/>
      <c r="AF67" s="1212"/>
      <c r="AG67" s="1212"/>
      <c r="AH67" s="1212"/>
      <c r="AI67" s="460"/>
      <c r="AJ67" s="460"/>
      <c r="AK67" s="460"/>
      <c r="AL67" s="460"/>
      <c r="AM67" s="460"/>
      <c r="AN67" s="460"/>
      <c r="AO67" s="460"/>
      <c r="AP67" s="460"/>
      <c r="AQ67" s="460"/>
      <c r="AR67" s="1212"/>
      <c r="AS67" s="1212"/>
      <c r="AT67" s="1212"/>
      <c r="AU67" s="1212"/>
      <c r="AV67" s="1212"/>
      <c r="AW67" s="1215">
        <f t="shared" si="4"/>
        <v>0</v>
      </c>
      <c r="BA67" s="1155"/>
      <c r="BB67" s="1155"/>
      <c r="BC67" s="1155"/>
      <c r="BD67" s="1155"/>
      <c r="BE67" s="1155"/>
      <c r="BF67" s="1155"/>
      <c r="BG67" s="1155"/>
      <c r="BH67" s="1145"/>
      <c r="BI67" s="1145"/>
      <c r="BJ67" s="1145"/>
      <c r="BK67" s="1145"/>
      <c r="BL67" s="1145"/>
      <c r="BM67" s="1145"/>
      <c r="BN67" s="1145"/>
      <c r="BO67" s="1145"/>
      <c r="BP67" s="1145"/>
      <c r="BQ67" s="1145"/>
      <c r="BR67" s="1145"/>
      <c r="BS67" s="1145"/>
      <c r="BT67" s="1145"/>
      <c r="BU67" s="1145"/>
      <c r="BV67" s="1145"/>
      <c r="BW67" s="1145"/>
      <c r="BX67" s="1145"/>
      <c r="BY67" s="1145"/>
    </row>
    <row r="68" spans="1:77" ht="39.75" customHeight="1">
      <c r="A68" s="1377"/>
      <c r="B68" s="1375"/>
      <c r="C68" s="1375"/>
      <c r="D68" s="1367"/>
      <c r="E68" s="1367"/>
      <c r="F68" s="1377"/>
      <c r="G68" s="1375"/>
      <c r="H68" s="776"/>
      <c r="I68" s="782"/>
      <c r="J68" s="718"/>
      <c r="K68" s="367"/>
      <c r="L68" s="367"/>
      <c r="M68" s="718"/>
      <c r="N68" s="367"/>
      <c r="O68" s="830" t="s">
        <v>1736</v>
      </c>
      <c r="P68" s="883"/>
      <c r="Q68" s="883"/>
      <c r="R68" s="883"/>
      <c r="S68" s="883"/>
      <c r="T68" s="883"/>
      <c r="U68" s="883"/>
      <c r="V68" s="883"/>
      <c r="W68" s="883">
        <f>566537080-16501080</f>
        <v>550036000</v>
      </c>
      <c r="X68" s="883"/>
      <c r="Y68" s="883"/>
      <c r="Z68" s="883"/>
      <c r="AA68" s="883"/>
      <c r="AB68" s="883"/>
      <c r="AC68" s="460"/>
      <c r="AD68" s="883"/>
      <c r="AE68" s="883"/>
      <c r="AF68" s="883"/>
      <c r="AG68" s="883"/>
      <c r="AH68" s="883"/>
      <c r="AI68" s="460"/>
      <c r="AJ68" s="460"/>
      <c r="AK68" s="460"/>
      <c r="AL68" s="460"/>
      <c r="AM68" s="460"/>
      <c r="AN68" s="460"/>
      <c r="AO68" s="460"/>
      <c r="AP68" s="460"/>
      <c r="AQ68" s="460"/>
      <c r="AR68" s="883"/>
      <c r="AS68" s="883"/>
      <c r="AT68" s="883"/>
      <c r="AU68" s="883"/>
      <c r="AV68" s="883"/>
      <c r="AW68" s="884">
        <f>SUM(P68:AV68)</f>
        <v>550036000</v>
      </c>
      <c r="BA68" s="1155"/>
      <c r="BB68" s="1155"/>
      <c r="BC68" s="1155"/>
      <c r="BD68" s="1155"/>
      <c r="BE68" s="1155"/>
      <c r="BF68" s="1155"/>
      <c r="BG68" s="1155"/>
      <c r="BH68" s="1145"/>
      <c r="BI68" s="1145"/>
      <c r="BJ68" s="1145"/>
      <c r="BK68" s="1145"/>
      <c r="BL68" s="1145"/>
      <c r="BM68" s="1145"/>
      <c r="BN68" s="1145"/>
      <c r="BO68" s="1145"/>
      <c r="BP68" s="1145"/>
      <c r="BQ68" s="1145"/>
      <c r="BR68" s="1145"/>
      <c r="BS68" s="1145"/>
      <c r="BT68" s="1145"/>
      <c r="BU68" s="1145"/>
      <c r="BV68" s="1145"/>
      <c r="BW68" s="1145"/>
      <c r="BX68" s="1145"/>
      <c r="BY68" s="1145"/>
    </row>
    <row r="69" spans="1:77" ht="140.25">
      <c r="A69" s="1377"/>
      <c r="B69" s="1375"/>
      <c r="C69" s="1375"/>
      <c r="D69" s="1367"/>
      <c r="E69" s="1367"/>
      <c r="F69" s="1377"/>
      <c r="G69" s="1375"/>
      <c r="H69" s="776">
        <v>1</v>
      </c>
      <c r="I69" s="783" t="s">
        <v>796</v>
      </c>
      <c r="J69" s="718" t="s">
        <v>797</v>
      </c>
      <c r="K69" s="718">
        <v>1</v>
      </c>
      <c r="L69" s="718">
        <v>1</v>
      </c>
      <c r="M69" s="718">
        <v>1</v>
      </c>
      <c r="N69" s="718">
        <v>1</v>
      </c>
      <c r="O69" s="829" t="s">
        <v>1641</v>
      </c>
      <c r="P69" s="460"/>
      <c r="Q69" s="460"/>
      <c r="R69" s="460"/>
      <c r="S69" s="460"/>
      <c r="T69" s="460"/>
      <c r="U69" s="460"/>
      <c r="V69" s="460">
        <v>360124364</v>
      </c>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775">
        <f>SUM(P69:AV69)</f>
        <v>360124364</v>
      </c>
      <c r="BA69" s="1155" t="s">
        <v>1815</v>
      </c>
      <c r="BB69" s="1155"/>
      <c r="BC69" s="1155" t="s">
        <v>1850</v>
      </c>
      <c r="BD69" s="1155" t="s">
        <v>1850</v>
      </c>
      <c r="BE69" s="1155" t="s">
        <v>1850</v>
      </c>
      <c r="BF69" s="1155" t="s">
        <v>1851</v>
      </c>
      <c r="BG69" s="1155">
        <v>4</v>
      </c>
      <c r="BH69" s="1145"/>
      <c r="BI69" s="1145"/>
      <c r="BJ69" s="1145"/>
      <c r="BK69" s="1145"/>
      <c r="BL69" s="1145"/>
      <c r="BM69" s="1145"/>
      <c r="BN69" s="1145"/>
      <c r="BO69" s="1145"/>
      <c r="BP69" s="1145"/>
      <c r="BQ69" s="1145"/>
      <c r="BR69" s="1145"/>
      <c r="BS69" s="1145"/>
      <c r="BT69" s="1145"/>
      <c r="BU69" s="1145"/>
      <c r="BV69" s="1145"/>
      <c r="BW69" s="1145"/>
      <c r="BX69" s="1145"/>
      <c r="BY69" s="1145"/>
    </row>
    <row r="70" spans="1:77" ht="78.75">
      <c r="A70" s="1377"/>
      <c r="B70" s="1375"/>
      <c r="C70" s="1375"/>
      <c r="D70" s="1367"/>
      <c r="E70" s="1367"/>
      <c r="F70" s="1377"/>
      <c r="G70" s="1375"/>
      <c r="H70" s="776">
        <v>1</v>
      </c>
      <c r="I70" s="782" t="s">
        <v>798</v>
      </c>
      <c r="J70" s="718" t="s">
        <v>799</v>
      </c>
      <c r="K70" s="744"/>
      <c r="L70" s="744"/>
      <c r="M70" s="744">
        <v>0.35</v>
      </c>
      <c r="N70" s="744">
        <v>0.15</v>
      </c>
      <c r="O70" s="1212" t="s">
        <v>1644</v>
      </c>
      <c r="P70" s="1212"/>
      <c r="Q70" s="1212"/>
      <c r="R70" s="1212"/>
      <c r="S70" s="1212"/>
      <c r="T70" s="1212"/>
      <c r="U70" s="1212"/>
      <c r="V70" s="1212"/>
      <c r="W70" s="1212"/>
      <c r="X70" s="1212"/>
      <c r="Y70" s="1212"/>
      <c r="Z70" s="1212"/>
      <c r="AA70" s="1212"/>
      <c r="AB70" s="1212"/>
      <c r="AC70" s="460"/>
      <c r="AD70" s="1212">
        <v>50000000</v>
      </c>
      <c r="AE70" s="1212"/>
      <c r="AF70" s="1212"/>
      <c r="AG70" s="1212"/>
      <c r="AH70" s="1212"/>
      <c r="AI70" s="460"/>
      <c r="AJ70" s="460"/>
      <c r="AK70" s="460"/>
      <c r="AL70" s="460"/>
      <c r="AM70" s="460"/>
      <c r="AN70" s="460"/>
      <c r="AO70" s="460"/>
      <c r="AP70" s="460"/>
      <c r="AQ70" s="460"/>
      <c r="AR70" s="1212"/>
      <c r="AS70" s="1212"/>
      <c r="AT70" s="1212"/>
      <c r="AU70" s="1212"/>
      <c r="AV70" s="1212"/>
      <c r="AW70" s="1215">
        <f aca="true" t="shared" si="5" ref="AW70:AW115">SUM(P70:AV70)</f>
        <v>50000000</v>
      </c>
      <c r="BA70" s="1155" t="s">
        <v>1814</v>
      </c>
      <c r="BB70" s="1155"/>
      <c r="BC70" s="1155" t="s">
        <v>1850</v>
      </c>
      <c r="BD70" s="1155" t="s">
        <v>1850</v>
      </c>
      <c r="BE70" s="1155" t="s">
        <v>1850</v>
      </c>
      <c r="BF70" s="1155" t="s">
        <v>1851</v>
      </c>
      <c r="BG70" s="1155">
        <v>4</v>
      </c>
      <c r="BH70" s="1145"/>
      <c r="BI70" s="1145"/>
      <c r="BJ70" s="1145"/>
      <c r="BK70" s="1145"/>
      <c r="BL70" s="1145"/>
      <c r="BM70" s="1145"/>
      <c r="BN70" s="1145"/>
      <c r="BO70" s="1145"/>
      <c r="BP70" s="1145"/>
      <c r="BQ70" s="1145"/>
      <c r="BR70" s="1145"/>
      <c r="BS70" s="1145"/>
      <c r="BT70" s="1145"/>
      <c r="BU70" s="1145"/>
      <c r="BV70" s="1145"/>
      <c r="BW70" s="1145"/>
      <c r="BX70" s="1145"/>
      <c r="BY70" s="1145"/>
    </row>
    <row r="71" spans="1:77" ht="102" customHeight="1" thickBot="1">
      <c r="A71" s="1377"/>
      <c r="B71" s="1375"/>
      <c r="C71" s="1375"/>
      <c r="D71" s="1367"/>
      <c r="E71" s="1367"/>
      <c r="F71" s="1378"/>
      <c r="G71" s="1375"/>
      <c r="H71" s="776">
        <v>1</v>
      </c>
      <c r="I71" s="785" t="s">
        <v>800</v>
      </c>
      <c r="J71" s="732" t="s">
        <v>801</v>
      </c>
      <c r="K71" s="732"/>
      <c r="L71" s="732">
        <v>1</v>
      </c>
      <c r="M71" s="732">
        <v>1</v>
      </c>
      <c r="N71" s="732">
        <v>2</v>
      </c>
      <c r="O71" s="1228"/>
      <c r="P71" s="1228"/>
      <c r="Q71" s="1228"/>
      <c r="R71" s="1228"/>
      <c r="S71" s="1228"/>
      <c r="T71" s="1228"/>
      <c r="U71" s="1228"/>
      <c r="V71" s="1228"/>
      <c r="W71" s="1228"/>
      <c r="X71" s="1228"/>
      <c r="Y71" s="1228"/>
      <c r="Z71" s="1228"/>
      <c r="AA71" s="1228"/>
      <c r="AB71" s="1228"/>
      <c r="AC71" s="899"/>
      <c r="AD71" s="1228"/>
      <c r="AE71" s="1228"/>
      <c r="AF71" s="1228"/>
      <c r="AG71" s="1228"/>
      <c r="AH71" s="1228"/>
      <c r="AI71" s="899"/>
      <c r="AJ71" s="899"/>
      <c r="AK71" s="899"/>
      <c r="AL71" s="899"/>
      <c r="AM71" s="899"/>
      <c r="AN71" s="899"/>
      <c r="AO71" s="899"/>
      <c r="AP71" s="899"/>
      <c r="AQ71" s="899"/>
      <c r="AR71" s="1228"/>
      <c r="AS71" s="1228"/>
      <c r="AT71" s="1228"/>
      <c r="AU71" s="1228"/>
      <c r="AV71" s="1228"/>
      <c r="AW71" s="1253">
        <f t="shared" si="5"/>
        <v>0</v>
      </c>
      <c r="BA71" s="1155" t="s">
        <v>1816</v>
      </c>
      <c r="BB71" s="1155"/>
      <c r="BC71" s="1155"/>
      <c r="BD71" s="1155" t="s">
        <v>1850</v>
      </c>
      <c r="BE71" s="1155" t="s">
        <v>1850</v>
      </c>
      <c r="BF71" s="1155" t="s">
        <v>1851</v>
      </c>
      <c r="BG71" s="1155">
        <v>4</v>
      </c>
      <c r="BH71" s="1145"/>
      <c r="BI71" s="1145"/>
      <c r="BJ71" s="1145"/>
      <c r="BK71" s="1145"/>
      <c r="BL71" s="1145"/>
      <c r="BM71" s="1145"/>
      <c r="BN71" s="1145"/>
      <c r="BO71" s="1145"/>
      <c r="BP71" s="1145"/>
      <c r="BQ71" s="1145"/>
      <c r="BR71" s="1145"/>
      <c r="BS71" s="1145"/>
      <c r="BT71" s="1145"/>
      <c r="BU71" s="1145"/>
      <c r="BV71" s="1145"/>
      <c r="BW71" s="1145"/>
      <c r="BX71" s="1145"/>
      <c r="BY71" s="1145"/>
    </row>
    <row r="72" spans="1:77" ht="32.25" customHeight="1" thickBot="1">
      <c r="A72" s="1377"/>
      <c r="B72" s="1375"/>
      <c r="C72" s="1375"/>
      <c r="D72" s="718"/>
      <c r="E72" s="718"/>
      <c r="F72" s="721"/>
      <c r="G72" s="719"/>
      <c r="H72" s="776"/>
      <c r="I72" s="1355" t="s">
        <v>1700</v>
      </c>
      <c r="J72" s="1356"/>
      <c r="K72" s="1356"/>
      <c r="L72" s="1356"/>
      <c r="M72" s="1356"/>
      <c r="N72" s="1356"/>
      <c r="O72" s="1357"/>
      <c r="P72" s="831">
        <f>SUM(P35:P71)</f>
        <v>0</v>
      </c>
      <c r="Q72" s="831">
        <f aca="true" t="shared" si="6" ref="Q72:AW72">SUM(Q35:Q71)</f>
        <v>0</v>
      </c>
      <c r="R72" s="831">
        <f t="shared" si="6"/>
        <v>0</v>
      </c>
      <c r="S72" s="831">
        <f t="shared" si="6"/>
        <v>0</v>
      </c>
      <c r="T72" s="831">
        <f t="shared" si="6"/>
        <v>0</v>
      </c>
      <c r="U72" s="831">
        <f t="shared" si="6"/>
        <v>0</v>
      </c>
      <c r="V72" s="831">
        <f t="shared" si="6"/>
        <v>844780936</v>
      </c>
      <c r="W72" s="831">
        <f t="shared" si="6"/>
        <v>550036000</v>
      </c>
      <c r="X72" s="831">
        <f t="shared" si="6"/>
        <v>206487930</v>
      </c>
      <c r="Y72" s="831">
        <f t="shared" si="6"/>
        <v>0</v>
      </c>
      <c r="Z72" s="831">
        <f t="shared" si="6"/>
        <v>0</v>
      </c>
      <c r="AA72" s="831">
        <f t="shared" si="6"/>
        <v>0</v>
      </c>
      <c r="AB72" s="831">
        <f t="shared" si="6"/>
        <v>0</v>
      </c>
      <c r="AC72" s="831">
        <f t="shared" si="6"/>
        <v>0</v>
      </c>
      <c r="AD72" s="831">
        <f t="shared" si="6"/>
        <v>170000000</v>
      </c>
      <c r="AE72" s="831">
        <f t="shared" si="6"/>
        <v>0</v>
      </c>
      <c r="AF72" s="831">
        <f t="shared" si="6"/>
        <v>0</v>
      </c>
      <c r="AG72" s="831">
        <f t="shared" si="6"/>
        <v>0</v>
      </c>
      <c r="AH72" s="831">
        <f t="shared" si="6"/>
        <v>0</v>
      </c>
      <c r="AI72" s="831">
        <f t="shared" si="6"/>
        <v>0</v>
      </c>
      <c r="AJ72" s="831">
        <f t="shared" si="6"/>
        <v>0</v>
      </c>
      <c r="AK72" s="831">
        <f t="shared" si="6"/>
        <v>0</v>
      </c>
      <c r="AL72" s="831">
        <f t="shared" si="6"/>
        <v>0</v>
      </c>
      <c r="AM72" s="831">
        <f t="shared" si="6"/>
        <v>0</v>
      </c>
      <c r="AN72" s="831">
        <f t="shared" si="6"/>
        <v>0</v>
      </c>
      <c r="AO72" s="831">
        <f t="shared" si="6"/>
        <v>0</v>
      </c>
      <c r="AP72" s="831">
        <f t="shared" si="6"/>
        <v>0</v>
      </c>
      <c r="AQ72" s="831">
        <f t="shared" si="6"/>
        <v>0</v>
      </c>
      <c r="AR72" s="831">
        <f t="shared" si="6"/>
        <v>0</v>
      </c>
      <c r="AS72" s="831">
        <f t="shared" si="6"/>
        <v>0</v>
      </c>
      <c r="AT72" s="831">
        <f t="shared" si="6"/>
        <v>0</v>
      </c>
      <c r="AU72" s="831">
        <f t="shared" si="6"/>
        <v>0</v>
      </c>
      <c r="AV72" s="831">
        <f t="shared" si="6"/>
        <v>0</v>
      </c>
      <c r="AW72" s="832">
        <f t="shared" si="6"/>
        <v>1771304866</v>
      </c>
      <c r="BA72" s="1155"/>
      <c r="BB72" s="1155"/>
      <c r="BC72" s="1155"/>
      <c r="BD72" s="1155"/>
      <c r="BE72" s="1155"/>
      <c r="BF72" s="1155"/>
      <c r="BG72" s="1155"/>
      <c r="BH72" s="1145"/>
      <c r="BI72" s="1145"/>
      <c r="BJ72" s="1145"/>
      <c r="BK72" s="1145"/>
      <c r="BL72" s="1145"/>
      <c r="BM72" s="1145"/>
      <c r="BN72" s="1145"/>
      <c r="BO72" s="1145"/>
      <c r="BP72" s="1145"/>
      <c r="BQ72" s="1145"/>
      <c r="BR72" s="1145"/>
      <c r="BS72" s="1145"/>
      <c r="BT72" s="1145"/>
      <c r="BU72" s="1145"/>
      <c r="BV72" s="1145"/>
      <c r="BW72" s="1145"/>
      <c r="BX72" s="1145"/>
      <c r="BY72" s="1145"/>
    </row>
    <row r="73" spans="1:77" ht="45">
      <c r="A73" s="1377"/>
      <c r="B73" s="1375"/>
      <c r="C73" s="1375"/>
      <c r="D73" s="1375" t="s">
        <v>802</v>
      </c>
      <c r="E73" s="1375" t="s">
        <v>803</v>
      </c>
      <c r="F73" s="1376">
        <v>1</v>
      </c>
      <c r="G73" s="1367" t="s">
        <v>805</v>
      </c>
      <c r="H73" s="693">
        <v>2</v>
      </c>
      <c r="I73" s="820" t="s">
        <v>806</v>
      </c>
      <c r="J73" s="1403" t="s">
        <v>807</v>
      </c>
      <c r="K73" s="739">
        <v>1000</v>
      </c>
      <c r="L73" s="739">
        <v>2000</v>
      </c>
      <c r="M73" s="739">
        <v>1000</v>
      </c>
      <c r="N73" s="786">
        <v>1000</v>
      </c>
      <c r="O73" s="1213" t="s">
        <v>1741</v>
      </c>
      <c r="P73" s="1211"/>
      <c r="Q73" s="1211"/>
      <c r="R73" s="1211"/>
      <c r="S73" s="1211"/>
      <c r="T73" s="1211"/>
      <c r="U73" s="1211"/>
      <c r="V73" s="1211"/>
      <c r="W73" s="1211"/>
      <c r="X73" s="1211"/>
      <c r="Y73" s="1211"/>
      <c r="Z73" s="1211">
        <f>107654784-3135576</f>
        <v>104519208</v>
      </c>
      <c r="AA73" s="1211"/>
      <c r="AB73" s="1211"/>
      <c r="AC73" s="826"/>
      <c r="AD73" s="1211">
        <v>30000000</v>
      </c>
      <c r="AE73" s="1211"/>
      <c r="AF73" s="1211"/>
      <c r="AG73" s="1211"/>
      <c r="AH73" s="1211"/>
      <c r="AI73" s="826"/>
      <c r="AJ73" s="826"/>
      <c r="AK73" s="826"/>
      <c r="AL73" s="826"/>
      <c r="AM73" s="826"/>
      <c r="AN73" s="826"/>
      <c r="AO73" s="826"/>
      <c r="AP73" s="826"/>
      <c r="AQ73" s="826"/>
      <c r="AR73" s="1211"/>
      <c r="AS73" s="1211"/>
      <c r="AT73" s="1211">
        <v>7500000</v>
      </c>
      <c r="AU73" s="1211"/>
      <c r="AV73" s="1211"/>
      <c r="AW73" s="1216">
        <f t="shared" si="5"/>
        <v>142019208</v>
      </c>
      <c r="BA73" s="1208" t="s">
        <v>1817</v>
      </c>
      <c r="BB73" s="1208" t="s">
        <v>1850</v>
      </c>
      <c r="BC73" s="1208" t="s">
        <v>1850</v>
      </c>
      <c r="BD73" s="1208" t="s">
        <v>1850</v>
      </c>
      <c r="BE73" s="1208" t="s">
        <v>1850</v>
      </c>
      <c r="BF73" s="1208" t="s">
        <v>1851</v>
      </c>
      <c r="BG73" s="1208">
        <v>4</v>
      </c>
      <c r="BH73" s="1145"/>
      <c r="BI73" s="1145"/>
      <c r="BJ73" s="1145"/>
      <c r="BK73" s="1145"/>
      <c r="BL73" s="1145"/>
      <c r="BM73" s="1145"/>
      <c r="BN73" s="1145"/>
      <c r="BO73" s="1145"/>
      <c r="BP73" s="1145"/>
      <c r="BQ73" s="1145"/>
      <c r="BR73" s="1145"/>
      <c r="BS73" s="1145"/>
      <c r="BT73" s="1145"/>
      <c r="BU73" s="1145"/>
      <c r="BV73" s="1145"/>
      <c r="BW73" s="1145"/>
      <c r="BX73" s="1145"/>
      <c r="BY73" s="1145"/>
    </row>
    <row r="74" spans="1:77" ht="45">
      <c r="A74" s="1377"/>
      <c r="B74" s="1375"/>
      <c r="C74" s="1375"/>
      <c r="D74" s="1375"/>
      <c r="E74" s="1375"/>
      <c r="F74" s="1377"/>
      <c r="G74" s="1367"/>
      <c r="H74" s="693">
        <v>2</v>
      </c>
      <c r="I74" s="755" t="s">
        <v>808</v>
      </c>
      <c r="J74" s="1404"/>
      <c r="K74" s="688">
        <v>200</v>
      </c>
      <c r="L74" s="688">
        <v>200</v>
      </c>
      <c r="M74" s="688">
        <v>300</v>
      </c>
      <c r="N74" s="771">
        <v>300</v>
      </c>
      <c r="O74" s="1214"/>
      <c r="P74" s="1212"/>
      <c r="Q74" s="1212"/>
      <c r="R74" s="1212"/>
      <c r="S74" s="1212"/>
      <c r="T74" s="1212"/>
      <c r="U74" s="1212"/>
      <c r="V74" s="1212"/>
      <c r="W74" s="1212"/>
      <c r="X74" s="1212"/>
      <c r="Y74" s="1212"/>
      <c r="Z74" s="1212"/>
      <c r="AA74" s="1212"/>
      <c r="AB74" s="1212"/>
      <c r="AC74" s="460"/>
      <c r="AD74" s="1212"/>
      <c r="AE74" s="1212"/>
      <c r="AF74" s="1212"/>
      <c r="AG74" s="1212"/>
      <c r="AH74" s="1212"/>
      <c r="AI74" s="460"/>
      <c r="AJ74" s="460"/>
      <c r="AK74" s="460"/>
      <c r="AL74" s="460"/>
      <c r="AM74" s="460"/>
      <c r="AN74" s="460"/>
      <c r="AO74" s="460"/>
      <c r="AP74" s="460"/>
      <c r="AQ74" s="460"/>
      <c r="AR74" s="1212"/>
      <c r="AS74" s="1212"/>
      <c r="AT74" s="1212"/>
      <c r="AU74" s="1212"/>
      <c r="AV74" s="1212"/>
      <c r="AW74" s="1215">
        <f t="shared" si="5"/>
        <v>0</v>
      </c>
      <c r="BA74" s="1210"/>
      <c r="BB74" s="1210"/>
      <c r="BC74" s="1210"/>
      <c r="BD74" s="1210"/>
      <c r="BE74" s="1210"/>
      <c r="BF74" s="1210"/>
      <c r="BG74" s="1210"/>
      <c r="BH74" s="1145"/>
      <c r="BI74" s="1145"/>
      <c r="BJ74" s="1145"/>
      <c r="BK74" s="1145"/>
      <c r="BL74" s="1145"/>
      <c r="BM74" s="1145"/>
      <c r="BN74" s="1145"/>
      <c r="BO74" s="1145"/>
      <c r="BP74" s="1145"/>
      <c r="BQ74" s="1145"/>
      <c r="BR74" s="1145"/>
      <c r="BS74" s="1145"/>
      <c r="BT74" s="1145"/>
      <c r="BU74" s="1145"/>
      <c r="BV74" s="1145"/>
      <c r="BW74" s="1145"/>
      <c r="BX74" s="1145"/>
      <c r="BY74" s="1145"/>
    </row>
    <row r="75" spans="1:77" ht="45">
      <c r="A75" s="1377"/>
      <c r="B75" s="1375"/>
      <c r="C75" s="1375"/>
      <c r="D75" s="1375"/>
      <c r="E75" s="1375"/>
      <c r="F75" s="1377"/>
      <c r="G75" s="1367"/>
      <c r="H75" s="693">
        <v>1</v>
      </c>
      <c r="I75" s="757" t="s">
        <v>809</v>
      </c>
      <c r="J75" s="687" t="s">
        <v>810</v>
      </c>
      <c r="K75" s="687"/>
      <c r="L75" s="687">
        <v>2</v>
      </c>
      <c r="M75" s="367"/>
      <c r="N75" s="771"/>
      <c r="O75" s="1214"/>
      <c r="P75" s="1212"/>
      <c r="Q75" s="1212"/>
      <c r="R75" s="1212"/>
      <c r="S75" s="1212"/>
      <c r="T75" s="1212"/>
      <c r="U75" s="1212"/>
      <c r="V75" s="1212"/>
      <c r="W75" s="1212"/>
      <c r="X75" s="1212"/>
      <c r="Y75" s="1212"/>
      <c r="Z75" s="1212"/>
      <c r="AA75" s="1212"/>
      <c r="AB75" s="1212"/>
      <c r="AC75" s="460"/>
      <c r="AD75" s="1212"/>
      <c r="AE75" s="1212"/>
      <c r="AF75" s="1212"/>
      <c r="AG75" s="1212"/>
      <c r="AH75" s="1212"/>
      <c r="AI75" s="460"/>
      <c r="AJ75" s="460"/>
      <c r="AK75" s="460"/>
      <c r="AL75" s="460"/>
      <c r="AM75" s="460"/>
      <c r="AN75" s="460"/>
      <c r="AO75" s="460"/>
      <c r="AP75" s="460"/>
      <c r="AQ75" s="460"/>
      <c r="AR75" s="1212"/>
      <c r="AS75" s="1212"/>
      <c r="AT75" s="1212"/>
      <c r="AU75" s="1212"/>
      <c r="AV75" s="1212"/>
      <c r="AW75" s="1215">
        <f t="shared" si="5"/>
        <v>0</v>
      </c>
      <c r="BA75" s="1208" t="s">
        <v>1818</v>
      </c>
      <c r="BB75" s="1208" t="s">
        <v>1850</v>
      </c>
      <c r="BC75" s="1208" t="s">
        <v>1850</v>
      </c>
      <c r="BD75" s="1208" t="s">
        <v>1850</v>
      </c>
      <c r="BE75" s="1208" t="s">
        <v>1850</v>
      </c>
      <c r="BF75" s="1208" t="s">
        <v>1851</v>
      </c>
      <c r="BG75" s="1208">
        <v>4</v>
      </c>
      <c r="BH75" s="1145"/>
      <c r="BI75" s="1145"/>
      <c r="BJ75" s="1145"/>
      <c r="BK75" s="1145"/>
      <c r="BL75" s="1145"/>
      <c r="BM75" s="1145"/>
      <c r="BN75" s="1145"/>
      <c r="BO75" s="1145"/>
      <c r="BP75" s="1145"/>
      <c r="BQ75" s="1145"/>
      <c r="BR75" s="1145"/>
      <c r="BS75" s="1145"/>
      <c r="BT75" s="1145"/>
      <c r="BU75" s="1145"/>
      <c r="BV75" s="1145"/>
      <c r="BW75" s="1145"/>
      <c r="BX75" s="1145"/>
      <c r="BY75" s="1145"/>
    </row>
    <row r="76" spans="1:77" ht="76.5">
      <c r="A76" s="1377"/>
      <c r="B76" s="1375"/>
      <c r="C76" s="1375"/>
      <c r="D76" s="1375"/>
      <c r="E76" s="1375"/>
      <c r="F76" s="1377"/>
      <c r="G76" s="1367"/>
      <c r="H76" s="693">
        <v>1</v>
      </c>
      <c r="I76" s="757" t="s">
        <v>811</v>
      </c>
      <c r="J76" s="687" t="s">
        <v>812</v>
      </c>
      <c r="K76" s="688"/>
      <c r="L76" s="688">
        <v>1</v>
      </c>
      <c r="M76" s="688">
        <v>1</v>
      </c>
      <c r="N76" s="771"/>
      <c r="O76" s="1214"/>
      <c r="P76" s="1212"/>
      <c r="Q76" s="1212"/>
      <c r="R76" s="1212"/>
      <c r="S76" s="1212"/>
      <c r="T76" s="1212"/>
      <c r="U76" s="1212"/>
      <c r="V76" s="1212"/>
      <c r="W76" s="1212"/>
      <c r="X76" s="1212"/>
      <c r="Y76" s="1212"/>
      <c r="Z76" s="1212"/>
      <c r="AA76" s="1212"/>
      <c r="AB76" s="1212"/>
      <c r="AC76" s="460"/>
      <c r="AD76" s="1212"/>
      <c r="AE76" s="1212"/>
      <c r="AF76" s="1212"/>
      <c r="AG76" s="1212"/>
      <c r="AH76" s="1212"/>
      <c r="AI76" s="460"/>
      <c r="AJ76" s="460"/>
      <c r="AK76" s="460"/>
      <c r="AL76" s="460"/>
      <c r="AM76" s="460"/>
      <c r="AN76" s="460"/>
      <c r="AO76" s="460"/>
      <c r="AP76" s="460"/>
      <c r="AQ76" s="460"/>
      <c r="AR76" s="1212"/>
      <c r="AS76" s="1212"/>
      <c r="AT76" s="1212"/>
      <c r="AU76" s="1212"/>
      <c r="AV76" s="1212"/>
      <c r="AW76" s="1215">
        <f t="shared" si="5"/>
        <v>0</v>
      </c>
      <c r="BA76" s="1209"/>
      <c r="BB76" s="1209"/>
      <c r="BC76" s="1209"/>
      <c r="BD76" s="1209"/>
      <c r="BE76" s="1209"/>
      <c r="BF76" s="1209"/>
      <c r="BG76" s="1209"/>
      <c r="BH76" s="1145"/>
      <c r="BI76" s="1145"/>
      <c r="BJ76" s="1145"/>
      <c r="BK76" s="1145"/>
      <c r="BL76" s="1145"/>
      <c r="BM76" s="1145"/>
      <c r="BN76" s="1145"/>
      <c r="BO76" s="1145"/>
      <c r="BP76" s="1145"/>
      <c r="BQ76" s="1145"/>
      <c r="BR76" s="1145"/>
      <c r="BS76" s="1145"/>
      <c r="BT76" s="1145"/>
      <c r="BU76" s="1145"/>
      <c r="BV76" s="1145"/>
      <c r="BW76" s="1145"/>
      <c r="BX76" s="1145"/>
      <c r="BY76" s="1145"/>
    </row>
    <row r="77" spans="1:77" ht="63.75">
      <c r="A77" s="1377"/>
      <c r="B77" s="1375"/>
      <c r="C77" s="1375"/>
      <c r="D77" s="1375"/>
      <c r="E77" s="1375"/>
      <c r="F77" s="1377"/>
      <c r="G77" s="1367"/>
      <c r="H77" s="693">
        <v>1</v>
      </c>
      <c r="I77" s="755" t="s">
        <v>813</v>
      </c>
      <c r="J77" s="687" t="s">
        <v>814</v>
      </c>
      <c r="K77" s="690">
        <v>0.1</v>
      </c>
      <c r="L77" s="690">
        <v>0.1</v>
      </c>
      <c r="M77" s="690">
        <v>0.1</v>
      </c>
      <c r="N77" s="374"/>
      <c r="O77" s="1214"/>
      <c r="P77" s="1212"/>
      <c r="Q77" s="1212"/>
      <c r="R77" s="1212"/>
      <c r="S77" s="1212"/>
      <c r="T77" s="1212"/>
      <c r="U77" s="1212"/>
      <c r="V77" s="1212"/>
      <c r="W77" s="1212"/>
      <c r="X77" s="1212"/>
      <c r="Y77" s="1212"/>
      <c r="Z77" s="1212"/>
      <c r="AA77" s="1212"/>
      <c r="AB77" s="1212"/>
      <c r="AC77" s="460"/>
      <c r="AD77" s="1212"/>
      <c r="AE77" s="1212"/>
      <c r="AF77" s="1212"/>
      <c r="AG77" s="1212"/>
      <c r="AH77" s="1212"/>
      <c r="AI77" s="460"/>
      <c r="AJ77" s="460"/>
      <c r="AK77" s="460"/>
      <c r="AL77" s="460"/>
      <c r="AM77" s="460"/>
      <c r="AN77" s="460"/>
      <c r="AO77" s="460"/>
      <c r="AP77" s="460"/>
      <c r="AQ77" s="460"/>
      <c r="AR77" s="1212"/>
      <c r="AS77" s="1212"/>
      <c r="AT77" s="1212"/>
      <c r="AU77" s="1212"/>
      <c r="AV77" s="1212"/>
      <c r="AW77" s="1215">
        <f t="shared" si="5"/>
        <v>0</v>
      </c>
      <c r="BA77" s="1209"/>
      <c r="BB77" s="1209"/>
      <c r="BC77" s="1209"/>
      <c r="BD77" s="1209"/>
      <c r="BE77" s="1209"/>
      <c r="BF77" s="1209"/>
      <c r="BG77" s="1209"/>
      <c r="BH77" s="1145"/>
      <c r="BI77" s="1145"/>
      <c r="BJ77" s="1145"/>
      <c r="BK77" s="1145"/>
      <c r="BL77" s="1145"/>
      <c r="BM77" s="1145"/>
      <c r="BN77" s="1145"/>
      <c r="BO77" s="1145"/>
      <c r="BP77" s="1145"/>
      <c r="BQ77" s="1145"/>
      <c r="BR77" s="1145"/>
      <c r="BS77" s="1145"/>
      <c r="BT77" s="1145"/>
      <c r="BU77" s="1145"/>
      <c r="BV77" s="1145"/>
      <c r="BW77" s="1145"/>
      <c r="BX77" s="1145"/>
      <c r="BY77" s="1145"/>
    </row>
    <row r="78" spans="1:77" ht="76.5">
      <c r="A78" s="1377"/>
      <c r="B78" s="1375"/>
      <c r="C78" s="1375"/>
      <c r="D78" s="1375"/>
      <c r="E78" s="1375"/>
      <c r="F78" s="1377"/>
      <c r="G78" s="1367"/>
      <c r="H78" s="693">
        <v>1</v>
      </c>
      <c r="I78" s="759" t="s">
        <v>815</v>
      </c>
      <c r="J78" s="687" t="s">
        <v>816</v>
      </c>
      <c r="K78" s="688">
        <v>1</v>
      </c>
      <c r="L78" s="688">
        <v>1</v>
      </c>
      <c r="M78" s="688">
        <v>1</v>
      </c>
      <c r="N78" s="374">
        <v>1</v>
      </c>
      <c r="O78" s="1214"/>
      <c r="P78" s="1212"/>
      <c r="Q78" s="1212"/>
      <c r="R78" s="1212"/>
      <c r="S78" s="1212"/>
      <c r="T78" s="1212"/>
      <c r="U78" s="1212"/>
      <c r="V78" s="1212"/>
      <c r="W78" s="1212"/>
      <c r="X78" s="1212"/>
      <c r="Y78" s="1212"/>
      <c r="Z78" s="1212"/>
      <c r="AA78" s="1212"/>
      <c r="AB78" s="1212"/>
      <c r="AC78" s="460"/>
      <c r="AD78" s="1212"/>
      <c r="AE78" s="1212"/>
      <c r="AF78" s="1212"/>
      <c r="AG78" s="1212"/>
      <c r="AH78" s="1212"/>
      <c r="AI78" s="460"/>
      <c r="AJ78" s="460"/>
      <c r="AK78" s="460"/>
      <c r="AL78" s="460"/>
      <c r="AM78" s="460"/>
      <c r="AN78" s="460"/>
      <c r="AO78" s="460"/>
      <c r="AP78" s="460"/>
      <c r="AQ78" s="460"/>
      <c r="AR78" s="1212"/>
      <c r="AS78" s="1212"/>
      <c r="AT78" s="1212"/>
      <c r="AU78" s="1212"/>
      <c r="AV78" s="1212"/>
      <c r="AW78" s="1215">
        <f t="shared" si="5"/>
        <v>0</v>
      </c>
      <c r="BA78" s="1210"/>
      <c r="BB78" s="1210"/>
      <c r="BC78" s="1210"/>
      <c r="BD78" s="1210"/>
      <c r="BE78" s="1210"/>
      <c r="BF78" s="1210"/>
      <c r="BG78" s="1210"/>
      <c r="BH78" s="1145"/>
      <c r="BI78" s="1145"/>
      <c r="BJ78" s="1145"/>
      <c r="BK78" s="1145"/>
      <c r="BL78" s="1145"/>
      <c r="BM78" s="1145"/>
      <c r="BN78" s="1145"/>
      <c r="BO78" s="1145"/>
      <c r="BP78" s="1145"/>
      <c r="BQ78" s="1145"/>
      <c r="BR78" s="1145"/>
      <c r="BS78" s="1145"/>
      <c r="BT78" s="1145"/>
      <c r="BU78" s="1145"/>
      <c r="BV78" s="1145"/>
      <c r="BW78" s="1145"/>
      <c r="BX78" s="1145"/>
      <c r="BY78" s="1145"/>
    </row>
    <row r="79" spans="1:77" ht="79.5" thickBot="1">
      <c r="A79" s="1377"/>
      <c r="B79" s="1375"/>
      <c r="C79" s="1375"/>
      <c r="D79" s="1375"/>
      <c r="E79" s="1375"/>
      <c r="F79" s="1378"/>
      <c r="G79" s="1367"/>
      <c r="H79" s="693">
        <v>4</v>
      </c>
      <c r="I79" s="787" t="s">
        <v>817</v>
      </c>
      <c r="J79" s="788" t="s">
        <v>818</v>
      </c>
      <c r="K79" s="724"/>
      <c r="L79" s="747">
        <v>0.25</v>
      </c>
      <c r="M79" s="747">
        <v>0.15</v>
      </c>
      <c r="N79" s="789">
        <v>0.1</v>
      </c>
      <c r="O79" s="833" t="s">
        <v>1702</v>
      </c>
      <c r="P79" s="899"/>
      <c r="Q79" s="899"/>
      <c r="R79" s="899"/>
      <c r="S79" s="899"/>
      <c r="T79" s="899"/>
      <c r="U79" s="899"/>
      <c r="V79" s="899"/>
      <c r="W79" s="899"/>
      <c r="X79" s="899"/>
      <c r="Y79" s="899"/>
      <c r="Z79" s="899"/>
      <c r="AA79" s="899"/>
      <c r="AB79" s="899"/>
      <c r="AC79" s="899"/>
      <c r="AD79" s="899"/>
      <c r="AE79" s="899"/>
      <c r="AF79" s="899"/>
      <c r="AG79" s="899"/>
      <c r="AH79" s="899">
        <v>20000000</v>
      </c>
      <c r="AI79" s="899"/>
      <c r="AJ79" s="899"/>
      <c r="AK79" s="899"/>
      <c r="AL79" s="899"/>
      <c r="AM79" s="899"/>
      <c r="AN79" s="899"/>
      <c r="AO79" s="899"/>
      <c r="AP79" s="899"/>
      <c r="AQ79" s="899"/>
      <c r="AR79" s="899"/>
      <c r="AS79" s="899"/>
      <c r="AT79" s="899"/>
      <c r="AU79" s="899"/>
      <c r="AV79" s="899"/>
      <c r="AW79" s="834">
        <f t="shared" si="5"/>
        <v>20000000</v>
      </c>
      <c r="BA79" s="1155" t="s">
        <v>1819</v>
      </c>
      <c r="BB79" s="1155" t="s">
        <v>1850</v>
      </c>
      <c r="BC79" s="1155" t="s">
        <v>1850</v>
      </c>
      <c r="BD79" s="1155" t="s">
        <v>1850</v>
      </c>
      <c r="BE79" s="1155" t="s">
        <v>1850</v>
      </c>
      <c r="BF79" s="1155" t="s">
        <v>1851</v>
      </c>
      <c r="BG79" s="1155">
        <v>4</v>
      </c>
      <c r="BH79" s="1145"/>
      <c r="BI79" s="1145"/>
      <c r="BJ79" s="1145"/>
      <c r="BK79" s="1145"/>
      <c r="BL79" s="1145"/>
      <c r="BM79" s="1145"/>
      <c r="BN79" s="1145"/>
      <c r="BO79" s="1145"/>
      <c r="BP79" s="1145"/>
      <c r="BQ79" s="1145"/>
      <c r="BR79" s="1145"/>
      <c r="BS79" s="1145"/>
      <c r="BT79" s="1145"/>
      <c r="BU79" s="1145"/>
      <c r="BV79" s="1145"/>
      <c r="BW79" s="1145"/>
      <c r="BX79" s="1145"/>
      <c r="BY79" s="1145"/>
    </row>
    <row r="80" spans="1:77" ht="27" thickBot="1">
      <c r="A80" s="1377"/>
      <c r="B80" s="1375"/>
      <c r="C80" s="1375"/>
      <c r="D80" s="719"/>
      <c r="E80" s="719"/>
      <c r="F80" s="721"/>
      <c r="G80" s="718"/>
      <c r="H80" s="776"/>
      <c r="I80" s="1317" t="s">
        <v>1701</v>
      </c>
      <c r="J80" s="1318"/>
      <c r="K80" s="1318"/>
      <c r="L80" s="1318"/>
      <c r="M80" s="1318"/>
      <c r="N80" s="1318"/>
      <c r="O80" s="1358"/>
      <c r="P80" s="821">
        <f>SUM(P73:P79)</f>
        <v>0</v>
      </c>
      <c r="Q80" s="821">
        <f aca="true" t="shared" si="7" ref="Q80:AW80">SUM(Q73:Q79)</f>
        <v>0</v>
      </c>
      <c r="R80" s="821">
        <f t="shared" si="7"/>
        <v>0</v>
      </c>
      <c r="S80" s="821">
        <f t="shared" si="7"/>
        <v>0</v>
      </c>
      <c r="T80" s="821">
        <f t="shared" si="7"/>
        <v>0</v>
      </c>
      <c r="U80" s="821">
        <f t="shared" si="7"/>
        <v>0</v>
      </c>
      <c r="V80" s="821">
        <f t="shared" si="7"/>
        <v>0</v>
      </c>
      <c r="W80" s="821">
        <f t="shared" si="7"/>
        <v>0</v>
      </c>
      <c r="X80" s="821">
        <f t="shared" si="7"/>
        <v>0</v>
      </c>
      <c r="Y80" s="821">
        <f t="shared" si="7"/>
        <v>0</v>
      </c>
      <c r="Z80" s="821">
        <f t="shared" si="7"/>
        <v>104519208</v>
      </c>
      <c r="AA80" s="821">
        <f t="shared" si="7"/>
        <v>0</v>
      </c>
      <c r="AB80" s="821">
        <f t="shared" si="7"/>
        <v>0</v>
      </c>
      <c r="AC80" s="821">
        <f t="shared" si="7"/>
        <v>0</v>
      </c>
      <c r="AD80" s="821">
        <f t="shared" si="7"/>
        <v>30000000</v>
      </c>
      <c r="AE80" s="821">
        <f t="shared" si="7"/>
        <v>0</v>
      </c>
      <c r="AF80" s="821">
        <f t="shared" si="7"/>
        <v>0</v>
      </c>
      <c r="AG80" s="821">
        <f t="shared" si="7"/>
        <v>0</v>
      </c>
      <c r="AH80" s="821">
        <f t="shared" si="7"/>
        <v>20000000</v>
      </c>
      <c r="AI80" s="821">
        <f t="shared" si="7"/>
        <v>0</v>
      </c>
      <c r="AJ80" s="821">
        <f t="shared" si="7"/>
        <v>0</v>
      </c>
      <c r="AK80" s="821">
        <f t="shared" si="7"/>
        <v>0</v>
      </c>
      <c r="AL80" s="821">
        <f t="shared" si="7"/>
        <v>0</v>
      </c>
      <c r="AM80" s="821">
        <f t="shared" si="7"/>
        <v>0</v>
      </c>
      <c r="AN80" s="821">
        <f t="shared" si="7"/>
        <v>0</v>
      </c>
      <c r="AO80" s="821">
        <f t="shared" si="7"/>
        <v>0</v>
      </c>
      <c r="AP80" s="821">
        <f t="shared" si="7"/>
        <v>0</v>
      </c>
      <c r="AQ80" s="821">
        <f t="shared" si="7"/>
        <v>0</v>
      </c>
      <c r="AR80" s="821">
        <f t="shared" si="7"/>
        <v>0</v>
      </c>
      <c r="AS80" s="821">
        <f t="shared" si="7"/>
        <v>0</v>
      </c>
      <c r="AT80" s="821">
        <f t="shared" si="7"/>
        <v>7500000</v>
      </c>
      <c r="AU80" s="821">
        <f t="shared" si="7"/>
        <v>0</v>
      </c>
      <c r="AV80" s="821">
        <f t="shared" si="7"/>
        <v>0</v>
      </c>
      <c r="AW80" s="778">
        <f t="shared" si="7"/>
        <v>162019208</v>
      </c>
      <c r="BA80" s="1155"/>
      <c r="BB80" s="1155"/>
      <c r="BC80" s="1155"/>
      <c r="BD80" s="1155"/>
      <c r="BE80" s="1155"/>
      <c r="BF80" s="1155"/>
      <c r="BG80" s="1155"/>
      <c r="BH80" s="1145"/>
      <c r="BI80" s="1145"/>
      <c r="BJ80" s="1145"/>
      <c r="BK80" s="1145"/>
      <c r="BL80" s="1145"/>
      <c r="BM80" s="1145"/>
      <c r="BN80" s="1145"/>
      <c r="BO80" s="1145"/>
      <c r="BP80" s="1145"/>
      <c r="BQ80" s="1145"/>
      <c r="BR80" s="1145"/>
      <c r="BS80" s="1145"/>
      <c r="BT80" s="1145"/>
      <c r="BU80" s="1145"/>
      <c r="BV80" s="1145"/>
      <c r="BW80" s="1145"/>
      <c r="BX80" s="1145"/>
      <c r="BY80" s="1145"/>
    </row>
    <row r="81" spans="1:77" ht="45" customHeight="1">
      <c r="A81" s="1377"/>
      <c r="B81" s="1375"/>
      <c r="C81" s="1375"/>
      <c r="D81" s="1375" t="s">
        <v>820</v>
      </c>
      <c r="E81" s="1375" t="s">
        <v>821</v>
      </c>
      <c r="F81" s="1376">
        <v>1</v>
      </c>
      <c r="G81" s="1367" t="s">
        <v>823</v>
      </c>
      <c r="H81" s="693">
        <v>1</v>
      </c>
      <c r="I81" s="765" t="s">
        <v>824</v>
      </c>
      <c r="J81" s="896" t="s">
        <v>825</v>
      </c>
      <c r="K81" s="739">
        <v>500</v>
      </c>
      <c r="L81" s="739">
        <v>500</v>
      </c>
      <c r="M81" s="739">
        <v>500</v>
      </c>
      <c r="N81" s="786"/>
      <c r="O81" s="1213" t="s">
        <v>1740</v>
      </c>
      <c r="P81" s="1211"/>
      <c r="Q81" s="1211"/>
      <c r="R81" s="1211"/>
      <c r="S81" s="1211"/>
      <c r="T81" s="1211"/>
      <c r="U81" s="1211"/>
      <c r="V81" s="1211"/>
      <c r="W81" s="1211"/>
      <c r="X81" s="1211"/>
      <c r="Y81" s="1211"/>
      <c r="Z81" s="1211"/>
      <c r="AA81" s="1211"/>
      <c r="AB81" s="1211"/>
      <c r="AC81" s="826"/>
      <c r="AD81" s="1211"/>
      <c r="AE81" s="1211"/>
      <c r="AF81" s="1211"/>
      <c r="AG81" s="1211">
        <v>60000000</v>
      </c>
      <c r="AH81" s="1211"/>
      <c r="AI81" s="826"/>
      <c r="AJ81" s="826"/>
      <c r="AK81" s="826"/>
      <c r="AL81" s="826"/>
      <c r="AM81" s="826"/>
      <c r="AN81" s="826"/>
      <c r="AO81" s="826"/>
      <c r="AP81" s="826"/>
      <c r="AQ81" s="826"/>
      <c r="AR81" s="1211"/>
      <c r="AS81" s="1211"/>
      <c r="AT81" s="1211"/>
      <c r="AU81" s="1211"/>
      <c r="AV81" s="1211"/>
      <c r="AW81" s="1216">
        <f t="shared" si="5"/>
        <v>60000000</v>
      </c>
      <c r="BA81" s="1208" t="s">
        <v>1820</v>
      </c>
      <c r="BB81" s="1208" t="s">
        <v>1850</v>
      </c>
      <c r="BC81" s="1208" t="s">
        <v>1850</v>
      </c>
      <c r="BD81" s="1208" t="s">
        <v>1850</v>
      </c>
      <c r="BE81" s="1208" t="s">
        <v>1850</v>
      </c>
      <c r="BF81" s="1208" t="s">
        <v>1851</v>
      </c>
      <c r="BG81" s="1208">
        <v>4</v>
      </c>
      <c r="BH81" s="1145"/>
      <c r="BI81" s="1145"/>
      <c r="BJ81" s="1145"/>
      <c r="BK81" s="1145"/>
      <c r="BL81" s="1145"/>
      <c r="BM81" s="1145"/>
      <c r="BN81" s="1145"/>
      <c r="BO81" s="1145"/>
      <c r="BP81" s="1145"/>
      <c r="BQ81" s="1145"/>
      <c r="BR81" s="1145"/>
      <c r="BS81" s="1145"/>
      <c r="BT81" s="1145"/>
      <c r="BU81" s="1145"/>
      <c r="BV81" s="1145"/>
      <c r="BW81" s="1145"/>
      <c r="BX81" s="1145"/>
      <c r="BY81" s="1145"/>
    </row>
    <row r="82" spans="1:77" ht="63.75">
      <c r="A82" s="1377"/>
      <c r="B82" s="1375"/>
      <c r="C82" s="1375"/>
      <c r="D82" s="1375"/>
      <c r="E82" s="1375"/>
      <c r="F82" s="1377"/>
      <c r="G82" s="1367"/>
      <c r="H82" s="902"/>
      <c r="I82" s="750" t="s">
        <v>829</v>
      </c>
      <c r="J82" s="895" t="s">
        <v>830</v>
      </c>
      <c r="K82" s="901">
        <v>5000</v>
      </c>
      <c r="L82" s="901">
        <v>5000</v>
      </c>
      <c r="M82" s="901">
        <v>5000</v>
      </c>
      <c r="N82" s="769"/>
      <c r="O82" s="1214"/>
      <c r="P82" s="1212"/>
      <c r="Q82" s="1212"/>
      <c r="R82" s="1212"/>
      <c r="S82" s="1212"/>
      <c r="T82" s="1212"/>
      <c r="U82" s="1212"/>
      <c r="V82" s="1212"/>
      <c r="W82" s="1212"/>
      <c r="X82" s="1212"/>
      <c r="Y82" s="1212"/>
      <c r="Z82" s="1212"/>
      <c r="AA82" s="1212"/>
      <c r="AB82" s="1212"/>
      <c r="AC82" s="460"/>
      <c r="AD82" s="1212"/>
      <c r="AE82" s="1212"/>
      <c r="AF82" s="1212"/>
      <c r="AG82" s="1212"/>
      <c r="AH82" s="1212"/>
      <c r="AI82" s="460"/>
      <c r="AJ82" s="460"/>
      <c r="AK82" s="460"/>
      <c r="AL82" s="460"/>
      <c r="AM82" s="460"/>
      <c r="AN82" s="460"/>
      <c r="AO82" s="460"/>
      <c r="AP82" s="460"/>
      <c r="AQ82" s="460"/>
      <c r="AR82" s="1212"/>
      <c r="AS82" s="1212"/>
      <c r="AT82" s="1212"/>
      <c r="AU82" s="1212"/>
      <c r="AV82" s="1212"/>
      <c r="AW82" s="1215">
        <f t="shared" si="5"/>
        <v>0</v>
      </c>
      <c r="AY82" s="898"/>
      <c r="AZ82" s="898"/>
      <c r="BA82" s="1209"/>
      <c r="BB82" s="1209"/>
      <c r="BC82" s="1209"/>
      <c r="BD82" s="1209"/>
      <c r="BE82" s="1209"/>
      <c r="BF82" s="1209"/>
      <c r="BG82" s="1209"/>
      <c r="BH82" s="1145"/>
      <c r="BI82" s="1145"/>
      <c r="BJ82" s="1145"/>
      <c r="BK82" s="1145"/>
      <c r="BL82" s="1145"/>
      <c r="BM82" s="1145"/>
      <c r="BN82" s="1145"/>
      <c r="BO82" s="1145"/>
      <c r="BP82" s="1145"/>
      <c r="BQ82" s="1145"/>
      <c r="BR82" s="1145"/>
      <c r="BS82" s="1145"/>
      <c r="BT82" s="1145"/>
      <c r="BU82" s="1145"/>
      <c r="BV82" s="1145"/>
      <c r="BW82" s="1145"/>
      <c r="BX82" s="1145"/>
      <c r="BY82" s="1145"/>
    </row>
    <row r="83" spans="1:77" ht="45.75" customHeight="1" hidden="1" thickBot="1">
      <c r="A83" s="1377"/>
      <c r="B83" s="1375"/>
      <c r="C83" s="1375"/>
      <c r="D83" s="1375"/>
      <c r="E83" s="1375"/>
      <c r="F83" s="1377"/>
      <c r="G83" s="1367"/>
      <c r="H83" s="902"/>
      <c r="I83" s="757" t="s">
        <v>831</v>
      </c>
      <c r="J83" s="895" t="s">
        <v>832</v>
      </c>
      <c r="K83" s="894"/>
      <c r="L83" s="895">
        <v>1</v>
      </c>
      <c r="M83" s="367"/>
      <c r="N83" s="769"/>
      <c r="O83" s="1214"/>
      <c r="P83" s="1212"/>
      <c r="Q83" s="883"/>
      <c r="R83" s="883"/>
      <c r="S83" s="883"/>
      <c r="T83" s="883"/>
      <c r="U83" s="883"/>
      <c r="V83" s="883"/>
      <c r="W83" s="883"/>
      <c r="X83" s="883"/>
      <c r="Y83" s="883"/>
      <c r="Z83" s="883"/>
      <c r="AA83" s="883"/>
      <c r="AB83" s="883"/>
      <c r="AC83" s="460"/>
      <c r="AD83" s="883"/>
      <c r="AE83" s="883"/>
      <c r="AF83" s="883"/>
      <c r="AG83" s="883"/>
      <c r="AH83" s="883"/>
      <c r="AI83" s="460"/>
      <c r="AJ83" s="460"/>
      <c r="AK83" s="460"/>
      <c r="AL83" s="460"/>
      <c r="AM83" s="460"/>
      <c r="AN83" s="460"/>
      <c r="AO83" s="460"/>
      <c r="AP83" s="460"/>
      <c r="AQ83" s="460"/>
      <c r="AR83" s="883"/>
      <c r="AS83" s="883"/>
      <c r="AT83" s="883"/>
      <c r="AU83" s="883"/>
      <c r="AV83" s="883"/>
      <c r="AW83" s="884"/>
      <c r="AY83" s="898"/>
      <c r="AZ83" s="898"/>
      <c r="BA83" s="1209"/>
      <c r="BB83" s="1209"/>
      <c r="BC83" s="1209"/>
      <c r="BD83" s="1209"/>
      <c r="BE83" s="1209"/>
      <c r="BF83" s="1209"/>
      <c r="BG83" s="1209"/>
      <c r="BH83" s="1145"/>
      <c r="BI83" s="1145"/>
      <c r="BJ83" s="1145"/>
      <c r="BK83" s="1145"/>
      <c r="BL83" s="1145"/>
      <c r="BM83" s="1145"/>
      <c r="BN83" s="1145"/>
      <c r="BO83" s="1145"/>
      <c r="BP83" s="1145"/>
      <c r="BQ83" s="1145"/>
      <c r="BR83" s="1145"/>
      <c r="BS83" s="1145"/>
      <c r="BT83" s="1145"/>
      <c r="BU83" s="1145"/>
      <c r="BV83" s="1145"/>
      <c r="BW83" s="1145"/>
      <c r="BX83" s="1145"/>
      <c r="BY83" s="1145"/>
    </row>
    <row r="84" spans="1:77" ht="51">
      <c r="A84" s="1377"/>
      <c r="B84" s="1375"/>
      <c r="C84" s="1375"/>
      <c r="D84" s="1375"/>
      <c r="E84" s="1375"/>
      <c r="F84" s="1377"/>
      <c r="G84" s="1367"/>
      <c r="H84" s="693">
        <v>1</v>
      </c>
      <c r="I84" s="750" t="s">
        <v>827</v>
      </c>
      <c r="J84" s="687" t="s">
        <v>828</v>
      </c>
      <c r="K84" s="688">
        <v>6</v>
      </c>
      <c r="L84" s="688">
        <v>6</v>
      </c>
      <c r="M84" s="688">
        <v>6</v>
      </c>
      <c r="N84" s="374">
        <v>6</v>
      </c>
      <c r="O84" s="869" t="s">
        <v>1739</v>
      </c>
      <c r="P84" s="883"/>
      <c r="Q84" s="883"/>
      <c r="R84" s="883"/>
      <c r="S84" s="883"/>
      <c r="T84" s="883"/>
      <c r="U84" s="883"/>
      <c r="V84" s="883"/>
      <c r="W84" s="883"/>
      <c r="X84" s="883"/>
      <c r="Y84" s="883"/>
      <c r="Z84" s="883"/>
      <c r="AA84" s="883"/>
      <c r="AB84" s="883"/>
      <c r="AC84" s="460"/>
      <c r="AD84" s="883"/>
      <c r="AE84" s="883"/>
      <c r="AF84" s="883"/>
      <c r="AG84" s="883">
        <v>889450000</v>
      </c>
      <c r="AH84" s="883"/>
      <c r="AI84" s="460"/>
      <c r="AJ84" s="460"/>
      <c r="AK84" s="460"/>
      <c r="AL84" s="460"/>
      <c r="AM84" s="460"/>
      <c r="AN84" s="460"/>
      <c r="AO84" s="460"/>
      <c r="AP84" s="460"/>
      <c r="AQ84" s="460"/>
      <c r="AR84" s="883"/>
      <c r="AS84" s="883"/>
      <c r="AT84" s="883"/>
      <c r="AU84" s="883"/>
      <c r="AV84" s="883"/>
      <c r="AW84" s="884">
        <f t="shared" si="5"/>
        <v>889450000</v>
      </c>
      <c r="BA84" s="1209"/>
      <c r="BB84" s="1209"/>
      <c r="BC84" s="1209"/>
      <c r="BD84" s="1209"/>
      <c r="BE84" s="1209"/>
      <c r="BF84" s="1209"/>
      <c r="BG84" s="1209"/>
      <c r="BH84" s="1145"/>
      <c r="BI84" s="1145"/>
      <c r="BJ84" s="1145"/>
      <c r="BK84" s="1145"/>
      <c r="BL84" s="1145"/>
      <c r="BM84" s="1145"/>
      <c r="BN84" s="1145"/>
      <c r="BO84" s="1145"/>
      <c r="BP84" s="1145"/>
      <c r="BQ84" s="1145"/>
      <c r="BR84" s="1145"/>
      <c r="BS84" s="1145"/>
      <c r="BT84" s="1145"/>
      <c r="BU84" s="1145"/>
      <c r="BV84" s="1145"/>
      <c r="BW84" s="1145"/>
      <c r="BX84" s="1145"/>
      <c r="BY84" s="1145"/>
    </row>
    <row r="85" spans="1:77" ht="67.5">
      <c r="A85" s="1377"/>
      <c r="B85" s="1375"/>
      <c r="C85" s="1375"/>
      <c r="D85" s="1375"/>
      <c r="E85" s="1375"/>
      <c r="F85" s="1377"/>
      <c r="G85" s="1367"/>
      <c r="H85" s="693">
        <v>1</v>
      </c>
      <c r="I85" s="750" t="s">
        <v>826</v>
      </c>
      <c r="J85" s="687"/>
      <c r="K85" s="686"/>
      <c r="L85" s="901">
        <v>2000</v>
      </c>
      <c r="M85" s="901">
        <v>1000</v>
      </c>
      <c r="N85" s="769">
        <v>5000</v>
      </c>
      <c r="O85" s="1214" t="s">
        <v>1738</v>
      </c>
      <c r="P85" s="1212"/>
      <c r="Q85" s="1212"/>
      <c r="R85" s="1212"/>
      <c r="S85" s="1212"/>
      <c r="T85" s="1212"/>
      <c r="U85" s="1212"/>
      <c r="V85" s="1212"/>
      <c r="W85" s="1212"/>
      <c r="X85" s="1212"/>
      <c r="Y85" s="1212"/>
      <c r="Z85" s="1212"/>
      <c r="AA85" s="1212">
        <f>80741089-2351682</f>
        <v>78389407</v>
      </c>
      <c r="AB85" s="1212"/>
      <c r="AC85" s="460"/>
      <c r="AD85" s="1212"/>
      <c r="AE85" s="1212"/>
      <c r="AF85" s="1212"/>
      <c r="AG85" s="1212">
        <v>400000000</v>
      </c>
      <c r="AH85" s="1212"/>
      <c r="AI85" s="460"/>
      <c r="AJ85" s="460"/>
      <c r="AK85" s="460"/>
      <c r="AL85" s="460"/>
      <c r="AM85" s="460"/>
      <c r="AN85" s="460"/>
      <c r="AO85" s="460"/>
      <c r="AP85" s="460"/>
      <c r="AQ85" s="460"/>
      <c r="AR85" s="1212"/>
      <c r="AS85" s="1212"/>
      <c r="AT85" s="1212"/>
      <c r="AU85" s="1212"/>
      <c r="AV85" s="1212"/>
      <c r="AW85" s="1215">
        <f t="shared" si="5"/>
        <v>478389407</v>
      </c>
      <c r="BA85" s="1209"/>
      <c r="BB85" s="1209"/>
      <c r="BC85" s="1209"/>
      <c r="BD85" s="1209"/>
      <c r="BE85" s="1209"/>
      <c r="BF85" s="1209"/>
      <c r="BG85" s="1209"/>
      <c r="BH85" s="1145"/>
      <c r="BI85" s="1145"/>
      <c r="BJ85" s="1145"/>
      <c r="BK85" s="1145"/>
      <c r="BL85" s="1145"/>
      <c r="BM85" s="1145"/>
      <c r="BN85" s="1145"/>
      <c r="BO85" s="1145"/>
      <c r="BP85" s="1145"/>
      <c r="BQ85" s="1145"/>
      <c r="BR85" s="1145"/>
      <c r="BS85" s="1145"/>
      <c r="BT85" s="1145"/>
      <c r="BU85" s="1145"/>
      <c r="BV85" s="1145"/>
      <c r="BW85" s="1145"/>
      <c r="BX85" s="1145"/>
      <c r="BY85" s="1145"/>
    </row>
    <row r="86" spans="1:77" ht="63.75">
      <c r="A86" s="1377"/>
      <c r="B86" s="1375"/>
      <c r="C86" s="1375"/>
      <c r="D86" s="1375"/>
      <c r="E86" s="1375"/>
      <c r="F86" s="1377"/>
      <c r="G86" s="1367"/>
      <c r="H86" s="693">
        <v>1</v>
      </c>
      <c r="I86" s="759" t="s">
        <v>833</v>
      </c>
      <c r="J86" s="687" t="s">
        <v>834</v>
      </c>
      <c r="K86" s="688">
        <v>2</v>
      </c>
      <c r="L86" s="687">
        <v>2</v>
      </c>
      <c r="M86" s="687">
        <v>2</v>
      </c>
      <c r="N86" s="790">
        <v>2</v>
      </c>
      <c r="O86" s="1214"/>
      <c r="P86" s="1212"/>
      <c r="Q86" s="1212"/>
      <c r="R86" s="1212"/>
      <c r="S86" s="1212"/>
      <c r="T86" s="1212"/>
      <c r="U86" s="1212"/>
      <c r="V86" s="1212"/>
      <c r="W86" s="1212"/>
      <c r="X86" s="1212"/>
      <c r="Y86" s="1212"/>
      <c r="Z86" s="1212"/>
      <c r="AA86" s="1212"/>
      <c r="AB86" s="1212"/>
      <c r="AC86" s="460"/>
      <c r="AD86" s="1212"/>
      <c r="AE86" s="1212"/>
      <c r="AF86" s="1212"/>
      <c r="AG86" s="1212"/>
      <c r="AH86" s="1212"/>
      <c r="AI86" s="460"/>
      <c r="AJ86" s="460"/>
      <c r="AK86" s="460"/>
      <c r="AL86" s="460"/>
      <c r="AM86" s="460"/>
      <c r="AN86" s="460"/>
      <c r="AO86" s="460"/>
      <c r="AP86" s="460"/>
      <c r="AQ86" s="460"/>
      <c r="AR86" s="1212"/>
      <c r="AS86" s="1212"/>
      <c r="AT86" s="1212"/>
      <c r="AU86" s="1212"/>
      <c r="AV86" s="1212"/>
      <c r="AW86" s="1215">
        <f t="shared" si="5"/>
        <v>0</v>
      </c>
      <c r="BA86" s="1209"/>
      <c r="BB86" s="1209"/>
      <c r="BC86" s="1209"/>
      <c r="BD86" s="1209"/>
      <c r="BE86" s="1209"/>
      <c r="BF86" s="1209"/>
      <c r="BG86" s="1209"/>
      <c r="BH86" s="1145"/>
      <c r="BI86" s="1145"/>
      <c r="BJ86" s="1145"/>
      <c r="BK86" s="1145"/>
      <c r="BL86" s="1145"/>
      <c r="BM86" s="1145"/>
      <c r="BN86" s="1145"/>
      <c r="BO86" s="1145"/>
      <c r="BP86" s="1145"/>
      <c r="BQ86" s="1145"/>
      <c r="BR86" s="1145"/>
      <c r="BS86" s="1145"/>
      <c r="BT86" s="1145"/>
      <c r="BU86" s="1145"/>
      <c r="BV86" s="1145"/>
      <c r="BW86" s="1145"/>
      <c r="BX86" s="1145"/>
      <c r="BY86" s="1145"/>
    </row>
    <row r="87" spans="1:77" ht="38.25" customHeight="1" hidden="1">
      <c r="A87" s="1377"/>
      <c r="B87" s="1375"/>
      <c r="C87" s="1375"/>
      <c r="D87" s="1375"/>
      <c r="E87" s="1375"/>
      <c r="F87" s="1377"/>
      <c r="G87" s="1367"/>
      <c r="H87" s="693">
        <v>1</v>
      </c>
      <c r="I87" s="758" t="s">
        <v>835</v>
      </c>
      <c r="J87" s="687" t="s">
        <v>836</v>
      </c>
      <c r="K87" s="687">
        <v>1</v>
      </c>
      <c r="L87" s="367"/>
      <c r="M87" s="367"/>
      <c r="N87" s="771"/>
      <c r="O87" s="869"/>
      <c r="P87" s="883"/>
      <c r="Q87" s="883"/>
      <c r="R87" s="883"/>
      <c r="S87" s="883"/>
      <c r="T87" s="883"/>
      <c r="U87" s="883"/>
      <c r="V87" s="883"/>
      <c r="W87" s="883"/>
      <c r="X87" s="883"/>
      <c r="Y87" s="883"/>
      <c r="Z87" s="883"/>
      <c r="AA87" s="883"/>
      <c r="AB87" s="883"/>
      <c r="AC87" s="460"/>
      <c r="AD87" s="883"/>
      <c r="AE87" s="883"/>
      <c r="AF87" s="883"/>
      <c r="AG87" s="883"/>
      <c r="AH87" s="883"/>
      <c r="AI87" s="460"/>
      <c r="AJ87" s="460"/>
      <c r="AK87" s="460"/>
      <c r="AL87" s="460"/>
      <c r="AM87" s="460"/>
      <c r="AN87" s="460"/>
      <c r="AO87" s="460"/>
      <c r="AP87" s="460"/>
      <c r="AQ87" s="460"/>
      <c r="AR87" s="883"/>
      <c r="AS87" s="883"/>
      <c r="AT87" s="883"/>
      <c r="AU87" s="883"/>
      <c r="AV87" s="883"/>
      <c r="AW87" s="884">
        <f t="shared" si="5"/>
        <v>0</v>
      </c>
      <c r="BA87" s="1209"/>
      <c r="BB87" s="1209"/>
      <c r="BC87" s="1209"/>
      <c r="BD87" s="1209"/>
      <c r="BE87" s="1209"/>
      <c r="BF87" s="1209"/>
      <c r="BG87" s="1209"/>
      <c r="BH87" s="1145"/>
      <c r="BI87" s="1145"/>
      <c r="BJ87" s="1145"/>
      <c r="BK87" s="1145"/>
      <c r="BL87" s="1145"/>
      <c r="BM87" s="1145"/>
      <c r="BN87" s="1145"/>
      <c r="BO87" s="1145"/>
      <c r="BP87" s="1145"/>
      <c r="BQ87" s="1145"/>
      <c r="BR87" s="1145"/>
      <c r="BS87" s="1145"/>
      <c r="BT87" s="1145"/>
      <c r="BU87" s="1145"/>
      <c r="BV87" s="1145"/>
      <c r="BW87" s="1145"/>
      <c r="BX87" s="1145"/>
      <c r="BY87" s="1145"/>
    </row>
    <row r="88" spans="1:77" ht="38.25">
      <c r="A88" s="1377"/>
      <c r="B88" s="1375"/>
      <c r="C88" s="1375"/>
      <c r="D88" s="1375"/>
      <c r="E88" s="1375"/>
      <c r="F88" s="1377"/>
      <c r="G88" s="1367"/>
      <c r="H88" s="693">
        <v>1</v>
      </c>
      <c r="I88" s="757" t="s">
        <v>837</v>
      </c>
      <c r="J88" s="687" t="s">
        <v>810</v>
      </c>
      <c r="K88" s="367"/>
      <c r="L88" s="367">
        <v>1</v>
      </c>
      <c r="M88" s="687"/>
      <c r="N88" s="771"/>
      <c r="O88" s="885" t="s">
        <v>1646</v>
      </c>
      <c r="P88" s="460"/>
      <c r="Q88" s="460"/>
      <c r="R88" s="460"/>
      <c r="S88" s="460"/>
      <c r="T88" s="460"/>
      <c r="U88" s="460"/>
      <c r="V88" s="460"/>
      <c r="W88" s="460"/>
      <c r="X88" s="460"/>
      <c r="Y88" s="460"/>
      <c r="Z88" s="460"/>
      <c r="AA88" s="460"/>
      <c r="AB88" s="460"/>
      <c r="AC88" s="460"/>
      <c r="AD88" s="460"/>
      <c r="AE88" s="460"/>
      <c r="AF88" s="460"/>
      <c r="AG88" s="460">
        <f>+AG5*10%</f>
        <v>161050000</v>
      </c>
      <c r="AH88" s="460"/>
      <c r="AI88" s="460"/>
      <c r="AJ88" s="460"/>
      <c r="AK88" s="460"/>
      <c r="AL88" s="460"/>
      <c r="AM88" s="460"/>
      <c r="AN88" s="460"/>
      <c r="AO88" s="460"/>
      <c r="AP88" s="460"/>
      <c r="AQ88" s="460"/>
      <c r="AR88" s="460"/>
      <c r="AS88" s="460"/>
      <c r="AT88" s="460"/>
      <c r="AU88" s="460"/>
      <c r="AV88" s="460"/>
      <c r="AW88" s="775">
        <f t="shared" si="5"/>
        <v>161050000</v>
      </c>
      <c r="BA88" s="1209"/>
      <c r="BB88" s="1209"/>
      <c r="BC88" s="1209"/>
      <c r="BD88" s="1209"/>
      <c r="BE88" s="1209"/>
      <c r="BF88" s="1209"/>
      <c r="BG88" s="1209"/>
      <c r="BH88" s="1145"/>
      <c r="BI88" s="1145"/>
      <c r="BJ88" s="1145"/>
      <c r="BK88" s="1145"/>
      <c r="BL88" s="1145"/>
      <c r="BM88" s="1145"/>
      <c r="BN88" s="1145"/>
      <c r="BO88" s="1145"/>
      <c r="BP88" s="1145"/>
      <c r="BQ88" s="1145"/>
      <c r="BR88" s="1145"/>
      <c r="BS88" s="1145"/>
      <c r="BT88" s="1145"/>
      <c r="BU88" s="1145"/>
      <c r="BV88" s="1145"/>
      <c r="BW88" s="1145"/>
      <c r="BX88" s="1145"/>
      <c r="BY88" s="1145"/>
    </row>
    <row r="89" spans="1:77" ht="51">
      <c r="A89" s="1377"/>
      <c r="B89" s="1375"/>
      <c r="C89" s="1375"/>
      <c r="D89" s="1375"/>
      <c r="E89" s="1375"/>
      <c r="F89" s="1377"/>
      <c r="G89" s="1367"/>
      <c r="H89" s="693">
        <v>1</v>
      </c>
      <c r="I89" s="757" t="s">
        <v>838</v>
      </c>
      <c r="J89" s="687" t="s">
        <v>839</v>
      </c>
      <c r="K89" s="367"/>
      <c r="L89" s="687"/>
      <c r="M89" s="367">
        <v>1</v>
      </c>
      <c r="N89" s="771"/>
      <c r="O89" s="1214" t="s">
        <v>1645</v>
      </c>
      <c r="P89" s="1212"/>
      <c r="Q89" s="1212"/>
      <c r="R89" s="1212"/>
      <c r="S89" s="1212"/>
      <c r="T89" s="1212"/>
      <c r="U89" s="1212"/>
      <c r="V89" s="1212"/>
      <c r="W89" s="1212"/>
      <c r="X89" s="1212"/>
      <c r="Y89" s="1212"/>
      <c r="Z89" s="1212"/>
      <c r="AA89" s="1212"/>
      <c r="AB89" s="1212"/>
      <c r="AC89" s="460"/>
      <c r="AD89" s="1212"/>
      <c r="AE89" s="1212"/>
      <c r="AF89" s="1212"/>
      <c r="AG89" s="1212">
        <v>100000000</v>
      </c>
      <c r="AH89" s="1212"/>
      <c r="AI89" s="460"/>
      <c r="AJ89" s="460"/>
      <c r="AK89" s="460"/>
      <c r="AL89" s="460"/>
      <c r="AM89" s="460"/>
      <c r="AN89" s="460"/>
      <c r="AO89" s="460"/>
      <c r="AP89" s="460"/>
      <c r="AQ89" s="460"/>
      <c r="AR89" s="1212"/>
      <c r="AS89" s="1212"/>
      <c r="AT89" s="1212"/>
      <c r="AU89" s="1212"/>
      <c r="AV89" s="1212"/>
      <c r="AW89" s="1215">
        <f t="shared" si="5"/>
        <v>100000000</v>
      </c>
      <c r="BA89" s="1209"/>
      <c r="BB89" s="1209"/>
      <c r="BC89" s="1209"/>
      <c r="BD89" s="1209"/>
      <c r="BE89" s="1209"/>
      <c r="BF89" s="1209"/>
      <c r="BG89" s="1209"/>
      <c r="BH89" s="1145"/>
      <c r="BI89" s="1145"/>
      <c r="BJ89" s="1145"/>
      <c r="BK89" s="1145"/>
      <c r="BL89" s="1145"/>
      <c r="BM89" s="1145"/>
      <c r="BN89" s="1145"/>
      <c r="BO89" s="1145"/>
      <c r="BP89" s="1145"/>
      <c r="BQ89" s="1145"/>
      <c r="BR89" s="1145"/>
      <c r="BS89" s="1145"/>
      <c r="BT89" s="1145"/>
      <c r="BU89" s="1145"/>
      <c r="BV89" s="1145"/>
      <c r="BW89" s="1145"/>
      <c r="BX89" s="1145"/>
      <c r="BY89" s="1145"/>
    </row>
    <row r="90" spans="1:77" ht="51" customHeight="1" hidden="1">
      <c r="A90" s="1377"/>
      <c r="B90" s="1375"/>
      <c r="C90" s="1375"/>
      <c r="D90" s="1375"/>
      <c r="E90" s="1375"/>
      <c r="F90" s="1377"/>
      <c r="G90" s="1367"/>
      <c r="H90" s="693">
        <v>1</v>
      </c>
      <c r="I90" s="757" t="s">
        <v>840</v>
      </c>
      <c r="J90" s="687" t="s">
        <v>841</v>
      </c>
      <c r="K90" s="367"/>
      <c r="L90" s="368">
        <v>1</v>
      </c>
      <c r="M90" s="687"/>
      <c r="N90" s="771"/>
      <c r="O90" s="1214"/>
      <c r="P90" s="1212"/>
      <c r="Q90" s="1212"/>
      <c r="R90" s="1212"/>
      <c r="S90" s="1212"/>
      <c r="T90" s="1212"/>
      <c r="U90" s="1212"/>
      <c r="V90" s="1212"/>
      <c r="W90" s="1212"/>
      <c r="X90" s="1212"/>
      <c r="Y90" s="1212"/>
      <c r="Z90" s="1212"/>
      <c r="AA90" s="1212"/>
      <c r="AB90" s="1212"/>
      <c r="AC90" s="460"/>
      <c r="AD90" s="1212"/>
      <c r="AE90" s="1212"/>
      <c r="AF90" s="1212"/>
      <c r="AG90" s="1212"/>
      <c r="AH90" s="1212"/>
      <c r="AI90" s="460"/>
      <c r="AJ90" s="460"/>
      <c r="AK90" s="460"/>
      <c r="AL90" s="460"/>
      <c r="AM90" s="460"/>
      <c r="AN90" s="460"/>
      <c r="AO90" s="460"/>
      <c r="AP90" s="460"/>
      <c r="AQ90" s="460"/>
      <c r="AR90" s="1212"/>
      <c r="AS90" s="1212"/>
      <c r="AT90" s="1212"/>
      <c r="AU90" s="1212"/>
      <c r="AV90" s="1212"/>
      <c r="AW90" s="1215">
        <f t="shared" si="5"/>
        <v>0</v>
      </c>
      <c r="BA90" s="1209"/>
      <c r="BB90" s="1209"/>
      <c r="BC90" s="1209"/>
      <c r="BD90" s="1209"/>
      <c r="BE90" s="1209"/>
      <c r="BF90" s="1209"/>
      <c r="BG90" s="1209"/>
      <c r="BH90" s="1145"/>
      <c r="BI90" s="1145"/>
      <c r="BJ90" s="1145"/>
      <c r="BK90" s="1145"/>
      <c r="BL90" s="1145"/>
      <c r="BM90" s="1145"/>
      <c r="BN90" s="1145"/>
      <c r="BO90" s="1145"/>
      <c r="BP90" s="1145"/>
      <c r="BQ90" s="1145"/>
      <c r="BR90" s="1145"/>
      <c r="BS90" s="1145"/>
      <c r="BT90" s="1145"/>
      <c r="BU90" s="1145"/>
      <c r="BV90" s="1145"/>
      <c r="BW90" s="1145"/>
      <c r="BX90" s="1145"/>
      <c r="BY90" s="1145"/>
    </row>
    <row r="91" spans="1:77" ht="63.75">
      <c r="A91" s="1377"/>
      <c r="B91" s="1375"/>
      <c r="C91" s="1375"/>
      <c r="D91" s="1375"/>
      <c r="E91" s="1375"/>
      <c r="F91" s="1377"/>
      <c r="G91" s="1367"/>
      <c r="H91" s="693">
        <v>1</v>
      </c>
      <c r="I91" s="757" t="s">
        <v>842</v>
      </c>
      <c r="J91" s="687" t="s">
        <v>843</v>
      </c>
      <c r="K91" s="687"/>
      <c r="L91" s="687">
        <v>2</v>
      </c>
      <c r="M91" s="687">
        <v>2</v>
      </c>
      <c r="N91" s="391"/>
      <c r="O91" s="1214"/>
      <c r="P91" s="1212"/>
      <c r="Q91" s="1212"/>
      <c r="R91" s="1212"/>
      <c r="S91" s="1212"/>
      <c r="T91" s="1212"/>
      <c r="U91" s="1212"/>
      <c r="V91" s="1212"/>
      <c r="W91" s="1212"/>
      <c r="X91" s="1212"/>
      <c r="Y91" s="1212"/>
      <c r="Z91" s="1212"/>
      <c r="AA91" s="1212"/>
      <c r="AB91" s="1212"/>
      <c r="AC91" s="460"/>
      <c r="AD91" s="1212"/>
      <c r="AE91" s="1212"/>
      <c r="AF91" s="1212"/>
      <c r="AG91" s="1212"/>
      <c r="AH91" s="1212"/>
      <c r="AI91" s="460"/>
      <c r="AJ91" s="460"/>
      <c r="AK91" s="460"/>
      <c r="AL91" s="460"/>
      <c r="AM91" s="460"/>
      <c r="AN91" s="460"/>
      <c r="AO91" s="460"/>
      <c r="AP91" s="460"/>
      <c r="AQ91" s="460"/>
      <c r="AR91" s="1212"/>
      <c r="AS91" s="1212"/>
      <c r="AT91" s="1212"/>
      <c r="AU91" s="1212"/>
      <c r="AV91" s="1212"/>
      <c r="AW91" s="1215">
        <f t="shared" si="5"/>
        <v>0</v>
      </c>
      <c r="BA91" s="1210"/>
      <c r="BB91" s="1210"/>
      <c r="BC91" s="1210"/>
      <c r="BD91" s="1210"/>
      <c r="BE91" s="1210"/>
      <c r="BF91" s="1210"/>
      <c r="BG91" s="1210"/>
      <c r="BH91" s="1145"/>
      <c r="BI91" s="1145"/>
      <c r="BJ91" s="1145"/>
      <c r="BK91" s="1145"/>
      <c r="BL91" s="1145"/>
      <c r="BM91" s="1145"/>
      <c r="BN91" s="1145"/>
      <c r="BO91" s="1145"/>
      <c r="BP91" s="1145"/>
      <c r="BQ91" s="1145"/>
      <c r="BR91" s="1145"/>
      <c r="BS91" s="1145"/>
      <c r="BT91" s="1145"/>
      <c r="BU91" s="1145"/>
      <c r="BV91" s="1145"/>
      <c r="BW91" s="1145"/>
      <c r="BX91" s="1145"/>
      <c r="BY91" s="1145"/>
    </row>
    <row r="92" spans="1:77" ht="79.5" thickBot="1">
      <c r="A92" s="1377"/>
      <c r="B92" s="1375"/>
      <c r="C92" s="1375"/>
      <c r="D92" s="1375"/>
      <c r="E92" s="1375"/>
      <c r="F92" s="1378"/>
      <c r="G92" s="1367"/>
      <c r="H92" s="693">
        <v>2</v>
      </c>
      <c r="I92" s="787" t="s">
        <v>844</v>
      </c>
      <c r="J92" s="788" t="s">
        <v>845</v>
      </c>
      <c r="K92" s="792"/>
      <c r="L92" s="793">
        <v>0.2</v>
      </c>
      <c r="M92" s="793">
        <v>0.3</v>
      </c>
      <c r="N92" s="794">
        <v>0.1</v>
      </c>
      <c r="O92" s="1324"/>
      <c r="P92" s="1252"/>
      <c r="Q92" s="1252"/>
      <c r="R92" s="1252"/>
      <c r="S92" s="1252"/>
      <c r="T92" s="1252"/>
      <c r="U92" s="1252"/>
      <c r="V92" s="1252"/>
      <c r="W92" s="1252"/>
      <c r="X92" s="1252"/>
      <c r="Y92" s="1252"/>
      <c r="Z92" s="1252"/>
      <c r="AA92" s="1252"/>
      <c r="AB92" s="1252"/>
      <c r="AC92" s="835"/>
      <c r="AD92" s="1252"/>
      <c r="AE92" s="1252"/>
      <c r="AF92" s="1252"/>
      <c r="AG92" s="1252"/>
      <c r="AH92" s="1252"/>
      <c r="AI92" s="835"/>
      <c r="AJ92" s="835"/>
      <c r="AK92" s="835"/>
      <c r="AL92" s="835"/>
      <c r="AM92" s="835"/>
      <c r="AN92" s="835"/>
      <c r="AO92" s="835"/>
      <c r="AP92" s="835"/>
      <c r="AQ92" s="835"/>
      <c r="AR92" s="1252"/>
      <c r="AS92" s="1252"/>
      <c r="AT92" s="1252"/>
      <c r="AU92" s="1252"/>
      <c r="AV92" s="1252"/>
      <c r="AW92" s="1247">
        <f t="shared" si="5"/>
        <v>0</v>
      </c>
      <c r="BA92" s="1155" t="s">
        <v>1821</v>
      </c>
      <c r="BB92" s="1155"/>
      <c r="BC92" s="1155" t="s">
        <v>1850</v>
      </c>
      <c r="BD92" s="1155" t="s">
        <v>1850</v>
      </c>
      <c r="BE92" s="1155" t="s">
        <v>1850</v>
      </c>
      <c r="BF92" s="1155" t="s">
        <v>1851</v>
      </c>
      <c r="BG92" s="1155">
        <v>4</v>
      </c>
      <c r="BH92" s="1145"/>
      <c r="BI92" s="1145"/>
      <c r="BJ92" s="1145"/>
      <c r="BK92" s="1145"/>
      <c r="BL92" s="1145"/>
      <c r="BM92" s="1145"/>
      <c r="BN92" s="1145"/>
      <c r="BO92" s="1145"/>
      <c r="BP92" s="1145"/>
      <c r="BQ92" s="1145"/>
      <c r="BR92" s="1145"/>
      <c r="BS92" s="1145"/>
      <c r="BT92" s="1145"/>
      <c r="BU92" s="1145"/>
      <c r="BV92" s="1145"/>
      <c r="BW92" s="1145"/>
      <c r="BX92" s="1145"/>
      <c r="BY92" s="1145"/>
    </row>
    <row r="93" spans="1:77" ht="27" thickBot="1">
      <c r="A93" s="1377"/>
      <c r="B93" s="1375"/>
      <c r="C93" s="719"/>
      <c r="D93" s="719"/>
      <c r="E93" s="719"/>
      <c r="F93" s="721"/>
      <c r="G93" s="718"/>
      <c r="H93" s="776"/>
      <c r="I93" s="1317" t="s">
        <v>1703</v>
      </c>
      <c r="J93" s="1318"/>
      <c r="K93" s="1318"/>
      <c r="L93" s="1318"/>
      <c r="M93" s="1318"/>
      <c r="N93" s="1318"/>
      <c r="O93" s="1319"/>
      <c r="P93" s="836">
        <f aca="true" t="shared" si="8" ref="P93:AW93">SUM(P81:P92)</f>
        <v>0</v>
      </c>
      <c r="Q93" s="837">
        <f t="shared" si="8"/>
        <v>0</v>
      </c>
      <c r="R93" s="837">
        <f t="shared" si="8"/>
        <v>0</v>
      </c>
      <c r="S93" s="837">
        <f t="shared" si="8"/>
        <v>0</v>
      </c>
      <c r="T93" s="837">
        <f t="shared" si="8"/>
        <v>0</v>
      </c>
      <c r="U93" s="837">
        <f t="shared" si="8"/>
        <v>0</v>
      </c>
      <c r="V93" s="837">
        <f t="shared" si="8"/>
        <v>0</v>
      </c>
      <c r="W93" s="837">
        <f t="shared" si="8"/>
        <v>0</v>
      </c>
      <c r="X93" s="837">
        <f t="shared" si="8"/>
        <v>0</v>
      </c>
      <c r="Y93" s="837">
        <f t="shared" si="8"/>
        <v>0</v>
      </c>
      <c r="Z93" s="837">
        <f t="shared" si="8"/>
        <v>0</v>
      </c>
      <c r="AA93" s="837">
        <f t="shared" si="8"/>
        <v>78389407</v>
      </c>
      <c r="AB93" s="837">
        <f t="shared" si="8"/>
        <v>0</v>
      </c>
      <c r="AC93" s="837">
        <f t="shared" si="8"/>
        <v>0</v>
      </c>
      <c r="AD93" s="837">
        <f t="shared" si="8"/>
        <v>0</v>
      </c>
      <c r="AE93" s="837">
        <f t="shared" si="8"/>
        <v>0</v>
      </c>
      <c r="AF93" s="837">
        <f t="shared" si="8"/>
        <v>0</v>
      </c>
      <c r="AG93" s="837">
        <f t="shared" si="8"/>
        <v>1610500000</v>
      </c>
      <c r="AH93" s="837">
        <f t="shared" si="8"/>
        <v>0</v>
      </c>
      <c r="AI93" s="837">
        <f t="shared" si="8"/>
        <v>0</v>
      </c>
      <c r="AJ93" s="837">
        <f t="shared" si="8"/>
        <v>0</v>
      </c>
      <c r="AK93" s="837">
        <f t="shared" si="8"/>
        <v>0</v>
      </c>
      <c r="AL93" s="837">
        <f t="shared" si="8"/>
        <v>0</v>
      </c>
      <c r="AM93" s="837">
        <f t="shared" si="8"/>
        <v>0</v>
      </c>
      <c r="AN93" s="837">
        <f t="shared" si="8"/>
        <v>0</v>
      </c>
      <c r="AO93" s="837">
        <f t="shared" si="8"/>
        <v>0</v>
      </c>
      <c r="AP93" s="837">
        <f t="shared" si="8"/>
        <v>0</v>
      </c>
      <c r="AQ93" s="837">
        <f t="shared" si="8"/>
        <v>0</v>
      </c>
      <c r="AR93" s="837">
        <f t="shared" si="8"/>
        <v>0</v>
      </c>
      <c r="AS93" s="837">
        <f t="shared" si="8"/>
        <v>0</v>
      </c>
      <c r="AT93" s="837">
        <f t="shared" si="8"/>
        <v>0</v>
      </c>
      <c r="AU93" s="837">
        <f t="shared" si="8"/>
        <v>0</v>
      </c>
      <c r="AV93" s="837">
        <f t="shared" si="8"/>
        <v>0</v>
      </c>
      <c r="AW93" s="837">
        <f t="shared" si="8"/>
        <v>1688889407</v>
      </c>
      <c r="BA93" s="1155"/>
      <c r="BB93" s="1155"/>
      <c r="BC93" s="1155"/>
      <c r="BD93" s="1155"/>
      <c r="BE93" s="1155"/>
      <c r="BF93" s="1155"/>
      <c r="BG93" s="1155"/>
      <c r="BH93" s="1145"/>
      <c r="BI93" s="1145"/>
      <c r="BJ93" s="1145"/>
      <c r="BK93" s="1145"/>
      <c r="BL93" s="1145"/>
      <c r="BM93" s="1145"/>
      <c r="BN93" s="1145"/>
      <c r="BO93" s="1145"/>
      <c r="BP93" s="1145"/>
      <c r="BQ93" s="1145"/>
      <c r="BR93" s="1145"/>
      <c r="BS93" s="1145"/>
      <c r="BT93" s="1145"/>
      <c r="BU93" s="1145"/>
      <c r="BV93" s="1145"/>
      <c r="BW93" s="1145"/>
      <c r="BX93" s="1145"/>
      <c r="BY93" s="1145"/>
    </row>
    <row r="94" spans="1:77" ht="76.5">
      <c r="A94" s="1377"/>
      <c r="B94" s="1375"/>
      <c r="C94" s="1379" t="s">
        <v>846</v>
      </c>
      <c r="D94" s="1402" t="s">
        <v>847</v>
      </c>
      <c r="E94" s="1402" t="s">
        <v>848</v>
      </c>
      <c r="F94" s="1376">
        <v>1</v>
      </c>
      <c r="G94" s="1401" t="s">
        <v>850</v>
      </c>
      <c r="H94" s="693" t="s">
        <v>851</v>
      </c>
      <c r="I94" s="795" t="s">
        <v>852</v>
      </c>
      <c r="J94" s="796" t="s">
        <v>853</v>
      </c>
      <c r="K94" s="797">
        <v>1</v>
      </c>
      <c r="L94" s="797">
        <v>1</v>
      </c>
      <c r="M94" s="797">
        <v>1</v>
      </c>
      <c r="N94" s="798">
        <v>1</v>
      </c>
      <c r="O94" s="1353" t="s">
        <v>1647</v>
      </c>
      <c r="P94" s="1306"/>
      <c r="Q94" s="1306"/>
      <c r="R94" s="1306"/>
      <c r="S94" s="1306"/>
      <c r="T94" s="1306"/>
      <c r="U94" s="1306"/>
      <c r="V94" s="1306"/>
      <c r="W94" s="1306"/>
      <c r="X94" s="1306"/>
      <c r="Y94" s="1306"/>
      <c r="Z94" s="1306"/>
      <c r="AA94" s="1306"/>
      <c r="AB94" s="1306">
        <v>20000000</v>
      </c>
      <c r="AC94" s="826"/>
      <c r="AD94" s="1306"/>
      <c r="AE94" s="1306"/>
      <c r="AF94" s="1306"/>
      <c r="AG94" s="1306"/>
      <c r="AH94" s="1306"/>
      <c r="AI94" s="826"/>
      <c r="AJ94" s="826"/>
      <c r="AK94" s="826"/>
      <c r="AL94" s="826"/>
      <c r="AM94" s="826"/>
      <c r="AN94" s="826"/>
      <c r="AO94" s="826"/>
      <c r="AP94" s="826"/>
      <c r="AQ94" s="826"/>
      <c r="AR94" s="1306"/>
      <c r="AS94" s="1306"/>
      <c r="AT94" s="1306"/>
      <c r="AU94" s="1306"/>
      <c r="AV94" s="1306"/>
      <c r="AW94" s="1308">
        <f t="shared" si="5"/>
        <v>20000000</v>
      </c>
      <c r="BA94" s="1208" t="s">
        <v>1822</v>
      </c>
      <c r="BB94" s="1208" t="s">
        <v>1850</v>
      </c>
      <c r="BC94" s="1208" t="s">
        <v>1850</v>
      </c>
      <c r="BD94" s="1208" t="s">
        <v>1850</v>
      </c>
      <c r="BE94" s="1208" t="s">
        <v>1850</v>
      </c>
      <c r="BF94" s="1208" t="s">
        <v>1851</v>
      </c>
      <c r="BG94" s="1208">
        <v>4</v>
      </c>
      <c r="BH94" s="1145"/>
      <c r="BI94" s="1145"/>
      <c r="BJ94" s="1145"/>
      <c r="BK94" s="1145"/>
      <c r="BL94" s="1145"/>
      <c r="BM94" s="1145"/>
      <c r="BN94" s="1145"/>
      <c r="BO94" s="1145"/>
      <c r="BP94" s="1145"/>
      <c r="BQ94" s="1145"/>
      <c r="BR94" s="1145"/>
      <c r="BS94" s="1145"/>
      <c r="BT94" s="1145"/>
      <c r="BU94" s="1145"/>
      <c r="BV94" s="1145"/>
      <c r="BW94" s="1145"/>
      <c r="BX94" s="1145"/>
      <c r="BY94" s="1145"/>
    </row>
    <row r="95" spans="1:77" ht="89.25">
      <c r="A95" s="1377"/>
      <c r="B95" s="1375"/>
      <c r="C95" s="1379"/>
      <c r="D95" s="1402"/>
      <c r="E95" s="1402"/>
      <c r="F95" s="1377"/>
      <c r="G95" s="1401"/>
      <c r="H95" s="693" t="s">
        <v>855</v>
      </c>
      <c r="I95" s="760" t="s">
        <v>856</v>
      </c>
      <c r="J95" s="370" t="s">
        <v>857</v>
      </c>
      <c r="K95" s="367">
        <v>1</v>
      </c>
      <c r="L95" s="367">
        <v>1</v>
      </c>
      <c r="M95" s="367">
        <v>1</v>
      </c>
      <c r="N95" s="771">
        <v>1</v>
      </c>
      <c r="O95" s="1351"/>
      <c r="P95" s="1307"/>
      <c r="Q95" s="1307"/>
      <c r="R95" s="1307"/>
      <c r="S95" s="1307"/>
      <c r="T95" s="1307"/>
      <c r="U95" s="1307"/>
      <c r="V95" s="1307"/>
      <c r="W95" s="1307"/>
      <c r="X95" s="1307"/>
      <c r="Y95" s="1307"/>
      <c r="Z95" s="1307"/>
      <c r="AA95" s="1307"/>
      <c r="AB95" s="1307"/>
      <c r="AC95" s="460"/>
      <c r="AD95" s="1307"/>
      <c r="AE95" s="1307"/>
      <c r="AF95" s="1307"/>
      <c r="AG95" s="1307"/>
      <c r="AH95" s="1307"/>
      <c r="AI95" s="460"/>
      <c r="AJ95" s="460"/>
      <c r="AK95" s="460"/>
      <c r="AL95" s="460"/>
      <c r="AM95" s="460"/>
      <c r="AN95" s="460"/>
      <c r="AO95" s="460"/>
      <c r="AP95" s="460"/>
      <c r="AQ95" s="460"/>
      <c r="AR95" s="1307"/>
      <c r="AS95" s="1307"/>
      <c r="AT95" s="1307"/>
      <c r="AU95" s="1307"/>
      <c r="AV95" s="1307"/>
      <c r="AW95" s="1309">
        <f t="shared" si="5"/>
        <v>0</v>
      </c>
      <c r="BA95" s="1209"/>
      <c r="BB95" s="1209"/>
      <c r="BC95" s="1209"/>
      <c r="BD95" s="1209"/>
      <c r="BE95" s="1209"/>
      <c r="BF95" s="1209"/>
      <c r="BG95" s="1209"/>
      <c r="BH95" s="1145"/>
      <c r="BI95" s="1145"/>
      <c r="BJ95" s="1145"/>
      <c r="BK95" s="1145"/>
      <c r="BL95" s="1145"/>
      <c r="BM95" s="1145"/>
      <c r="BN95" s="1145"/>
      <c r="BO95" s="1145"/>
      <c r="BP95" s="1145"/>
      <c r="BQ95" s="1145"/>
      <c r="BR95" s="1145"/>
      <c r="BS95" s="1145"/>
      <c r="BT95" s="1145"/>
      <c r="BU95" s="1145"/>
      <c r="BV95" s="1145"/>
      <c r="BW95" s="1145"/>
      <c r="BX95" s="1145"/>
      <c r="BY95" s="1145"/>
    </row>
    <row r="96" spans="1:77" ht="88.5" customHeight="1">
      <c r="A96" s="1377"/>
      <c r="B96" s="1375"/>
      <c r="C96" s="1379"/>
      <c r="D96" s="1402"/>
      <c r="E96" s="1402"/>
      <c r="F96" s="1377"/>
      <c r="G96" s="1401"/>
      <c r="H96" s="693" t="s">
        <v>855</v>
      </c>
      <c r="I96" s="760" t="s">
        <v>858</v>
      </c>
      <c r="J96" s="370" t="s">
        <v>859</v>
      </c>
      <c r="K96" s="367"/>
      <c r="L96" s="367">
        <v>1</v>
      </c>
      <c r="M96" s="367">
        <v>1</v>
      </c>
      <c r="N96" s="771"/>
      <c r="O96" s="1350" t="s">
        <v>1649</v>
      </c>
      <c r="P96" s="1315"/>
      <c r="Q96" s="1315"/>
      <c r="R96" s="1315"/>
      <c r="S96" s="1315"/>
      <c r="T96" s="1315"/>
      <c r="U96" s="1315"/>
      <c r="V96" s="1315"/>
      <c r="W96" s="1315"/>
      <c r="X96" s="1315"/>
      <c r="Y96" s="1315"/>
      <c r="Z96" s="1315"/>
      <c r="AA96" s="1315"/>
      <c r="AB96" s="1315">
        <v>20000000</v>
      </c>
      <c r="AC96" s="460"/>
      <c r="AD96" s="1315"/>
      <c r="AE96" s="1315"/>
      <c r="AF96" s="1315"/>
      <c r="AG96" s="1315"/>
      <c r="AH96" s="1315"/>
      <c r="AI96" s="460"/>
      <c r="AJ96" s="460"/>
      <c r="AK96" s="460"/>
      <c r="AL96" s="460"/>
      <c r="AM96" s="460"/>
      <c r="AN96" s="460"/>
      <c r="AO96" s="460"/>
      <c r="AP96" s="460"/>
      <c r="AQ96" s="460"/>
      <c r="AR96" s="1315"/>
      <c r="AS96" s="1315"/>
      <c r="AT96" s="1315"/>
      <c r="AU96" s="1315"/>
      <c r="AV96" s="1315"/>
      <c r="AW96" s="1316">
        <f t="shared" si="5"/>
        <v>20000000</v>
      </c>
      <c r="BA96" s="1209"/>
      <c r="BB96" s="1209"/>
      <c r="BC96" s="1209"/>
      <c r="BD96" s="1209"/>
      <c r="BE96" s="1209"/>
      <c r="BF96" s="1209"/>
      <c r="BG96" s="1209"/>
      <c r="BH96" s="1145"/>
      <c r="BI96" s="1145"/>
      <c r="BJ96" s="1145"/>
      <c r="BK96" s="1145"/>
      <c r="BL96" s="1145"/>
      <c r="BM96" s="1145"/>
      <c r="BN96" s="1145"/>
      <c r="BO96" s="1145"/>
      <c r="BP96" s="1145"/>
      <c r="BQ96" s="1145"/>
      <c r="BR96" s="1145"/>
      <c r="BS96" s="1145"/>
      <c r="BT96" s="1145"/>
      <c r="BU96" s="1145"/>
      <c r="BV96" s="1145"/>
      <c r="BW96" s="1145"/>
      <c r="BX96" s="1145"/>
      <c r="BY96" s="1145"/>
    </row>
    <row r="97" spans="1:77" ht="89.25">
      <c r="A97" s="1377"/>
      <c r="B97" s="1375"/>
      <c r="C97" s="1379"/>
      <c r="D97" s="1402"/>
      <c r="E97" s="1402"/>
      <c r="F97" s="1377"/>
      <c r="G97" s="1401"/>
      <c r="H97" s="693" t="s">
        <v>860</v>
      </c>
      <c r="I97" s="760" t="s">
        <v>861</v>
      </c>
      <c r="J97" s="370" t="s">
        <v>862</v>
      </c>
      <c r="K97" s="367">
        <v>1</v>
      </c>
      <c r="L97" s="367">
        <v>1</v>
      </c>
      <c r="M97" s="367">
        <v>1</v>
      </c>
      <c r="N97" s="771">
        <v>1</v>
      </c>
      <c r="O97" s="1350"/>
      <c r="P97" s="1315"/>
      <c r="Q97" s="1315"/>
      <c r="R97" s="1315"/>
      <c r="S97" s="1315"/>
      <c r="T97" s="1315"/>
      <c r="U97" s="1315"/>
      <c r="V97" s="1315"/>
      <c r="W97" s="1315"/>
      <c r="X97" s="1315"/>
      <c r="Y97" s="1315"/>
      <c r="Z97" s="1315"/>
      <c r="AA97" s="1315"/>
      <c r="AB97" s="1315"/>
      <c r="AC97" s="460"/>
      <c r="AD97" s="1315"/>
      <c r="AE97" s="1315"/>
      <c r="AF97" s="1315"/>
      <c r="AG97" s="1315"/>
      <c r="AH97" s="1315"/>
      <c r="AI97" s="460"/>
      <c r="AJ97" s="460"/>
      <c r="AK97" s="460"/>
      <c r="AL97" s="460"/>
      <c r="AM97" s="460"/>
      <c r="AN97" s="460"/>
      <c r="AO97" s="460"/>
      <c r="AP97" s="460"/>
      <c r="AQ97" s="460"/>
      <c r="AR97" s="1315"/>
      <c r="AS97" s="1315"/>
      <c r="AT97" s="1315"/>
      <c r="AU97" s="1315"/>
      <c r="AV97" s="1315"/>
      <c r="AW97" s="1316">
        <f t="shared" si="5"/>
        <v>0</v>
      </c>
      <c r="BA97" s="1209"/>
      <c r="BB97" s="1209"/>
      <c r="BC97" s="1209"/>
      <c r="BD97" s="1209"/>
      <c r="BE97" s="1209"/>
      <c r="BF97" s="1209"/>
      <c r="BG97" s="1209"/>
      <c r="BH97" s="1145"/>
      <c r="BI97" s="1145"/>
      <c r="BJ97" s="1145"/>
      <c r="BK97" s="1145"/>
      <c r="BL97" s="1145"/>
      <c r="BM97" s="1145"/>
      <c r="BN97" s="1145"/>
      <c r="BO97" s="1145"/>
      <c r="BP97" s="1145"/>
      <c r="BQ97" s="1145"/>
      <c r="BR97" s="1145"/>
      <c r="BS97" s="1145"/>
      <c r="BT97" s="1145"/>
      <c r="BU97" s="1145"/>
      <c r="BV97" s="1145"/>
      <c r="BW97" s="1145"/>
      <c r="BX97" s="1145"/>
      <c r="BY97" s="1145"/>
    </row>
    <row r="98" spans="1:77" ht="56.25">
      <c r="A98" s="1377"/>
      <c r="B98" s="1375"/>
      <c r="C98" s="1379"/>
      <c r="D98" s="1402"/>
      <c r="E98" s="1402"/>
      <c r="F98" s="1377"/>
      <c r="G98" s="1401"/>
      <c r="H98" s="693" t="s">
        <v>851</v>
      </c>
      <c r="I98" s="751" t="s">
        <v>863</v>
      </c>
      <c r="J98" s="370" t="s">
        <v>864</v>
      </c>
      <c r="K98" s="367">
        <v>1</v>
      </c>
      <c r="L98" s="367">
        <v>1</v>
      </c>
      <c r="M98" s="367">
        <v>1</v>
      </c>
      <c r="N98" s="771">
        <v>1</v>
      </c>
      <c r="O98" s="1350"/>
      <c r="P98" s="1315"/>
      <c r="Q98" s="1315"/>
      <c r="R98" s="1315"/>
      <c r="S98" s="1315"/>
      <c r="T98" s="1315"/>
      <c r="U98" s="1315"/>
      <c r="V98" s="1315"/>
      <c r="W98" s="1315"/>
      <c r="X98" s="1315"/>
      <c r="Y98" s="1315"/>
      <c r="Z98" s="1315"/>
      <c r="AA98" s="1315"/>
      <c r="AB98" s="1315"/>
      <c r="AC98" s="460"/>
      <c r="AD98" s="1315"/>
      <c r="AE98" s="1315"/>
      <c r="AF98" s="1315"/>
      <c r="AG98" s="1315"/>
      <c r="AH98" s="1315"/>
      <c r="AI98" s="460"/>
      <c r="AJ98" s="460"/>
      <c r="AK98" s="460"/>
      <c r="AL98" s="460"/>
      <c r="AM98" s="460"/>
      <c r="AN98" s="460"/>
      <c r="AO98" s="460"/>
      <c r="AP98" s="460"/>
      <c r="AQ98" s="460"/>
      <c r="AR98" s="1315"/>
      <c r="AS98" s="1315"/>
      <c r="AT98" s="1315"/>
      <c r="AU98" s="1315"/>
      <c r="AV98" s="1315"/>
      <c r="AW98" s="1316">
        <f t="shared" si="5"/>
        <v>0</v>
      </c>
      <c r="BA98" s="1209"/>
      <c r="BB98" s="1209"/>
      <c r="BC98" s="1209"/>
      <c r="BD98" s="1209"/>
      <c r="BE98" s="1209"/>
      <c r="BF98" s="1209"/>
      <c r="BG98" s="1209"/>
      <c r="BH98" s="1145"/>
      <c r="BI98" s="1145"/>
      <c r="BJ98" s="1145"/>
      <c r="BK98" s="1145"/>
      <c r="BL98" s="1145"/>
      <c r="BM98" s="1145"/>
      <c r="BN98" s="1145"/>
      <c r="BO98" s="1145"/>
      <c r="BP98" s="1145"/>
      <c r="BQ98" s="1145"/>
      <c r="BR98" s="1145"/>
      <c r="BS98" s="1145"/>
      <c r="BT98" s="1145"/>
      <c r="BU98" s="1145"/>
      <c r="BV98" s="1145"/>
      <c r="BW98" s="1145"/>
      <c r="BX98" s="1145"/>
      <c r="BY98" s="1145"/>
    </row>
    <row r="99" spans="1:77" ht="63.75">
      <c r="A99" s="1377"/>
      <c r="B99" s="1375"/>
      <c r="C99" s="1379"/>
      <c r="D99" s="1402"/>
      <c r="E99" s="1402"/>
      <c r="F99" s="1377"/>
      <c r="G99" s="1401"/>
      <c r="H99" s="693" t="s">
        <v>855</v>
      </c>
      <c r="I99" s="751" t="s">
        <v>865</v>
      </c>
      <c r="J99" s="371" t="s">
        <v>866</v>
      </c>
      <c r="K99" s="367"/>
      <c r="L99" s="367">
        <v>1</v>
      </c>
      <c r="M99" s="367"/>
      <c r="N99" s="771"/>
      <c r="O99" s="1350"/>
      <c r="P99" s="1315"/>
      <c r="Q99" s="1315"/>
      <c r="R99" s="1315"/>
      <c r="S99" s="1315"/>
      <c r="T99" s="1315"/>
      <c r="U99" s="1315"/>
      <c r="V99" s="1315"/>
      <c r="W99" s="1315"/>
      <c r="X99" s="1315"/>
      <c r="Y99" s="1315"/>
      <c r="Z99" s="1315"/>
      <c r="AA99" s="1315"/>
      <c r="AB99" s="1315"/>
      <c r="AC99" s="460"/>
      <c r="AD99" s="1315"/>
      <c r="AE99" s="1315"/>
      <c r="AF99" s="1315"/>
      <c r="AG99" s="1315"/>
      <c r="AH99" s="1315"/>
      <c r="AI99" s="460"/>
      <c r="AJ99" s="460"/>
      <c r="AK99" s="460"/>
      <c r="AL99" s="460"/>
      <c r="AM99" s="460"/>
      <c r="AN99" s="460"/>
      <c r="AO99" s="460"/>
      <c r="AP99" s="460"/>
      <c r="AQ99" s="460"/>
      <c r="AR99" s="1315"/>
      <c r="AS99" s="1315"/>
      <c r="AT99" s="1315"/>
      <c r="AU99" s="1315"/>
      <c r="AV99" s="1315"/>
      <c r="AW99" s="1316">
        <f t="shared" si="5"/>
        <v>0</v>
      </c>
      <c r="BA99" s="1209"/>
      <c r="BB99" s="1209"/>
      <c r="BC99" s="1209"/>
      <c r="BD99" s="1209"/>
      <c r="BE99" s="1209"/>
      <c r="BF99" s="1209"/>
      <c r="BG99" s="1209"/>
      <c r="BH99" s="1145"/>
      <c r="BI99" s="1145"/>
      <c r="BJ99" s="1145"/>
      <c r="BK99" s="1145"/>
      <c r="BL99" s="1145"/>
      <c r="BM99" s="1145"/>
      <c r="BN99" s="1145"/>
      <c r="BO99" s="1145"/>
      <c r="BP99" s="1145"/>
      <c r="BQ99" s="1145"/>
      <c r="BR99" s="1145"/>
      <c r="BS99" s="1145"/>
      <c r="BT99" s="1145"/>
      <c r="BU99" s="1145"/>
      <c r="BV99" s="1145"/>
      <c r="BW99" s="1145"/>
      <c r="BX99" s="1145"/>
      <c r="BY99" s="1145"/>
    </row>
    <row r="100" spans="1:77" ht="102">
      <c r="A100" s="1377"/>
      <c r="B100" s="1375"/>
      <c r="C100" s="1379"/>
      <c r="D100" s="1402"/>
      <c r="E100" s="1402"/>
      <c r="F100" s="1377"/>
      <c r="G100" s="1401"/>
      <c r="H100" s="693" t="s">
        <v>860</v>
      </c>
      <c r="I100" s="751" t="s">
        <v>867</v>
      </c>
      <c r="J100" s="371" t="s">
        <v>868</v>
      </c>
      <c r="K100" s="367">
        <v>1</v>
      </c>
      <c r="L100" s="367"/>
      <c r="M100" s="367"/>
      <c r="N100" s="771"/>
      <c r="O100" s="838" t="s">
        <v>1650</v>
      </c>
      <c r="P100" s="460"/>
      <c r="Q100" s="460"/>
      <c r="R100" s="460"/>
      <c r="S100" s="460"/>
      <c r="T100" s="460"/>
      <c r="U100" s="460"/>
      <c r="V100" s="460"/>
      <c r="W100" s="460"/>
      <c r="X100" s="460"/>
      <c r="Y100" s="460"/>
      <c r="Z100" s="460"/>
      <c r="AA100" s="460"/>
      <c r="AB100" s="460">
        <v>20000000</v>
      </c>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775">
        <f t="shared" si="5"/>
        <v>20000000</v>
      </c>
      <c r="BA100" s="1209"/>
      <c r="BB100" s="1209"/>
      <c r="BC100" s="1209"/>
      <c r="BD100" s="1209"/>
      <c r="BE100" s="1209"/>
      <c r="BF100" s="1209"/>
      <c r="BG100" s="1209"/>
      <c r="BH100" s="1145"/>
      <c r="BI100" s="1145"/>
      <c r="BJ100" s="1145"/>
      <c r="BK100" s="1145"/>
      <c r="BL100" s="1145"/>
      <c r="BM100" s="1145"/>
      <c r="BN100" s="1145"/>
      <c r="BO100" s="1145"/>
      <c r="BP100" s="1145"/>
      <c r="BQ100" s="1145"/>
      <c r="BR100" s="1145"/>
      <c r="BS100" s="1145"/>
      <c r="BT100" s="1145"/>
      <c r="BU100" s="1145"/>
      <c r="BV100" s="1145"/>
      <c r="BW100" s="1145"/>
      <c r="BX100" s="1145"/>
      <c r="BY100" s="1145"/>
    </row>
    <row r="101" spans="1:77" ht="33.75" customHeight="1" hidden="1">
      <c r="A101" s="1377"/>
      <c r="B101" s="1375"/>
      <c r="C101" s="1379"/>
      <c r="D101" s="1402"/>
      <c r="E101" s="1402"/>
      <c r="F101" s="1377"/>
      <c r="G101" s="1401"/>
      <c r="H101" s="693" t="s">
        <v>869</v>
      </c>
      <c r="I101" s="751" t="s">
        <v>870</v>
      </c>
      <c r="J101" s="371" t="s">
        <v>871</v>
      </c>
      <c r="K101" s="367">
        <v>1</v>
      </c>
      <c r="L101" s="367">
        <v>1</v>
      </c>
      <c r="M101" s="367"/>
      <c r="N101" s="771"/>
      <c r="O101" s="839"/>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775"/>
      <c r="BA101" s="1209"/>
      <c r="BB101" s="1209"/>
      <c r="BC101" s="1209"/>
      <c r="BD101" s="1209"/>
      <c r="BE101" s="1209"/>
      <c r="BF101" s="1209"/>
      <c r="BG101" s="1209"/>
      <c r="BH101" s="1145"/>
      <c r="BI101" s="1145"/>
      <c r="BJ101" s="1145"/>
      <c r="BK101" s="1145"/>
      <c r="BL101" s="1145"/>
      <c r="BM101" s="1145"/>
      <c r="BN101" s="1145"/>
      <c r="BO101" s="1145"/>
      <c r="BP101" s="1145"/>
      <c r="BQ101" s="1145"/>
      <c r="BR101" s="1145"/>
      <c r="BS101" s="1145"/>
      <c r="BT101" s="1145"/>
      <c r="BU101" s="1145"/>
      <c r="BV101" s="1145"/>
      <c r="BW101" s="1145"/>
      <c r="BX101" s="1145"/>
      <c r="BY101" s="1145"/>
    </row>
    <row r="102" spans="1:77" ht="22.5">
      <c r="A102" s="1377"/>
      <c r="B102" s="1375"/>
      <c r="C102" s="1379"/>
      <c r="D102" s="1402"/>
      <c r="E102" s="1402"/>
      <c r="F102" s="1377"/>
      <c r="G102" s="1401"/>
      <c r="H102" s="905"/>
      <c r="I102" s="751"/>
      <c r="J102" s="371"/>
      <c r="K102" s="367"/>
      <c r="L102" s="367"/>
      <c r="M102" s="367"/>
      <c r="N102" s="771"/>
      <c r="O102" s="903" t="s">
        <v>1752</v>
      </c>
      <c r="P102" s="460"/>
      <c r="Q102" s="460"/>
      <c r="R102" s="460"/>
      <c r="S102" s="460"/>
      <c r="T102" s="460"/>
      <c r="U102" s="460"/>
      <c r="V102" s="460"/>
      <c r="W102" s="460"/>
      <c r="X102" s="460"/>
      <c r="Y102" s="460"/>
      <c r="Z102" s="460"/>
      <c r="AA102" s="460"/>
      <c r="AB102" s="460">
        <v>20000000</v>
      </c>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775">
        <f t="shared" si="5"/>
        <v>20000000</v>
      </c>
      <c r="AY102" s="904"/>
      <c r="AZ102" s="904"/>
      <c r="BA102" s="1209"/>
      <c r="BB102" s="1209"/>
      <c r="BC102" s="1209"/>
      <c r="BD102" s="1209"/>
      <c r="BE102" s="1209"/>
      <c r="BF102" s="1209"/>
      <c r="BG102" s="1209"/>
      <c r="BH102" s="1145"/>
      <c r="BI102" s="1145"/>
      <c r="BJ102" s="1145"/>
      <c r="BK102" s="1145"/>
      <c r="BL102" s="1145"/>
      <c r="BM102" s="1145"/>
      <c r="BN102" s="1145"/>
      <c r="BO102" s="1145"/>
      <c r="BP102" s="1145"/>
      <c r="BQ102" s="1145"/>
      <c r="BR102" s="1145"/>
      <c r="BS102" s="1145"/>
      <c r="BT102" s="1145"/>
      <c r="BU102" s="1145"/>
      <c r="BV102" s="1145"/>
      <c r="BW102" s="1145"/>
      <c r="BX102" s="1145"/>
      <c r="BY102" s="1145"/>
    </row>
    <row r="103" spans="1:77" ht="102">
      <c r="A103" s="1377"/>
      <c r="B103" s="1375"/>
      <c r="C103" s="1379"/>
      <c r="D103" s="1402"/>
      <c r="E103" s="1402"/>
      <c r="F103" s="1377"/>
      <c r="G103" s="1401"/>
      <c r="H103" s="693" t="s">
        <v>860</v>
      </c>
      <c r="I103" s="751" t="s">
        <v>872</v>
      </c>
      <c r="J103" s="370" t="s">
        <v>873</v>
      </c>
      <c r="K103" s="367">
        <v>1</v>
      </c>
      <c r="L103" s="367"/>
      <c r="M103" s="367"/>
      <c r="N103" s="771"/>
      <c r="O103" s="838" t="s">
        <v>1655</v>
      </c>
      <c r="P103" s="460"/>
      <c r="Q103" s="460"/>
      <c r="R103" s="460"/>
      <c r="S103" s="460"/>
      <c r="T103" s="460"/>
      <c r="U103" s="460"/>
      <c r="V103" s="460"/>
      <c r="W103" s="460"/>
      <c r="X103" s="460"/>
      <c r="Y103" s="460"/>
      <c r="Z103" s="460"/>
      <c r="AA103" s="460"/>
      <c r="AB103" s="460">
        <v>20000000</v>
      </c>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775">
        <f t="shared" si="5"/>
        <v>20000000</v>
      </c>
      <c r="BA103" s="1209"/>
      <c r="BB103" s="1209"/>
      <c r="BC103" s="1209"/>
      <c r="BD103" s="1209"/>
      <c r="BE103" s="1209"/>
      <c r="BF103" s="1209"/>
      <c r="BG103" s="1209"/>
      <c r="BH103" s="1145"/>
      <c r="BI103" s="1145"/>
      <c r="BJ103" s="1145"/>
      <c r="BK103" s="1145"/>
      <c r="BL103" s="1145"/>
      <c r="BM103" s="1145"/>
      <c r="BN103" s="1145"/>
      <c r="BO103" s="1145"/>
      <c r="BP103" s="1145"/>
      <c r="BQ103" s="1145"/>
      <c r="BR103" s="1145"/>
      <c r="BS103" s="1145"/>
      <c r="BT103" s="1145"/>
      <c r="BU103" s="1145"/>
      <c r="BV103" s="1145"/>
      <c r="BW103" s="1145"/>
      <c r="BX103" s="1145"/>
      <c r="BY103" s="1145"/>
    </row>
    <row r="104" spans="1:77" ht="51">
      <c r="A104" s="1377"/>
      <c r="B104" s="1375"/>
      <c r="C104" s="1379"/>
      <c r="D104" s="1402"/>
      <c r="E104" s="1402"/>
      <c r="F104" s="1377"/>
      <c r="G104" s="1401"/>
      <c r="H104" s="693" t="s">
        <v>860</v>
      </c>
      <c r="I104" s="751" t="s">
        <v>874</v>
      </c>
      <c r="J104" s="370" t="s">
        <v>875</v>
      </c>
      <c r="K104" s="367">
        <v>1</v>
      </c>
      <c r="L104" s="367"/>
      <c r="M104" s="367"/>
      <c r="N104" s="771"/>
      <c r="O104" s="1350" t="s">
        <v>1648</v>
      </c>
      <c r="P104" s="1315"/>
      <c r="Q104" s="1315"/>
      <c r="R104" s="1315"/>
      <c r="S104" s="1315"/>
      <c r="T104" s="1315"/>
      <c r="U104" s="1315"/>
      <c r="V104" s="1315"/>
      <c r="W104" s="1315"/>
      <c r="X104" s="1315"/>
      <c r="Y104" s="1315"/>
      <c r="Z104" s="1315"/>
      <c r="AA104" s="1315"/>
      <c r="AB104" s="1315"/>
      <c r="AC104" s="460"/>
      <c r="AD104" s="1315"/>
      <c r="AE104" s="1315"/>
      <c r="AF104" s="1315"/>
      <c r="AG104" s="1315"/>
      <c r="AH104" s="1315"/>
      <c r="AI104" s="460"/>
      <c r="AJ104" s="460"/>
      <c r="AK104" s="460"/>
      <c r="AL104" s="460"/>
      <c r="AM104" s="460"/>
      <c r="AN104" s="460"/>
      <c r="AO104" s="460"/>
      <c r="AP104" s="460"/>
      <c r="AQ104" s="460"/>
      <c r="AR104" s="1315"/>
      <c r="AS104" s="1315"/>
      <c r="AT104" s="1315"/>
      <c r="AU104" s="1315"/>
      <c r="AV104" s="1315"/>
      <c r="AW104" s="1316">
        <f t="shared" si="5"/>
        <v>0</v>
      </c>
      <c r="BA104" s="1209"/>
      <c r="BB104" s="1209"/>
      <c r="BC104" s="1209"/>
      <c r="BD104" s="1209"/>
      <c r="BE104" s="1209"/>
      <c r="BF104" s="1209"/>
      <c r="BG104" s="1209"/>
      <c r="BH104" s="1145"/>
      <c r="BI104" s="1145"/>
      <c r="BJ104" s="1145"/>
      <c r="BK104" s="1145"/>
      <c r="BL104" s="1145"/>
      <c r="BM104" s="1145"/>
      <c r="BN104" s="1145"/>
      <c r="BO104" s="1145"/>
      <c r="BP104" s="1145"/>
      <c r="BQ104" s="1145"/>
      <c r="BR104" s="1145"/>
      <c r="BS104" s="1145"/>
      <c r="BT104" s="1145"/>
      <c r="BU104" s="1145"/>
      <c r="BV104" s="1145"/>
      <c r="BW104" s="1145"/>
      <c r="BX104" s="1145"/>
      <c r="BY104" s="1145"/>
    </row>
    <row r="105" spans="1:77" ht="76.5">
      <c r="A105" s="1377"/>
      <c r="B105" s="1375"/>
      <c r="C105" s="1379"/>
      <c r="D105" s="1402"/>
      <c r="E105" s="1402"/>
      <c r="F105" s="1377"/>
      <c r="G105" s="1401"/>
      <c r="H105" s="693" t="s">
        <v>876</v>
      </c>
      <c r="I105" s="751" t="s">
        <v>877</v>
      </c>
      <c r="J105" s="372" t="s">
        <v>878</v>
      </c>
      <c r="K105" s="367"/>
      <c r="L105" s="367">
        <v>1</v>
      </c>
      <c r="M105" s="367"/>
      <c r="N105" s="771"/>
      <c r="O105" s="1350"/>
      <c r="P105" s="1315"/>
      <c r="Q105" s="1315"/>
      <c r="R105" s="1315"/>
      <c r="S105" s="1315"/>
      <c r="T105" s="1315"/>
      <c r="U105" s="1315"/>
      <c r="V105" s="1315"/>
      <c r="W105" s="1315"/>
      <c r="X105" s="1315"/>
      <c r="Y105" s="1315"/>
      <c r="Z105" s="1315"/>
      <c r="AA105" s="1315"/>
      <c r="AB105" s="1315"/>
      <c r="AC105" s="460"/>
      <c r="AD105" s="1315"/>
      <c r="AE105" s="1315"/>
      <c r="AF105" s="1315"/>
      <c r="AG105" s="1315"/>
      <c r="AH105" s="1315"/>
      <c r="AI105" s="460"/>
      <c r="AJ105" s="460"/>
      <c r="AK105" s="460"/>
      <c r="AL105" s="460"/>
      <c r="AM105" s="460"/>
      <c r="AN105" s="460"/>
      <c r="AO105" s="460"/>
      <c r="AP105" s="460"/>
      <c r="AQ105" s="460"/>
      <c r="AR105" s="1315"/>
      <c r="AS105" s="1315"/>
      <c r="AT105" s="1315"/>
      <c r="AU105" s="1315"/>
      <c r="AV105" s="1315"/>
      <c r="AW105" s="1316">
        <f t="shared" si="5"/>
        <v>0</v>
      </c>
      <c r="BA105" s="1209"/>
      <c r="BB105" s="1209"/>
      <c r="BC105" s="1209"/>
      <c r="BD105" s="1209"/>
      <c r="BE105" s="1209"/>
      <c r="BF105" s="1209"/>
      <c r="BG105" s="1209"/>
      <c r="BH105" s="1145"/>
      <c r="BI105" s="1145"/>
      <c r="BJ105" s="1145"/>
      <c r="BK105" s="1145"/>
      <c r="BL105" s="1145"/>
      <c r="BM105" s="1145"/>
      <c r="BN105" s="1145"/>
      <c r="BO105" s="1145"/>
      <c r="BP105" s="1145"/>
      <c r="BQ105" s="1145"/>
      <c r="BR105" s="1145"/>
      <c r="BS105" s="1145"/>
      <c r="BT105" s="1145"/>
      <c r="BU105" s="1145"/>
      <c r="BV105" s="1145"/>
      <c r="BW105" s="1145"/>
      <c r="BX105" s="1145"/>
      <c r="BY105" s="1145"/>
    </row>
    <row r="106" spans="1:77" ht="89.25">
      <c r="A106" s="1377"/>
      <c r="B106" s="1375"/>
      <c r="C106" s="1379"/>
      <c r="D106" s="1402"/>
      <c r="E106" s="1402"/>
      <c r="F106" s="1377"/>
      <c r="G106" s="1401"/>
      <c r="H106" s="693" t="s">
        <v>879</v>
      </c>
      <c r="I106" s="751" t="s">
        <v>880</v>
      </c>
      <c r="J106" s="370" t="s">
        <v>881</v>
      </c>
      <c r="K106" s="367">
        <v>1</v>
      </c>
      <c r="L106" s="367">
        <v>1</v>
      </c>
      <c r="M106" s="367">
        <v>1</v>
      </c>
      <c r="N106" s="771">
        <v>1</v>
      </c>
      <c r="O106" s="1351" t="s">
        <v>1651</v>
      </c>
      <c r="P106" s="1307"/>
      <c r="Q106" s="1307"/>
      <c r="R106" s="1307"/>
      <c r="S106" s="1307"/>
      <c r="T106" s="1307"/>
      <c r="U106" s="1307"/>
      <c r="V106" s="1307"/>
      <c r="W106" s="1307"/>
      <c r="X106" s="1307"/>
      <c r="Y106" s="1307"/>
      <c r="Z106" s="1307"/>
      <c r="AA106" s="1307"/>
      <c r="AB106" s="1307">
        <v>20000000</v>
      </c>
      <c r="AC106" s="460"/>
      <c r="AD106" s="1307"/>
      <c r="AE106" s="1307"/>
      <c r="AF106" s="1307"/>
      <c r="AG106" s="1307"/>
      <c r="AH106" s="1307"/>
      <c r="AI106" s="460"/>
      <c r="AJ106" s="460"/>
      <c r="AK106" s="460"/>
      <c r="AL106" s="460"/>
      <c r="AM106" s="460"/>
      <c r="AN106" s="460"/>
      <c r="AO106" s="460"/>
      <c r="AP106" s="460"/>
      <c r="AQ106" s="460"/>
      <c r="AR106" s="1307"/>
      <c r="AS106" s="1307"/>
      <c r="AT106" s="1307"/>
      <c r="AU106" s="1307"/>
      <c r="AV106" s="1307"/>
      <c r="AW106" s="1309">
        <f t="shared" si="5"/>
        <v>20000000</v>
      </c>
      <c r="BA106" s="1209"/>
      <c r="BB106" s="1209"/>
      <c r="BC106" s="1209"/>
      <c r="BD106" s="1209"/>
      <c r="BE106" s="1209"/>
      <c r="BF106" s="1209"/>
      <c r="BG106" s="1209"/>
      <c r="BH106" s="1145"/>
      <c r="BI106" s="1145"/>
      <c r="BJ106" s="1145"/>
      <c r="BK106" s="1145"/>
      <c r="BL106" s="1145"/>
      <c r="BM106" s="1145"/>
      <c r="BN106" s="1145"/>
      <c r="BO106" s="1145"/>
      <c r="BP106" s="1145"/>
      <c r="BQ106" s="1145"/>
      <c r="BR106" s="1145"/>
      <c r="BS106" s="1145"/>
      <c r="BT106" s="1145"/>
      <c r="BU106" s="1145"/>
      <c r="BV106" s="1145"/>
      <c r="BW106" s="1145"/>
      <c r="BX106" s="1145"/>
      <c r="BY106" s="1145"/>
    </row>
    <row r="107" spans="1:77" ht="56.25" customHeight="1" hidden="1">
      <c r="A107" s="1377"/>
      <c r="B107" s="1375"/>
      <c r="C107" s="1379"/>
      <c r="D107" s="1402"/>
      <c r="E107" s="1402"/>
      <c r="F107" s="1377"/>
      <c r="G107" s="1401"/>
      <c r="H107" s="693" t="s">
        <v>860</v>
      </c>
      <c r="I107" s="751" t="s">
        <v>882</v>
      </c>
      <c r="J107" s="370" t="s">
        <v>883</v>
      </c>
      <c r="K107" s="367"/>
      <c r="L107" s="367">
        <v>1</v>
      </c>
      <c r="M107" s="367"/>
      <c r="N107" s="771"/>
      <c r="O107" s="1351"/>
      <c r="P107" s="1307"/>
      <c r="Q107" s="1307"/>
      <c r="R107" s="1307"/>
      <c r="S107" s="1307"/>
      <c r="T107" s="1307"/>
      <c r="U107" s="1307"/>
      <c r="V107" s="1307"/>
      <c r="W107" s="1307"/>
      <c r="X107" s="1307"/>
      <c r="Y107" s="1307"/>
      <c r="Z107" s="1307"/>
      <c r="AA107" s="1307"/>
      <c r="AB107" s="1307"/>
      <c r="AC107" s="460"/>
      <c r="AD107" s="1307"/>
      <c r="AE107" s="1307"/>
      <c r="AF107" s="1307"/>
      <c r="AG107" s="1307"/>
      <c r="AH107" s="1307"/>
      <c r="AI107" s="460"/>
      <c r="AJ107" s="460"/>
      <c r="AK107" s="460"/>
      <c r="AL107" s="460"/>
      <c r="AM107" s="460"/>
      <c r="AN107" s="460"/>
      <c r="AO107" s="460"/>
      <c r="AP107" s="460"/>
      <c r="AQ107" s="460"/>
      <c r="AR107" s="1307"/>
      <c r="AS107" s="1307"/>
      <c r="AT107" s="1307"/>
      <c r="AU107" s="1307"/>
      <c r="AV107" s="1307"/>
      <c r="AW107" s="1309">
        <f t="shared" si="5"/>
        <v>0</v>
      </c>
      <c r="BA107" s="1209"/>
      <c r="BB107" s="1209"/>
      <c r="BC107" s="1209"/>
      <c r="BD107" s="1209"/>
      <c r="BE107" s="1209"/>
      <c r="BF107" s="1209"/>
      <c r="BG107" s="1209"/>
      <c r="BH107" s="1145"/>
      <c r="BI107" s="1145"/>
      <c r="BJ107" s="1145"/>
      <c r="BK107" s="1145"/>
      <c r="BL107" s="1145"/>
      <c r="BM107" s="1145"/>
      <c r="BN107" s="1145"/>
      <c r="BO107" s="1145"/>
      <c r="BP107" s="1145"/>
      <c r="BQ107" s="1145"/>
      <c r="BR107" s="1145"/>
      <c r="BS107" s="1145"/>
      <c r="BT107" s="1145"/>
      <c r="BU107" s="1145"/>
      <c r="BV107" s="1145"/>
      <c r="BW107" s="1145"/>
      <c r="BX107" s="1145"/>
      <c r="BY107" s="1145"/>
    </row>
    <row r="108" spans="1:77" ht="79.5" thickBot="1">
      <c r="A108" s="1377"/>
      <c r="B108" s="1375"/>
      <c r="C108" s="1379"/>
      <c r="D108" s="1402"/>
      <c r="E108" s="1402"/>
      <c r="F108" s="1378"/>
      <c r="G108" s="1401"/>
      <c r="H108" s="693" t="s">
        <v>876</v>
      </c>
      <c r="I108" s="762" t="s">
        <v>884</v>
      </c>
      <c r="J108" s="791" t="s">
        <v>885</v>
      </c>
      <c r="K108" s="728"/>
      <c r="L108" s="728">
        <v>1</v>
      </c>
      <c r="M108" s="728">
        <v>1</v>
      </c>
      <c r="N108" s="773"/>
      <c r="O108" s="1352"/>
      <c r="P108" s="1310"/>
      <c r="Q108" s="1310"/>
      <c r="R108" s="1310"/>
      <c r="S108" s="1310"/>
      <c r="T108" s="1310"/>
      <c r="U108" s="1310"/>
      <c r="V108" s="1310"/>
      <c r="W108" s="1310"/>
      <c r="X108" s="1310"/>
      <c r="Y108" s="1310"/>
      <c r="Z108" s="1310"/>
      <c r="AA108" s="1310"/>
      <c r="AB108" s="1310"/>
      <c r="AC108" s="835"/>
      <c r="AD108" s="1310"/>
      <c r="AE108" s="1310"/>
      <c r="AF108" s="1310"/>
      <c r="AG108" s="1310"/>
      <c r="AH108" s="1310"/>
      <c r="AI108" s="835"/>
      <c r="AJ108" s="835"/>
      <c r="AK108" s="835"/>
      <c r="AL108" s="835"/>
      <c r="AM108" s="835"/>
      <c r="AN108" s="835"/>
      <c r="AO108" s="835"/>
      <c r="AP108" s="835"/>
      <c r="AQ108" s="835"/>
      <c r="AR108" s="1310"/>
      <c r="AS108" s="1310"/>
      <c r="AT108" s="1310"/>
      <c r="AU108" s="1310"/>
      <c r="AV108" s="1310"/>
      <c r="AW108" s="1311">
        <f t="shared" si="5"/>
        <v>0</v>
      </c>
      <c r="BA108" s="1210"/>
      <c r="BB108" s="1210"/>
      <c r="BC108" s="1210"/>
      <c r="BD108" s="1210"/>
      <c r="BE108" s="1210"/>
      <c r="BF108" s="1210"/>
      <c r="BG108" s="1210"/>
      <c r="BH108" s="1145"/>
      <c r="BI108" s="1145"/>
      <c r="BJ108" s="1145"/>
      <c r="BK108" s="1145"/>
      <c r="BL108" s="1145"/>
      <c r="BM108" s="1145"/>
      <c r="BN108" s="1145"/>
      <c r="BO108" s="1145"/>
      <c r="BP108" s="1145"/>
      <c r="BQ108" s="1145"/>
      <c r="BR108" s="1145"/>
      <c r="BS108" s="1145"/>
      <c r="BT108" s="1145"/>
      <c r="BU108" s="1145"/>
      <c r="BV108" s="1145"/>
      <c r="BW108" s="1145"/>
      <c r="BX108" s="1145"/>
      <c r="BY108" s="1145"/>
    </row>
    <row r="109" spans="1:77" ht="27" thickBot="1">
      <c r="A109" s="1377"/>
      <c r="B109" s="1375"/>
      <c r="C109" s="1379"/>
      <c r="D109" s="741"/>
      <c r="E109" s="741"/>
      <c r="F109" s="722"/>
      <c r="G109" s="740"/>
      <c r="H109" s="776"/>
      <c r="I109" s="1312" t="s">
        <v>1705</v>
      </c>
      <c r="J109" s="1313"/>
      <c r="K109" s="1313"/>
      <c r="L109" s="1313"/>
      <c r="M109" s="1313"/>
      <c r="N109" s="1313"/>
      <c r="O109" s="1314"/>
      <c r="P109" s="840">
        <f>SUM(P94:P108)</f>
        <v>0</v>
      </c>
      <c r="Q109" s="840">
        <f aca="true" t="shared" si="9" ref="Q109:AW109">SUM(Q94:Q108)</f>
        <v>0</v>
      </c>
      <c r="R109" s="840">
        <f t="shared" si="9"/>
        <v>0</v>
      </c>
      <c r="S109" s="840">
        <f t="shared" si="9"/>
        <v>0</v>
      </c>
      <c r="T109" s="840">
        <f t="shared" si="9"/>
        <v>0</v>
      </c>
      <c r="U109" s="840">
        <f t="shared" si="9"/>
        <v>0</v>
      </c>
      <c r="V109" s="840">
        <f t="shared" si="9"/>
        <v>0</v>
      </c>
      <c r="W109" s="840">
        <f t="shared" si="9"/>
        <v>0</v>
      </c>
      <c r="X109" s="840">
        <f t="shared" si="9"/>
        <v>0</v>
      </c>
      <c r="Y109" s="840">
        <f t="shared" si="9"/>
        <v>0</v>
      </c>
      <c r="Z109" s="840">
        <f t="shared" si="9"/>
        <v>0</v>
      </c>
      <c r="AA109" s="840">
        <f t="shared" si="9"/>
        <v>0</v>
      </c>
      <c r="AB109" s="840">
        <f t="shared" si="9"/>
        <v>120000000</v>
      </c>
      <c r="AC109" s="840">
        <f t="shared" si="9"/>
        <v>0</v>
      </c>
      <c r="AD109" s="840">
        <f t="shared" si="9"/>
        <v>0</v>
      </c>
      <c r="AE109" s="840">
        <f t="shared" si="9"/>
        <v>0</v>
      </c>
      <c r="AF109" s="840">
        <f>SUM(AF94:AF108)</f>
        <v>0</v>
      </c>
      <c r="AG109" s="840">
        <f t="shared" si="9"/>
        <v>0</v>
      </c>
      <c r="AH109" s="840">
        <f t="shared" si="9"/>
        <v>0</v>
      </c>
      <c r="AI109" s="840">
        <f t="shared" si="9"/>
        <v>0</v>
      </c>
      <c r="AJ109" s="840">
        <f t="shared" si="9"/>
        <v>0</v>
      </c>
      <c r="AK109" s="840">
        <f t="shared" si="9"/>
        <v>0</v>
      </c>
      <c r="AL109" s="840">
        <f t="shared" si="9"/>
        <v>0</v>
      </c>
      <c r="AM109" s="840">
        <f t="shared" si="9"/>
        <v>0</v>
      </c>
      <c r="AN109" s="840">
        <f t="shared" si="9"/>
        <v>0</v>
      </c>
      <c r="AO109" s="840">
        <f t="shared" si="9"/>
        <v>0</v>
      </c>
      <c r="AP109" s="840">
        <f t="shared" si="9"/>
        <v>0</v>
      </c>
      <c r="AQ109" s="840">
        <f t="shared" si="9"/>
        <v>0</v>
      </c>
      <c r="AR109" s="840">
        <f t="shared" si="9"/>
        <v>0</v>
      </c>
      <c r="AS109" s="840">
        <f t="shared" si="9"/>
        <v>0</v>
      </c>
      <c r="AT109" s="840">
        <f t="shared" si="9"/>
        <v>0</v>
      </c>
      <c r="AU109" s="840">
        <f t="shared" si="9"/>
        <v>0</v>
      </c>
      <c r="AV109" s="840">
        <f t="shared" si="9"/>
        <v>0</v>
      </c>
      <c r="AW109" s="840">
        <f t="shared" si="9"/>
        <v>120000000</v>
      </c>
      <c r="BA109" s="1155"/>
      <c r="BB109" s="1155"/>
      <c r="BC109" s="1155"/>
      <c r="BD109" s="1155"/>
      <c r="BE109" s="1155"/>
      <c r="BF109" s="1155"/>
      <c r="BG109" s="1155"/>
      <c r="BH109" s="1145"/>
      <c r="BI109" s="1145"/>
      <c r="BJ109" s="1145"/>
      <c r="BK109" s="1145"/>
      <c r="BL109" s="1145"/>
      <c r="BM109" s="1145"/>
      <c r="BN109" s="1145"/>
      <c r="BO109" s="1145"/>
      <c r="BP109" s="1145"/>
      <c r="BQ109" s="1145"/>
      <c r="BR109" s="1145"/>
      <c r="BS109" s="1145"/>
      <c r="BT109" s="1145"/>
      <c r="BU109" s="1145"/>
      <c r="BV109" s="1145"/>
      <c r="BW109" s="1145"/>
      <c r="BX109" s="1145"/>
      <c r="BY109" s="1145"/>
    </row>
    <row r="110" spans="1:77" ht="89.25">
      <c r="A110" s="1377"/>
      <c r="B110" s="1375"/>
      <c r="C110" s="1379"/>
      <c r="D110" s="1374" t="s">
        <v>886</v>
      </c>
      <c r="E110" s="1374" t="s">
        <v>887</v>
      </c>
      <c r="F110" s="1400">
        <v>1</v>
      </c>
      <c r="G110" s="1374" t="s">
        <v>889</v>
      </c>
      <c r="H110" s="688">
        <v>1</v>
      </c>
      <c r="I110" s="765" t="s">
        <v>890</v>
      </c>
      <c r="J110" s="739" t="s">
        <v>891</v>
      </c>
      <c r="K110" s="739">
        <v>1</v>
      </c>
      <c r="L110" s="739">
        <v>1</v>
      </c>
      <c r="M110" s="739">
        <v>1</v>
      </c>
      <c r="N110" s="786">
        <v>1</v>
      </c>
      <c r="O110" s="1353" t="s">
        <v>1677</v>
      </c>
      <c r="P110" s="1306"/>
      <c r="Q110" s="1306"/>
      <c r="R110" s="1306"/>
      <c r="S110" s="1306"/>
      <c r="T110" s="1306"/>
      <c r="U110" s="1306"/>
      <c r="V110" s="1306"/>
      <c r="W110" s="1306"/>
      <c r="X110" s="1306"/>
      <c r="Y110" s="1306"/>
      <c r="Z110" s="1306"/>
      <c r="AA110" s="1306"/>
      <c r="AB110" s="1306"/>
      <c r="AC110" s="826"/>
      <c r="AD110" s="1306"/>
      <c r="AE110" s="1306"/>
      <c r="AF110" s="1306">
        <v>3220955000</v>
      </c>
      <c r="AG110" s="1306"/>
      <c r="AH110" s="1306"/>
      <c r="AI110" s="826"/>
      <c r="AJ110" s="826"/>
      <c r="AK110" s="826"/>
      <c r="AL110" s="826"/>
      <c r="AM110" s="826"/>
      <c r="AN110" s="826"/>
      <c r="AO110" s="826"/>
      <c r="AP110" s="826"/>
      <c r="AQ110" s="826"/>
      <c r="AR110" s="1306"/>
      <c r="AS110" s="1306"/>
      <c r="AT110" s="1306"/>
      <c r="AU110" s="1306"/>
      <c r="AV110" s="1306"/>
      <c r="AW110" s="1308">
        <f t="shared" si="5"/>
        <v>3220955000</v>
      </c>
      <c r="BA110" s="1208" t="s">
        <v>1823</v>
      </c>
      <c r="BB110" s="1208" t="s">
        <v>1850</v>
      </c>
      <c r="BC110" s="1208" t="s">
        <v>1850</v>
      </c>
      <c r="BD110" s="1208" t="s">
        <v>1850</v>
      </c>
      <c r="BE110" s="1208" t="s">
        <v>1850</v>
      </c>
      <c r="BF110" s="1208" t="s">
        <v>1851</v>
      </c>
      <c r="BG110" s="1208">
        <v>4</v>
      </c>
      <c r="BH110" s="1145"/>
      <c r="BI110" s="1145"/>
      <c r="BJ110" s="1145"/>
      <c r="BK110" s="1145"/>
      <c r="BL110" s="1145"/>
      <c r="BM110" s="1145"/>
      <c r="BN110" s="1145"/>
      <c r="BO110" s="1145"/>
      <c r="BP110" s="1145"/>
      <c r="BQ110" s="1145"/>
      <c r="BR110" s="1145"/>
      <c r="BS110" s="1145"/>
      <c r="BT110" s="1145"/>
      <c r="BU110" s="1145"/>
      <c r="BV110" s="1145"/>
      <c r="BW110" s="1145"/>
      <c r="BX110" s="1145"/>
      <c r="BY110" s="1145"/>
    </row>
    <row r="111" spans="1:77" ht="102">
      <c r="A111" s="1377"/>
      <c r="B111" s="1375"/>
      <c r="C111" s="1379"/>
      <c r="D111" s="1374"/>
      <c r="E111" s="1374"/>
      <c r="F111" s="1400"/>
      <c r="G111" s="1374"/>
      <c r="H111" s="688" t="s">
        <v>876</v>
      </c>
      <c r="I111" s="750" t="s">
        <v>892</v>
      </c>
      <c r="J111" s="688" t="s">
        <v>893</v>
      </c>
      <c r="K111" s="688">
        <v>1</v>
      </c>
      <c r="L111" s="688">
        <v>1</v>
      </c>
      <c r="M111" s="688">
        <v>1</v>
      </c>
      <c r="N111" s="374">
        <v>1</v>
      </c>
      <c r="O111" s="1351"/>
      <c r="P111" s="1307"/>
      <c r="Q111" s="1307"/>
      <c r="R111" s="1307"/>
      <c r="S111" s="1307"/>
      <c r="T111" s="1307"/>
      <c r="U111" s="1307"/>
      <c r="V111" s="1307"/>
      <c r="W111" s="1307"/>
      <c r="X111" s="1307"/>
      <c r="Y111" s="1307"/>
      <c r="Z111" s="1307"/>
      <c r="AA111" s="1307"/>
      <c r="AB111" s="1307"/>
      <c r="AC111" s="460"/>
      <c r="AD111" s="1307"/>
      <c r="AE111" s="1307"/>
      <c r="AF111" s="1307"/>
      <c r="AG111" s="1307"/>
      <c r="AH111" s="1307"/>
      <c r="AI111" s="460"/>
      <c r="AJ111" s="460"/>
      <c r="AK111" s="460"/>
      <c r="AL111" s="460"/>
      <c r="AM111" s="460"/>
      <c r="AN111" s="460"/>
      <c r="AO111" s="460"/>
      <c r="AP111" s="460"/>
      <c r="AQ111" s="460"/>
      <c r="AR111" s="1307"/>
      <c r="AS111" s="1307"/>
      <c r="AT111" s="1307"/>
      <c r="AU111" s="1307"/>
      <c r="AV111" s="1307"/>
      <c r="AW111" s="1309">
        <f t="shared" si="5"/>
        <v>0</v>
      </c>
      <c r="BA111" s="1209"/>
      <c r="BB111" s="1209"/>
      <c r="BC111" s="1209"/>
      <c r="BD111" s="1209"/>
      <c r="BE111" s="1209"/>
      <c r="BF111" s="1209"/>
      <c r="BG111" s="1209"/>
      <c r="BH111" s="1145"/>
      <c r="BI111" s="1145"/>
      <c r="BJ111" s="1145"/>
      <c r="BK111" s="1145"/>
      <c r="BL111" s="1145"/>
      <c r="BM111" s="1145"/>
      <c r="BN111" s="1145"/>
      <c r="BO111" s="1145"/>
      <c r="BP111" s="1145"/>
      <c r="BQ111" s="1145"/>
      <c r="BR111" s="1145"/>
      <c r="BS111" s="1145"/>
      <c r="BT111" s="1145"/>
      <c r="BU111" s="1145"/>
      <c r="BV111" s="1145"/>
      <c r="BW111" s="1145"/>
      <c r="BX111" s="1145"/>
      <c r="BY111" s="1145"/>
    </row>
    <row r="112" spans="1:77" ht="67.5">
      <c r="A112" s="1377"/>
      <c r="B112" s="1375"/>
      <c r="C112" s="1379"/>
      <c r="D112" s="1374"/>
      <c r="E112" s="1374"/>
      <c r="F112" s="1400"/>
      <c r="G112" s="1374"/>
      <c r="H112" s="688"/>
      <c r="I112" s="750" t="s">
        <v>894</v>
      </c>
      <c r="J112" s="688" t="s">
        <v>895</v>
      </c>
      <c r="K112" s="688">
        <v>5</v>
      </c>
      <c r="L112" s="688">
        <v>5</v>
      </c>
      <c r="M112" s="688">
        <v>5</v>
      </c>
      <c r="N112" s="374">
        <v>5</v>
      </c>
      <c r="O112" s="1351"/>
      <c r="P112" s="1307"/>
      <c r="Q112" s="1307"/>
      <c r="R112" s="1307"/>
      <c r="S112" s="1307"/>
      <c r="T112" s="1307"/>
      <c r="U112" s="1307"/>
      <c r="V112" s="1307"/>
      <c r="W112" s="1307"/>
      <c r="X112" s="1307"/>
      <c r="Y112" s="1307"/>
      <c r="Z112" s="1307"/>
      <c r="AA112" s="1307"/>
      <c r="AB112" s="1307"/>
      <c r="AC112" s="460"/>
      <c r="AD112" s="1307"/>
      <c r="AE112" s="1307"/>
      <c r="AF112" s="1307"/>
      <c r="AG112" s="1307"/>
      <c r="AH112" s="1307"/>
      <c r="AI112" s="460"/>
      <c r="AJ112" s="460"/>
      <c r="AK112" s="460"/>
      <c r="AL112" s="460"/>
      <c r="AM112" s="460"/>
      <c r="AN112" s="460"/>
      <c r="AO112" s="460"/>
      <c r="AP112" s="460"/>
      <c r="AQ112" s="460"/>
      <c r="AR112" s="1307"/>
      <c r="AS112" s="1307"/>
      <c r="AT112" s="1307"/>
      <c r="AU112" s="1307"/>
      <c r="AV112" s="1307"/>
      <c r="AW112" s="1309">
        <f t="shared" si="5"/>
        <v>0</v>
      </c>
      <c r="BA112" s="1209"/>
      <c r="BB112" s="1209"/>
      <c r="BC112" s="1209"/>
      <c r="BD112" s="1209"/>
      <c r="BE112" s="1209"/>
      <c r="BF112" s="1209"/>
      <c r="BG112" s="1209"/>
      <c r="BH112" s="1145"/>
      <c r="BI112" s="1145"/>
      <c r="BJ112" s="1145"/>
      <c r="BK112" s="1145"/>
      <c r="BL112" s="1145"/>
      <c r="BM112" s="1145"/>
      <c r="BN112" s="1145"/>
      <c r="BO112" s="1145"/>
      <c r="BP112" s="1145"/>
      <c r="BQ112" s="1145"/>
      <c r="BR112" s="1145"/>
      <c r="BS112" s="1145"/>
      <c r="BT112" s="1145"/>
      <c r="BU112" s="1145"/>
      <c r="BV112" s="1145"/>
      <c r="BW112" s="1145"/>
      <c r="BX112" s="1145"/>
      <c r="BY112" s="1145"/>
    </row>
    <row r="113" spans="1:77" ht="38.25" customHeight="1" hidden="1">
      <c r="A113" s="1377"/>
      <c r="B113" s="1375"/>
      <c r="C113" s="1379"/>
      <c r="D113" s="1374"/>
      <c r="E113" s="1374"/>
      <c r="F113" s="1400"/>
      <c r="G113" s="1374"/>
      <c r="H113" s="688" t="s">
        <v>876</v>
      </c>
      <c r="I113" s="750" t="s">
        <v>896</v>
      </c>
      <c r="J113" s="688" t="s">
        <v>897</v>
      </c>
      <c r="K113" s="688">
        <v>1</v>
      </c>
      <c r="L113" s="688"/>
      <c r="M113" s="688"/>
      <c r="N113" s="374"/>
      <c r="O113" s="1351"/>
      <c r="P113" s="1307"/>
      <c r="Q113" s="1307"/>
      <c r="R113" s="1307"/>
      <c r="S113" s="1307"/>
      <c r="T113" s="1307"/>
      <c r="U113" s="1307"/>
      <c r="V113" s="1307"/>
      <c r="W113" s="1307"/>
      <c r="X113" s="1307"/>
      <c r="Y113" s="1307"/>
      <c r="Z113" s="1307"/>
      <c r="AA113" s="1307"/>
      <c r="AB113" s="1307"/>
      <c r="AC113" s="460"/>
      <c r="AD113" s="1307"/>
      <c r="AE113" s="1307"/>
      <c r="AF113" s="1307"/>
      <c r="AG113" s="1307"/>
      <c r="AH113" s="1307"/>
      <c r="AI113" s="460"/>
      <c r="AJ113" s="460"/>
      <c r="AK113" s="460"/>
      <c r="AL113" s="460"/>
      <c r="AM113" s="460"/>
      <c r="AN113" s="460"/>
      <c r="AO113" s="460"/>
      <c r="AP113" s="460"/>
      <c r="AQ113" s="460"/>
      <c r="AR113" s="1307"/>
      <c r="AS113" s="1307"/>
      <c r="AT113" s="1307"/>
      <c r="AU113" s="1307"/>
      <c r="AV113" s="1307"/>
      <c r="AW113" s="1309">
        <f t="shared" si="5"/>
        <v>0</v>
      </c>
      <c r="BA113" s="1209"/>
      <c r="BB113" s="1209"/>
      <c r="BC113" s="1209"/>
      <c r="BD113" s="1209"/>
      <c r="BE113" s="1209"/>
      <c r="BF113" s="1209"/>
      <c r="BG113" s="1209"/>
      <c r="BH113" s="1145"/>
      <c r="BI113" s="1145"/>
      <c r="BJ113" s="1145"/>
      <c r="BK113" s="1145"/>
      <c r="BL113" s="1145"/>
      <c r="BM113" s="1145"/>
      <c r="BN113" s="1145"/>
      <c r="BO113" s="1145"/>
      <c r="BP113" s="1145"/>
      <c r="BQ113" s="1145"/>
      <c r="BR113" s="1145"/>
      <c r="BS113" s="1145"/>
      <c r="BT113" s="1145"/>
      <c r="BU113" s="1145"/>
      <c r="BV113" s="1145"/>
      <c r="BW113" s="1145"/>
      <c r="BX113" s="1145"/>
      <c r="BY113" s="1145"/>
    </row>
    <row r="114" spans="1:77" ht="63.75" customHeight="1" hidden="1">
      <c r="A114" s="1377"/>
      <c r="B114" s="1375"/>
      <c r="C114" s="1379"/>
      <c r="D114" s="1374"/>
      <c r="E114" s="1374"/>
      <c r="F114" s="1400"/>
      <c r="G114" s="1374"/>
      <c r="H114" s="688"/>
      <c r="I114" s="750" t="s">
        <v>898</v>
      </c>
      <c r="J114" s="688" t="s">
        <v>899</v>
      </c>
      <c r="K114" s="688"/>
      <c r="L114" s="688">
        <v>1</v>
      </c>
      <c r="M114" s="688"/>
      <c r="N114" s="374"/>
      <c r="O114" s="1351"/>
      <c r="P114" s="1307"/>
      <c r="Q114" s="1307"/>
      <c r="R114" s="1307"/>
      <c r="S114" s="1307"/>
      <c r="T114" s="1307"/>
      <c r="U114" s="1307"/>
      <c r="V114" s="1307"/>
      <c r="W114" s="1307"/>
      <c r="X114" s="1307"/>
      <c r="Y114" s="1307"/>
      <c r="Z114" s="1307"/>
      <c r="AA114" s="1307"/>
      <c r="AB114" s="1307"/>
      <c r="AC114" s="460"/>
      <c r="AD114" s="1307"/>
      <c r="AE114" s="1307"/>
      <c r="AF114" s="1307"/>
      <c r="AG114" s="1307"/>
      <c r="AH114" s="1307"/>
      <c r="AI114" s="460"/>
      <c r="AJ114" s="460"/>
      <c r="AK114" s="460"/>
      <c r="AL114" s="460"/>
      <c r="AM114" s="460"/>
      <c r="AN114" s="460"/>
      <c r="AO114" s="460"/>
      <c r="AP114" s="460"/>
      <c r="AQ114" s="460"/>
      <c r="AR114" s="1307"/>
      <c r="AS114" s="1307"/>
      <c r="AT114" s="1307"/>
      <c r="AU114" s="1307"/>
      <c r="AV114" s="1307"/>
      <c r="AW114" s="1309">
        <f t="shared" si="5"/>
        <v>0</v>
      </c>
      <c r="BA114" s="1209"/>
      <c r="BB114" s="1209"/>
      <c r="BC114" s="1209"/>
      <c r="BD114" s="1209"/>
      <c r="BE114" s="1209"/>
      <c r="BF114" s="1209"/>
      <c r="BG114" s="1209"/>
      <c r="BH114" s="1145"/>
      <c r="BI114" s="1145"/>
      <c r="BJ114" s="1145"/>
      <c r="BK114" s="1145"/>
      <c r="BL114" s="1145"/>
      <c r="BM114" s="1145"/>
      <c r="BN114" s="1145"/>
      <c r="BO114" s="1145"/>
      <c r="BP114" s="1145"/>
      <c r="BQ114" s="1145"/>
      <c r="BR114" s="1145"/>
      <c r="BS114" s="1145"/>
      <c r="BT114" s="1145"/>
      <c r="BU114" s="1145"/>
      <c r="BV114" s="1145"/>
      <c r="BW114" s="1145"/>
      <c r="BX114" s="1145"/>
      <c r="BY114" s="1145"/>
    </row>
    <row r="115" spans="1:77" ht="68.25" thickBot="1">
      <c r="A115" s="1377"/>
      <c r="B115" s="1375"/>
      <c r="C115" s="1379"/>
      <c r="D115" s="1374"/>
      <c r="E115" s="1374"/>
      <c r="F115" s="1400"/>
      <c r="G115" s="1374"/>
      <c r="H115" s="688"/>
      <c r="I115" s="764" t="s">
        <v>900</v>
      </c>
      <c r="J115" s="732" t="s">
        <v>901</v>
      </c>
      <c r="K115" s="732">
        <v>1</v>
      </c>
      <c r="L115" s="732">
        <v>1</v>
      </c>
      <c r="M115" s="732">
        <v>1</v>
      </c>
      <c r="N115" s="376">
        <v>1</v>
      </c>
      <c r="O115" s="841" t="s">
        <v>1652</v>
      </c>
      <c r="P115" s="835"/>
      <c r="Q115" s="835"/>
      <c r="R115" s="835"/>
      <c r="S115" s="835"/>
      <c r="T115" s="835"/>
      <c r="U115" s="835"/>
      <c r="V115" s="835"/>
      <c r="W115" s="835"/>
      <c r="X115" s="835"/>
      <c r="Y115" s="835"/>
      <c r="Z115" s="835"/>
      <c r="AA115" s="835"/>
      <c r="AB115" s="835"/>
      <c r="AC115" s="835"/>
      <c r="AD115" s="835"/>
      <c r="AE115" s="835"/>
      <c r="AF115" s="835">
        <v>200000000</v>
      </c>
      <c r="AG115" s="835"/>
      <c r="AH115" s="835"/>
      <c r="AI115" s="835"/>
      <c r="AJ115" s="835"/>
      <c r="AK115" s="835"/>
      <c r="AL115" s="835"/>
      <c r="AM115" s="835"/>
      <c r="AN115" s="835"/>
      <c r="AO115" s="835"/>
      <c r="AP115" s="835"/>
      <c r="AQ115" s="835"/>
      <c r="AR115" s="835"/>
      <c r="AS115" s="835"/>
      <c r="AT115" s="835"/>
      <c r="AU115" s="835"/>
      <c r="AV115" s="835"/>
      <c r="AW115" s="842">
        <f t="shared" si="5"/>
        <v>200000000</v>
      </c>
      <c r="BA115" s="1210"/>
      <c r="BB115" s="1210"/>
      <c r="BC115" s="1210"/>
      <c r="BD115" s="1210"/>
      <c r="BE115" s="1210"/>
      <c r="BF115" s="1210"/>
      <c r="BG115" s="1210"/>
      <c r="BH115" s="1145"/>
      <c r="BI115" s="1145"/>
      <c r="BJ115" s="1145"/>
      <c r="BK115" s="1145"/>
      <c r="BL115" s="1145"/>
      <c r="BM115" s="1145"/>
      <c r="BN115" s="1145"/>
      <c r="BO115" s="1145"/>
      <c r="BP115" s="1145"/>
      <c r="BQ115" s="1145"/>
      <c r="BR115" s="1145"/>
      <c r="BS115" s="1145"/>
      <c r="BT115" s="1145"/>
      <c r="BU115" s="1145"/>
      <c r="BV115" s="1145"/>
      <c r="BW115" s="1145"/>
      <c r="BX115" s="1145"/>
      <c r="BY115" s="1145"/>
    </row>
    <row r="116" spans="1:77" ht="27" thickBot="1">
      <c r="A116" s="1377"/>
      <c r="B116" s="1375"/>
      <c r="C116" s="1379"/>
      <c r="D116" s="406"/>
      <c r="E116" s="406"/>
      <c r="F116" s="407"/>
      <c r="G116" s="406"/>
      <c r="H116" s="374"/>
      <c r="I116" s="1243" t="s">
        <v>1704</v>
      </c>
      <c r="J116" s="1244"/>
      <c r="K116" s="1244"/>
      <c r="L116" s="1244"/>
      <c r="M116" s="1244"/>
      <c r="N116" s="1244"/>
      <c r="O116" s="1245"/>
      <c r="P116" s="843">
        <f>SUM(P110:P115)</f>
        <v>0</v>
      </c>
      <c r="Q116" s="843">
        <f aca="true" t="shared" si="10" ref="Q116:AW116">SUM(Q110:Q115)</f>
        <v>0</v>
      </c>
      <c r="R116" s="843">
        <f t="shared" si="10"/>
        <v>0</v>
      </c>
      <c r="S116" s="843">
        <f t="shared" si="10"/>
        <v>0</v>
      </c>
      <c r="T116" s="843">
        <f t="shared" si="10"/>
        <v>0</v>
      </c>
      <c r="U116" s="843">
        <f t="shared" si="10"/>
        <v>0</v>
      </c>
      <c r="V116" s="843">
        <f t="shared" si="10"/>
        <v>0</v>
      </c>
      <c r="W116" s="843">
        <f t="shared" si="10"/>
        <v>0</v>
      </c>
      <c r="X116" s="843">
        <f t="shared" si="10"/>
        <v>0</v>
      </c>
      <c r="Y116" s="843">
        <f t="shared" si="10"/>
        <v>0</v>
      </c>
      <c r="Z116" s="843">
        <f t="shared" si="10"/>
        <v>0</v>
      </c>
      <c r="AA116" s="843">
        <f t="shared" si="10"/>
        <v>0</v>
      </c>
      <c r="AB116" s="843">
        <f t="shared" si="10"/>
        <v>0</v>
      </c>
      <c r="AC116" s="843">
        <f t="shared" si="10"/>
        <v>0</v>
      </c>
      <c r="AD116" s="843">
        <f t="shared" si="10"/>
        <v>0</v>
      </c>
      <c r="AE116" s="843">
        <f t="shared" si="10"/>
        <v>0</v>
      </c>
      <c r="AF116" s="843">
        <f t="shared" si="10"/>
        <v>3420955000</v>
      </c>
      <c r="AG116" s="843">
        <f t="shared" si="10"/>
        <v>0</v>
      </c>
      <c r="AH116" s="843">
        <f t="shared" si="10"/>
        <v>0</v>
      </c>
      <c r="AI116" s="843">
        <f t="shared" si="10"/>
        <v>0</v>
      </c>
      <c r="AJ116" s="843">
        <f t="shared" si="10"/>
        <v>0</v>
      </c>
      <c r="AK116" s="843">
        <f t="shared" si="10"/>
        <v>0</v>
      </c>
      <c r="AL116" s="843">
        <f t="shared" si="10"/>
        <v>0</v>
      </c>
      <c r="AM116" s="843">
        <f t="shared" si="10"/>
        <v>0</v>
      </c>
      <c r="AN116" s="843">
        <f t="shared" si="10"/>
        <v>0</v>
      </c>
      <c r="AO116" s="843">
        <f t="shared" si="10"/>
        <v>0</v>
      </c>
      <c r="AP116" s="843">
        <f t="shared" si="10"/>
        <v>0</v>
      </c>
      <c r="AQ116" s="843">
        <f t="shared" si="10"/>
        <v>0</v>
      </c>
      <c r="AR116" s="843">
        <f t="shared" si="10"/>
        <v>0</v>
      </c>
      <c r="AS116" s="843">
        <f t="shared" si="10"/>
        <v>0</v>
      </c>
      <c r="AT116" s="843">
        <f t="shared" si="10"/>
        <v>0</v>
      </c>
      <c r="AU116" s="843">
        <f t="shared" si="10"/>
        <v>0</v>
      </c>
      <c r="AV116" s="843">
        <f t="shared" si="10"/>
        <v>0</v>
      </c>
      <c r="AW116" s="843">
        <f t="shared" si="10"/>
        <v>3420955000</v>
      </c>
      <c r="BA116" s="1155"/>
      <c r="BB116" s="1155"/>
      <c r="BC116" s="1155"/>
      <c r="BD116" s="1155"/>
      <c r="BE116" s="1155"/>
      <c r="BF116" s="1155"/>
      <c r="BG116" s="1155"/>
      <c r="BH116" s="1145"/>
      <c r="BI116" s="1145"/>
      <c r="BJ116" s="1145"/>
      <c r="BK116" s="1145"/>
      <c r="BL116" s="1145"/>
      <c r="BM116" s="1145"/>
      <c r="BN116" s="1145"/>
      <c r="BO116" s="1145"/>
      <c r="BP116" s="1145"/>
      <c r="BQ116" s="1145"/>
      <c r="BR116" s="1145"/>
      <c r="BS116" s="1145"/>
      <c r="BT116" s="1145"/>
      <c r="BU116" s="1145"/>
      <c r="BV116" s="1145"/>
      <c r="BW116" s="1145"/>
      <c r="BX116" s="1145"/>
      <c r="BY116" s="1145"/>
    </row>
    <row r="117" spans="1:77" ht="114.75" hidden="1">
      <c r="A117" s="1377"/>
      <c r="B117" s="1375"/>
      <c r="C117" s="1379"/>
      <c r="D117" s="1374" t="s">
        <v>902</v>
      </c>
      <c r="E117" s="1374" t="s">
        <v>903</v>
      </c>
      <c r="F117" s="1400">
        <v>1</v>
      </c>
      <c r="G117" s="1374" t="s">
        <v>904</v>
      </c>
      <c r="H117" s="688"/>
      <c r="I117" s="765" t="s">
        <v>905</v>
      </c>
      <c r="J117" s="739" t="s">
        <v>906</v>
      </c>
      <c r="K117" s="739"/>
      <c r="L117" s="739">
        <v>1</v>
      </c>
      <c r="M117" s="739"/>
      <c r="N117" s="739"/>
      <c r="O117" s="1344" t="s">
        <v>1678</v>
      </c>
      <c r="BA117" s="1155"/>
      <c r="BB117" s="1155"/>
      <c r="BC117" s="1155"/>
      <c r="BD117" s="1155"/>
      <c r="BE117" s="1155"/>
      <c r="BF117" s="1155"/>
      <c r="BG117" s="1155"/>
      <c r="BH117" s="1145"/>
      <c r="BI117" s="1145"/>
      <c r="BJ117" s="1145"/>
      <c r="BK117" s="1145"/>
      <c r="BL117" s="1145"/>
      <c r="BM117" s="1145"/>
      <c r="BN117" s="1145"/>
      <c r="BO117" s="1145"/>
      <c r="BP117" s="1145"/>
      <c r="BQ117" s="1145"/>
      <c r="BR117" s="1145"/>
      <c r="BS117" s="1145"/>
      <c r="BT117" s="1145"/>
      <c r="BU117" s="1145"/>
      <c r="BV117" s="1145"/>
      <c r="BW117" s="1145"/>
      <c r="BX117" s="1145"/>
      <c r="BY117" s="1145"/>
    </row>
    <row r="118" spans="1:77" ht="56.25" hidden="1">
      <c r="A118" s="1377"/>
      <c r="B118" s="1375"/>
      <c r="C118" s="1379"/>
      <c r="D118" s="1374"/>
      <c r="E118" s="1374"/>
      <c r="F118" s="1400"/>
      <c r="G118" s="1374"/>
      <c r="H118" s="688"/>
      <c r="I118" s="750" t="s">
        <v>907</v>
      </c>
      <c r="J118" s="688" t="s">
        <v>908</v>
      </c>
      <c r="K118" s="688"/>
      <c r="L118" s="688">
        <v>1</v>
      </c>
      <c r="M118" s="688"/>
      <c r="N118" s="688"/>
      <c r="O118" s="1344"/>
      <c r="BA118" s="1155"/>
      <c r="BB118" s="1155"/>
      <c r="BC118" s="1155"/>
      <c r="BD118" s="1155"/>
      <c r="BE118" s="1155"/>
      <c r="BF118" s="1155"/>
      <c r="BG118" s="1155"/>
      <c r="BH118" s="1145"/>
      <c r="BI118" s="1145"/>
      <c r="BJ118" s="1145"/>
      <c r="BK118" s="1145"/>
      <c r="BL118" s="1145"/>
      <c r="BM118" s="1145"/>
      <c r="BN118" s="1145"/>
      <c r="BO118" s="1145"/>
      <c r="BP118" s="1145"/>
      <c r="BQ118" s="1145"/>
      <c r="BR118" s="1145"/>
      <c r="BS118" s="1145"/>
      <c r="BT118" s="1145"/>
      <c r="BU118" s="1145"/>
      <c r="BV118" s="1145"/>
      <c r="BW118" s="1145"/>
      <c r="BX118" s="1145"/>
      <c r="BY118" s="1145"/>
    </row>
    <row r="119" spans="1:77" ht="51" hidden="1">
      <c r="A119" s="1377"/>
      <c r="B119" s="1375"/>
      <c r="C119" s="1379"/>
      <c r="D119" s="1374"/>
      <c r="E119" s="1374"/>
      <c r="F119" s="1400"/>
      <c r="G119" s="1374"/>
      <c r="H119" s="688"/>
      <c r="I119" s="750" t="s">
        <v>909</v>
      </c>
      <c r="J119" s="688" t="s">
        <v>910</v>
      </c>
      <c r="K119" s="688">
        <v>1</v>
      </c>
      <c r="L119" s="688"/>
      <c r="M119" s="688"/>
      <c r="N119" s="688"/>
      <c r="O119" s="1344"/>
      <c r="BA119" s="1155"/>
      <c r="BB119" s="1155"/>
      <c r="BC119" s="1155"/>
      <c r="BD119" s="1155"/>
      <c r="BE119" s="1155"/>
      <c r="BF119" s="1155"/>
      <c r="BG119" s="1155"/>
      <c r="BH119" s="1145"/>
      <c r="BI119" s="1145"/>
      <c r="BJ119" s="1145"/>
      <c r="BK119" s="1145"/>
      <c r="BL119" s="1145"/>
      <c r="BM119" s="1145"/>
      <c r="BN119" s="1145"/>
      <c r="BO119" s="1145"/>
      <c r="BP119" s="1145"/>
      <c r="BQ119" s="1145"/>
      <c r="BR119" s="1145"/>
      <c r="BS119" s="1145"/>
      <c r="BT119" s="1145"/>
      <c r="BU119" s="1145"/>
      <c r="BV119" s="1145"/>
      <c r="BW119" s="1145"/>
      <c r="BX119" s="1145"/>
      <c r="BY119" s="1145"/>
    </row>
    <row r="120" spans="1:77" ht="89.25" hidden="1">
      <c r="A120" s="1377"/>
      <c r="B120" s="1375"/>
      <c r="C120" s="1379"/>
      <c r="D120" s="1374"/>
      <c r="E120" s="1374"/>
      <c r="F120" s="1400"/>
      <c r="G120" s="1374"/>
      <c r="H120" s="688"/>
      <c r="I120" s="750" t="s">
        <v>911</v>
      </c>
      <c r="J120" s="688" t="s">
        <v>912</v>
      </c>
      <c r="K120" s="688"/>
      <c r="L120" s="688">
        <v>1</v>
      </c>
      <c r="M120" s="688"/>
      <c r="N120" s="688"/>
      <c r="O120" s="1344"/>
      <c r="BA120" s="1155"/>
      <c r="BB120" s="1155"/>
      <c r="BC120" s="1155"/>
      <c r="BD120" s="1155"/>
      <c r="BE120" s="1155"/>
      <c r="BF120" s="1155"/>
      <c r="BG120" s="1155"/>
      <c r="BH120" s="1145"/>
      <c r="BI120" s="1145"/>
      <c r="BJ120" s="1145"/>
      <c r="BK120" s="1145"/>
      <c r="BL120" s="1145"/>
      <c r="BM120" s="1145"/>
      <c r="BN120" s="1145"/>
      <c r="BO120" s="1145"/>
      <c r="BP120" s="1145"/>
      <c r="BQ120" s="1145"/>
      <c r="BR120" s="1145"/>
      <c r="BS120" s="1145"/>
      <c r="BT120" s="1145"/>
      <c r="BU120" s="1145"/>
      <c r="BV120" s="1145"/>
      <c r="BW120" s="1145"/>
      <c r="BX120" s="1145"/>
      <c r="BY120" s="1145"/>
    </row>
    <row r="121" spans="1:77" ht="89.25">
      <c r="A121" s="1377"/>
      <c r="B121" s="1375"/>
      <c r="C121" s="1379"/>
      <c r="D121" s="1374"/>
      <c r="E121" s="1374"/>
      <c r="F121" s="1400"/>
      <c r="G121" s="1374"/>
      <c r="H121" s="688"/>
      <c r="I121" s="750" t="s">
        <v>913</v>
      </c>
      <c r="J121" s="688" t="s">
        <v>914</v>
      </c>
      <c r="K121" s="688"/>
      <c r="L121" s="688">
        <v>1</v>
      </c>
      <c r="M121" s="688">
        <v>1</v>
      </c>
      <c r="N121" s="688">
        <v>1</v>
      </c>
      <c r="O121" s="1344"/>
      <c r="P121" s="1293"/>
      <c r="Q121" s="1293"/>
      <c r="R121" s="1293"/>
      <c r="S121" s="1293"/>
      <c r="T121" s="1293"/>
      <c r="U121" s="1293"/>
      <c r="V121" s="1293"/>
      <c r="W121" s="1293"/>
      <c r="X121" s="1293"/>
      <c r="Y121" s="1293"/>
      <c r="Z121" s="1293"/>
      <c r="AA121" s="1293"/>
      <c r="AB121" s="1293"/>
      <c r="AD121" s="1293">
        <v>150000000</v>
      </c>
      <c r="AE121" s="1293"/>
      <c r="AF121" s="1293"/>
      <c r="AG121" s="1293"/>
      <c r="AH121" s="1293"/>
      <c r="AR121" s="1293"/>
      <c r="AS121" s="1293"/>
      <c r="AT121" s="1293"/>
      <c r="AU121" s="1293"/>
      <c r="AV121" s="1293"/>
      <c r="AW121" s="1293">
        <f>SUM(P121:AV121)</f>
        <v>150000000</v>
      </c>
      <c r="BA121" s="1208" t="s">
        <v>1824</v>
      </c>
      <c r="BB121" s="1208" t="s">
        <v>1850</v>
      </c>
      <c r="BC121" s="1208" t="s">
        <v>1850</v>
      </c>
      <c r="BD121" s="1208" t="s">
        <v>1850</v>
      </c>
      <c r="BE121" s="1208" t="s">
        <v>1850</v>
      </c>
      <c r="BF121" s="1208" t="s">
        <v>1851</v>
      </c>
      <c r="BG121" s="1208">
        <v>4</v>
      </c>
      <c r="BH121" s="1145"/>
      <c r="BI121" s="1145"/>
      <c r="BJ121" s="1145"/>
      <c r="BK121" s="1145"/>
      <c r="BL121" s="1145"/>
      <c r="BM121" s="1145"/>
      <c r="BN121" s="1145"/>
      <c r="BO121" s="1145"/>
      <c r="BP121" s="1145"/>
      <c r="BQ121" s="1145"/>
      <c r="BR121" s="1145"/>
      <c r="BS121" s="1145"/>
      <c r="BT121" s="1145"/>
      <c r="BU121" s="1145"/>
      <c r="BV121" s="1145"/>
      <c r="BW121" s="1145"/>
      <c r="BX121" s="1145"/>
      <c r="BY121" s="1145"/>
    </row>
    <row r="122" spans="1:77" ht="102" customHeight="1" hidden="1">
      <c r="A122" s="1377"/>
      <c r="B122" s="1375"/>
      <c r="C122" s="1379"/>
      <c r="D122" s="1374"/>
      <c r="E122" s="1374"/>
      <c r="F122" s="1400"/>
      <c r="G122" s="1374"/>
      <c r="H122" s="688"/>
      <c r="I122" s="750" t="s">
        <v>915</v>
      </c>
      <c r="J122" s="688" t="s">
        <v>916</v>
      </c>
      <c r="K122" s="688">
        <v>1</v>
      </c>
      <c r="L122" s="688">
        <v>1</v>
      </c>
      <c r="M122" s="688"/>
      <c r="N122" s="688">
        <v>1</v>
      </c>
      <c r="O122" s="1344"/>
      <c r="P122" s="1293"/>
      <c r="Q122" s="1293"/>
      <c r="R122" s="1293"/>
      <c r="S122" s="1293"/>
      <c r="T122" s="1293"/>
      <c r="U122" s="1293"/>
      <c r="V122" s="1293"/>
      <c r="W122" s="1293"/>
      <c r="X122" s="1293"/>
      <c r="Y122" s="1293"/>
      <c r="Z122" s="1293"/>
      <c r="AA122" s="1293"/>
      <c r="AB122" s="1293"/>
      <c r="AD122" s="1293"/>
      <c r="AE122" s="1293"/>
      <c r="AF122" s="1293"/>
      <c r="AG122" s="1293"/>
      <c r="AH122" s="1293"/>
      <c r="AR122" s="1293"/>
      <c r="AS122" s="1293"/>
      <c r="AT122" s="1293"/>
      <c r="AU122" s="1293"/>
      <c r="AV122" s="1293"/>
      <c r="AW122" s="1293">
        <f>SUM(P122:AV122)</f>
        <v>0</v>
      </c>
      <c r="BA122" s="1209"/>
      <c r="BB122" s="1209"/>
      <c r="BC122" s="1209"/>
      <c r="BD122" s="1209"/>
      <c r="BE122" s="1209"/>
      <c r="BF122" s="1209"/>
      <c r="BG122" s="1209"/>
      <c r="BH122" s="1145"/>
      <c r="BI122" s="1145"/>
      <c r="BJ122" s="1145"/>
      <c r="BK122" s="1145"/>
      <c r="BL122" s="1145"/>
      <c r="BM122" s="1145"/>
      <c r="BN122" s="1145"/>
      <c r="BO122" s="1145"/>
      <c r="BP122" s="1145"/>
      <c r="BQ122" s="1145"/>
      <c r="BR122" s="1145"/>
      <c r="BS122" s="1145"/>
      <c r="BT122" s="1145"/>
      <c r="BU122" s="1145"/>
      <c r="BV122" s="1145"/>
      <c r="BW122" s="1145"/>
      <c r="BX122" s="1145"/>
      <c r="BY122" s="1145"/>
    </row>
    <row r="123" spans="1:77" ht="102" customHeight="1">
      <c r="A123" s="1377"/>
      <c r="B123" s="1375"/>
      <c r="C123" s="1379"/>
      <c r="D123" s="1374"/>
      <c r="E123" s="1374"/>
      <c r="F123" s="1400"/>
      <c r="G123" s="1374"/>
      <c r="H123" s="1158"/>
      <c r="I123" s="750" t="s">
        <v>907</v>
      </c>
      <c r="J123" s="1158"/>
      <c r="K123" s="1158"/>
      <c r="L123" s="1158"/>
      <c r="M123" s="1158">
        <v>1</v>
      </c>
      <c r="N123" s="1158"/>
      <c r="O123" s="1344"/>
      <c r="P123" s="1293"/>
      <c r="Q123" s="1293"/>
      <c r="R123" s="1293"/>
      <c r="S123" s="1293"/>
      <c r="T123" s="1293"/>
      <c r="U123" s="1293"/>
      <c r="V123" s="1293"/>
      <c r="W123" s="1293"/>
      <c r="X123" s="1293"/>
      <c r="Y123" s="1293"/>
      <c r="Z123" s="1293"/>
      <c r="AA123" s="1293"/>
      <c r="AB123" s="1293"/>
      <c r="AD123" s="1293"/>
      <c r="AE123" s="1293"/>
      <c r="AF123" s="1293"/>
      <c r="AG123" s="1293"/>
      <c r="AH123" s="1293"/>
      <c r="AR123" s="1293"/>
      <c r="AS123" s="1293"/>
      <c r="AT123" s="1293"/>
      <c r="AU123" s="1293"/>
      <c r="AV123" s="1293"/>
      <c r="AW123" s="1293"/>
      <c r="AY123" s="904"/>
      <c r="AZ123" s="904"/>
      <c r="BA123" s="1209"/>
      <c r="BB123" s="1209"/>
      <c r="BC123" s="1209"/>
      <c r="BD123" s="1209"/>
      <c r="BE123" s="1209"/>
      <c r="BF123" s="1209"/>
      <c r="BG123" s="1209"/>
      <c r="BH123" s="1145"/>
      <c r="BI123" s="1145"/>
      <c r="BJ123" s="1145"/>
      <c r="BK123" s="1145"/>
      <c r="BL123" s="1145"/>
      <c r="BM123" s="1145"/>
      <c r="BN123" s="1145"/>
      <c r="BO123" s="1145"/>
      <c r="BP123" s="1145"/>
      <c r="BQ123" s="1145"/>
      <c r="BR123" s="1145"/>
      <c r="BS123" s="1145"/>
      <c r="BT123" s="1145"/>
      <c r="BU123" s="1145"/>
      <c r="BV123" s="1145"/>
      <c r="BW123" s="1145"/>
      <c r="BX123" s="1145"/>
      <c r="BY123" s="1145"/>
    </row>
    <row r="124" spans="1:77" ht="78.75">
      <c r="A124" s="1377"/>
      <c r="B124" s="1375"/>
      <c r="C124" s="1379"/>
      <c r="D124" s="1374"/>
      <c r="E124" s="1374"/>
      <c r="F124" s="1400"/>
      <c r="G124" s="1374"/>
      <c r="H124" s="688"/>
      <c r="I124" s="750" t="s">
        <v>917</v>
      </c>
      <c r="J124" s="688" t="s">
        <v>918</v>
      </c>
      <c r="K124" s="688">
        <v>1</v>
      </c>
      <c r="L124" s="688">
        <v>1</v>
      </c>
      <c r="M124" s="688">
        <v>1</v>
      </c>
      <c r="N124" s="688">
        <v>1</v>
      </c>
      <c r="O124" s="1344"/>
      <c r="P124" s="1293"/>
      <c r="Q124" s="1293"/>
      <c r="R124" s="1293"/>
      <c r="S124" s="1293"/>
      <c r="T124" s="1293"/>
      <c r="U124" s="1293"/>
      <c r="V124" s="1293"/>
      <c r="W124" s="1293"/>
      <c r="X124" s="1293"/>
      <c r="Y124" s="1293"/>
      <c r="Z124" s="1293"/>
      <c r="AA124" s="1293"/>
      <c r="AB124" s="1293"/>
      <c r="AD124" s="1293"/>
      <c r="AE124" s="1293"/>
      <c r="AF124" s="1293"/>
      <c r="AG124" s="1293"/>
      <c r="AH124" s="1293"/>
      <c r="AR124" s="1293"/>
      <c r="AS124" s="1293"/>
      <c r="AT124" s="1293"/>
      <c r="AU124" s="1293"/>
      <c r="AV124" s="1293"/>
      <c r="AW124" s="1293">
        <f>SUM(P124:AV124)</f>
        <v>0</v>
      </c>
      <c r="BA124" s="1209"/>
      <c r="BB124" s="1209"/>
      <c r="BC124" s="1209"/>
      <c r="BD124" s="1209"/>
      <c r="BE124" s="1209"/>
      <c r="BF124" s="1209"/>
      <c r="BG124" s="1209"/>
      <c r="BH124" s="1145"/>
      <c r="BI124" s="1145"/>
      <c r="BJ124" s="1145"/>
      <c r="BK124" s="1145"/>
      <c r="BL124" s="1145"/>
      <c r="BM124" s="1145"/>
      <c r="BN124" s="1145"/>
      <c r="BO124" s="1145"/>
      <c r="BP124" s="1145"/>
      <c r="BQ124" s="1145"/>
      <c r="BR124" s="1145"/>
      <c r="BS124" s="1145"/>
      <c r="BT124" s="1145"/>
      <c r="BU124" s="1145"/>
      <c r="BV124" s="1145"/>
      <c r="BW124" s="1145"/>
      <c r="BX124" s="1145"/>
      <c r="BY124" s="1145"/>
    </row>
    <row r="125" spans="1:77" ht="141" thickBot="1">
      <c r="A125" s="1377"/>
      <c r="B125" s="1375"/>
      <c r="C125" s="1379"/>
      <c r="D125" s="1374"/>
      <c r="E125" s="1374"/>
      <c r="F125" s="1400"/>
      <c r="G125" s="1374"/>
      <c r="H125" s="688"/>
      <c r="I125" s="764" t="s">
        <v>919</v>
      </c>
      <c r="J125" s="732" t="s">
        <v>920</v>
      </c>
      <c r="K125" s="732"/>
      <c r="L125" s="732">
        <v>1</v>
      </c>
      <c r="M125" s="732">
        <v>1</v>
      </c>
      <c r="N125" s="732">
        <v>1</v>
      </c>
      <c r="O125" s="1344"/>
      <c r="P125" s="1293"/>
      <c r="Q125" s="1293"/>
      <c r="R125" s="1293"/>
      <c r="S125" s="1293"/>
      <c r="T125" s="1293"/>
      <c r="U125" s="1293"/>
      <c r="V125" s="1293"/>
      <c r="W125" s="1293"/>
      <c r="X125" s="1293"/>
      <c r="Y125" s="1293"/>
      <c r="Z125" s="1293"/>
      <c r="AA125" s="1293"/>
      <c r="AB125" s="1293"/>
      <c r="AD125" s="1293"/>
      <c r="AE125" s="1293"/>
      <c r="AF125" s="1293"/>
      <c r="AG125" s="1293"/>
      <c r="AH125" s="1293"/>
      <c r="AR125" s="1293"/>
      <c r="AS125" s="1293"/>
      <c r="AT125" s="1293"/>
      <c r="AU125" s="1293"/>
      <c r="AV125" s="1293"/>
      <c r="AW125" s="1293">
        <f>SUM(P125:AV125)</f>
        <v>0</v>
      </c>
      <c r="BA125" s="1210"/>
      <c r="BB125" s="1210"/>
      <c r="BC125" s="1210"/>
      <c r="BD125" s="1210"/>
      <c r="BE125" s="1210"/>
      <c r="BF125" s="1210"/>
      <c r="BG125" s="1210"/>
      <c r="BH125" s="1145"/>
      <c r="BI125" s="1145"/>
      <c r="BJ125" s="1145"/>
      <c r="BK125" s="1145"/>
      <c r="BL125" s="1145"/>
      <c r="BM125" s="1145"/>
      <c r="BN125" s="1145"/>
      <c r="BO125" s="1145"/>
      <c r="BP125" s="1145"/>
      <c r="BQ125" s="1145"/>
      <c r="BR125" s="1145"/>
      <c r="BS125" s="1145"/>
      <c r="BT125" s="1145"/>
      <c r="BU125" s="1145"/>
      <c r="BV125" s="1145"/>
      <c r="BW125" s="1145"/>
      <c r="BX125" s="1145"/>
      <c r="BY125" s="1145"/>
    </row>
    <row r="126" spans="1:77" ht="27" thickBot="1">
      <c r="A126" s="1377"/>
      <c r="B126" s="1375"/>
      <c r="C126" s="1379"/>
      <c r="D126" s="406"/>
      <c r="E126" s="406"/>
      <c r="F126" s="421"/>
      <c r="G126" s="406"/>
      <c r="H126" s="374"/>
      <c r="I126" s="1243" t="s">
        <v>1706</v>
      </c>
      <c r="J126" s="1244"/>
      <c r="K126" s="1244"/>
      <c r="L126" s="1244"/>
      <c r="M126" s="1244"/>
      <c r="N126" s="1244"/>
      <c r="O126" s="1346"/>
      <c r="P126" s="844">
        <f>SUM(P121)</f>
        <v>0</v>
      </c>
      <c r="Q126" s="844">
        <f aca="true" t="shared" si="11" ref="Q126:AW126">SUM(Q121)</f>
        <v>0</v>
      </c>
      <c r="R126" s="844">
        <f t="shared" si="11"/>
        <v>0</v>
      </c>
      <c r="S126" s="844">
        <f t="shared" si="11"/>
        <v>0</v>
      </c>
      <c r="T126" s="844">
        <f t="shared" si="11"/>
        <v>0</v>
      </c>
      <c r="U126" s="844">
        <f t="shared" si="11"/>
        <v>0</v>
      </c>
      <c r="V126" s="844">
        <f t="shared" si="11"/>
        <v>0</v>
      </c>
      <c r="W126" s="844">
        <f t="shared" si="11"/>
        <v>0</v>
      </c>
      <c r="X126" s="844">
        <f t="shared" si="11"/>
        <v>0</v>
      </c>
      <c r="Y126" s="844">
        <f t="shared" si="11"/>
        <v>0</v>
      </c>
      <c r="Z126" s="844">
        <f t="shared" si="11"/>
        <v>0</v>
      </c>
      <c r="AA126" s="844">
        <f t="shared" si="11"/>
        <v>0</v>
      </c>
      <c r="AB126" s="844">
        <f t="shared" si="11"/>
        <v>0</v>
      </c>
      <c r="AC126" s="844">
        <f t="shared" si="11"/>
        <v>0</v>
      </c>
      <c r="AD126" s="844">
        <f t="shared" si="11"/>
        <v>150000000</v>
      </c>
      <c r="AE126" s="844">
        <f t="shared" si="11"/>
        <v>0</v>
      </c>
      <c r="AF126" s="844">
        <f t="shared" si="11"/>
        <v>0</v>
      </c>
      <c r="AG126" s="844">
        <f t="shared" si="11"/>
        <v>0</v>
      </c>
      <c r="AH126" s="844">
        <f t="shared" si="11"/>
        <v>0</v>
      </c>
      <c r="AI126" s="844">
        <f t="shared" si="11"/>
        <v>0</v>
      </c>
      <c r="AJ126" s="844">
        <f t="shared" si="11"/>
        <v>0</v>
      </c>
      <c r="AK126" s="844">
        <f t="shared" si="11"/>
        <v>0</v>
      </c>
      <c r="AL126" s="844">
        <f t="shared" si="11"/>
        <v>0</v>
      </c>
      <c r="AM126" s="844">
        <f t="shared" si="11"/>
        <v>0</v>
      </c>
      <c r="AN126" s="844">
        <f t="shared" si="11"/>
        <v>0</v>
      </c>
      <c r="AO126" s="844">
        <f t="shared" si="11"/>
        <v>0</v>
      </c>
      <c r="AP126" s="844">
        <f t="shared" si="11"/>
        <v>0</v>
      </c>
      <c r="AQ126" s="844">
        <f t="shared" si="11"/>
        <v>0</v>
      </c>
      <c r="AR126" s="844">
        <f t="shared" si="11"/>
        <v>0</v>
      </c>
      <c r="AS126" s="844">
        <f t="shared" si="11"/>
        <v>0</v>
      </c>
      <c r="AT126" s="844">
        <f t="shared" si="11"/>
        <v>0</v>
      </c>
      <c r="AU126" s="844">
        <f t="shared" si="11"/>
        <v>0</v>
      </c>
      <c r="AV126" s="844">
        <f t="shared" si="11"/>
        <v>0</v>
      </c>
      <c r="AW126" s="845">
        <f t="shared" si="11"/>
        <v>150000000</v>
      </c>
      <c r="BA126" s="1155"/>
      <c r="BB126" s="1155"/>
      <c r="BC126" s="1155"/>
      <c r="BD126" s="1155"/>
      <c r="BE126" s="1155"/>
      <c r="BF126" s="1155"/>
      <c r="BG126" s="1155"/>
      <c r="BH126" s="1145"/>
      <c r="BI126" s="1145"/>
      <c r="BJ126" s="1145"/>
      <c r="BK126" s="1145"/>
      <c r="BL126" s="1145"/>
      <c r="BM126" s="1145"/>
      <c r="BN126" s="1145"/>
      <c r="BO126" s="1145"/>
      <c r="BP126" s="1145"/>
      <c r="BQ126" s="1145"/>
      <c r="BR126" s="1145"/>
      <c r="BS126" s="1145"/>
      <c r="BT126" s="1145"/>
      <c r="BU126" s="1145"/>
      <c r="BV126" s="1145"/>
      <c r="BW126" s="1145"/>
      <c r="BX126" s="1145"/>
      <c r="BY126" s="1145"/>
    </row>
    <row r="127" spans="1:77" ht="51" customHeight="1" hidden="1">
      <c r="A127" s="1377"/>
      <c r="B127" s="1375"/>
      <c r="C127" s="1379"/>
      <c r="D127" s="1375" t="s">
        <v>921</v>
      </c>
      <c r="E127" s="1375" t="s">
        <v>922</v>
      </c>
      <c r="F127" s="1376">
        <v>1</v>
      </c>
      <c r="G127" s="1367" t="s">
        <v>924</v>
      </c>
      <c r="H127" s="693"/>
      <c r="I127" s="799" t="s">
        <v>925</v>
      </c>
      <c r="J127" s="735" t="s">
        <v>926</v>
      </c>
      <c r="K127" s="729"/>
      <c r="L127" s="735">
        <v>1</v>
      </c>
      <c r="M127" s="729"/>
      <c r="N127" s="801"/>
      <c r="O127" s="1304" t="s">
        <v>1679</v>
      </c>
      <c r="P127" s="888"/>
      <c r="Q127" s="888"/>
      <c r="R127" s="888"/>
      <c r="S127" s="888"/>
      <c r="T127" s="888"/>
      <c r="U127" s="888"/>
      <c r="V127" s="888"/>
      <c r="W127" s="888"/>
      <c r="X127" s="888"/>
      <c r="Y127" s="888"/>
      <c r="Z127" s="888"/>
      <c r="AA127" s="888"/>
      <c r="AB127" s="888"/>
      <c r="AC127" s="826"/>
      <c r="AD127" s="888"/>
      <c r="AE127" s="888"/>
      <c r="AF127" s="888"/>
      <c r="AG127" s="888"/>
      <c r="AH127" s="888"/>
      <c r="AI127" s="826"/>
      <c r="AJ127" s="826"/>
      <c r="AK127" s="826"/>
      <c r="AL127" s="826"/>
      <c r="AM127" s="826"/>
      <c r="AN127" s="826"/>
      <c r="AO127" s="826"/>
      <c r="AP127" s="826"/>
      <c r="AQ127" s="826"/>
      <c r="AR127" s="888"/>
      <c r="AS127" s="888"/>
      <c r="AT127" s="888"/>
      <c r="AU127" s="888"/>
      <c r="AV127" s="888"/>
      <c r="AW127" s="889"/>
      <c r="BA127" s="1155"/>
      <c r="BB127" s="1155"/>
      <c r="BC127" s="1155"/>
      <c r="BD127" s="1155"/>
      <c r="BE127" s="1155"/>
      <c r="BF127" s="1155"/>
      <c r="BG127" s="1155"/>
      <c r="BH127" s="1145"/>
      <c r="BI127" s="1145"/>
      <c r="BJ127" s="1145"/>
      <c r="BK127" s="1145"/>
      <c r="BL127" s="1145"/>
      <c r="BM127" s="1145"/>
      <c r="BN127" s="1145"/>
      <c r="BO127" s="1145"/>
      <c r="BP127" s="1145"/>
      <c r="BQ127" s="1145"/>
      <c r="BR127" s="1145"/>
      <c r="BS127" s="1145"/>
      <c r="BT127" s="1145"/>
      <c r="BU127" s="1145"/>
      <c r="BV127" s="1145"/>
      <c r="BW127" s="1145"/>
      <c r="BX127" s="1145"/>
      <c r="BY127" s="1145"/>
    </row>
    <row r="128" spans="1:77" ht="60" customHeight="1">
      <c r="A128" s="1377"/>
      <c r="B128" s="1375"/>
      <c r="C128" s="1379"/>
      <c r="D128" s="1375"/>
      <c r="E128" s="1375"/>
      <c r="F128" s="1377"/>
      <c r="G128" s="1367"/>
      <c r="H128" s="693"/>
      <c r="I128" s="750" t="s">
        <v>927</v>
      </c>
      <c r="J128" s="687" t="s">
        <v>928</v>
      </c>
      <c r="K128" s="367">
        <v>10</v>
      </c>
      <c r="L128" s="688">
        <v>20</v>
      </c>
      <c r="M128" s="688">
        <v>10</v>
      </c>
      <c r="N128" s="374">
        <v>10</v>
      </c>
      <c r="O128" s="1333"/>
      <c r="P128" s="1294"/>
      <c r="Q128" s="1294"/>
      <c r="R128" s="1294"/>
      <c r="S128" s="1294"/>
      <c r="T128" s="1294"/>
      <c r="U128" s="1294"/>
      <c r="V128" s="1294"/>
      <c r="W128" s="1294"/>
      <c r="X128" s="1294"/>
      <c r="Y128" s="1294"/>
      <c r="Z128" s="1294"/>
      <c r="AA128" s="1294"/>
      <c r="AB128" s="1294"/>
      <c r="AC128" s="460"/>
      <c r="AD128" s="1294">
        <v>200000000</v>
      </c>
      <c r="AE128" s="1294"/>
      <c r="AF128" s="1294"/>
      <c r="AG128" s="1294"/>
      <c r="AH128" s="1294"/>
      <c r="AI128" s="460"/>
      <c r="AJ128" s="460"/>
      <c r="AK128" s="460"/>
      <c r="AL128" s="460"/>
      <c r="AM128" s="460"/>
      <c r="AN128" s="460"/>
      <c r="AO128" s="460"/>
      <c r="AP128" s="460"/>
      <c r="AQ128" s="460"/>
      <c r="AR128" s="1294"/>
      <c r="AS128" s="1294"/>
      <c r="AT128" s="1294"/>
      <c r="AU128" s="1294"/>
      <c r="AV128" s="1294"/>
      <c r="AW128" s="1295">
        <f aca="true" t="shared" si="12" ref="AW128:AW133">SUM(P128:AV128)</f>
        <v>200000000</v>
      </c>
      <c r="BA128" s="1208" t="s">
        <v>1825</v>
      </c>
      <c r="BB128" s="1208" t="s">
        <v>1850</v>
      </c>
      <c r="BC128" s="1208" t="s">
        <v>1850</v>
      </c>
      <c r="BD128" s="1208" t="s">
        <v>1850</v>
      </c>
      <c r="BE128" s="1208" t="s">
        <v>1850</v>
      </c>
      <c r="BF128" s="1208" t="s">
        <v>1851</v>
      </c>
      <c r="BG128" s="1208">
        <v>4</v>
      </c>
      <c r="BH128" s="1145"/>
      <c r="BI128" s="1145"/>
      <c r="BJ128" s="1145"/>
      <c r="BK128" s="1145"/>
      <c r="BL128" s="1145"/>
      <c r="BM128" s="1145"/>
      <c r="BN128" s="1145"/>
      <c r="BO128" s="1145"/>
      <c r="BP128" s="1145"/>
      <c r="BQ128" s="1145"/>
      <c r="BR128" s="1145"/>
      <c r="BS128" s="1145"/>
      <c r="BT128" s="1145"/>
      <c r="BU128" s="1145"/>
      <c r="BV128" s="1145"/>
      <c r="BW128" s="1145"/>
      <c r="BX128" s="1145"/>
      <c r="BY128" s="1145"/>
    </row>
    <row r="129" spans="1:77" ht="45">
      <c r="A129" s="1377"/>
      <c r="B129" s="1375"/>
      <c r="C129" s="1379"/>
      <c r="D129" s="1375"/>
      <c r="E129" s="1375"/>
      <c r="F129" s="1377"/>
      <c r="G129" s="1367"/>
      <c r="H129" s="693"/>
      <c r="I129" s="757" t="s">
        <v>929</v>
      </c>
      <c r="J129" s="687" t="s">
        <v>930</v>
      </c>
      <c r="K129" s="687">
        <v>1</v>
      </c>
      <c r="L129" s="687">
        <v>1</v>
      </c>
      <c r="M129" s="687">
        <v>1</v>
      </c>
      <c r="N129" s="391">
        <v>1</v>
      </c>
      <c r="O129" s="1333"/>
      <c r="P129" s="1294"/>
      <c r="Q129" s="1294"/>
      <c r="R129" s="1294"/>
      <c r="S129" s="1294"/>
      <c r="T129" s="1294"/>
      <c r="U129" s="1294"/>
      <c r="V129" s="1294"/>
      <c r="W129" s="1294"/>
      <c r="X129" s="1294"/>
      <c r="Y129" s="1294"/>
      <c r="Z129" s="1294"/>
      <c r="AA129" s="1294"/>
      <c r="AB129" s="1294"/>
      <c r="AC129" s="460"/>
      <c r="AD129" s="1294"/>
      <c r="AE129" s="1294"/>
      <c r="AF129" s="1294"/>
      <c r="AG129" s="1294"/>
      <c r="AH129" s="1294"/>
      <c r="AI129" s="460"/>
      <c r="AJ129" s="460"/>
      <c r="AK129" s="460"/>
      <c r="AL129" s="460"/>
      <c r="AM129" s="460"/>
      <c r="AN129" s="460"/>
      <c r="AO129" s="460"/>
      <c r="AP129" s="460"/>
      <c r="AQ129" s="460"/>
      <c r="AR129" s="1294"/>
      <c r="AS129" s="1294"/>
      <c r="AT129" s="1294"/>
      <c r="AU129" s="1294"/>
      <c r="AV129" s="1294"/>
      <c r="AW129" s="1295">
        <f t="shared" si="12"/>
        <v>0</v>
      </c>
      <c r="BA129" s="1209"/>
      <c r="BB129" s="1209"/>
      <c r="BC129" s="1209"/>
      <c r="BD129" s="1209"/>
      <c r="BE129" s="1209"/>
      <c r="BF129" s="1209"/>
      <c r="BG129" s="1209"/>
      <c r="BH129" s="1145"/>
      <c r="BI129" s="1145"/>
      <c r="BJ129" s="1145"/>
      <c r="BK129" s="1145"/>
      <c r="BL129" s="1145"/>
      <c r="BM129" s="1145"/>
      <c r="BN129" s="1145"/>
      <c r="BO129" s="1145"/>
      <c r="BP129" s="1145"/>
      <c r="BQ129" s="1145"/>
      <c r="BR129" s="1145"/>
      <c r="BS129" s="1145"/>
      <c r="BT129" s="1145"/>
      <c r="BU129" s="1145"/>
      <c r="BV129" s="1145"/>
      <c r="BW129" s="1145"/>
      <c r="BX129" s="1145"/>
      <c r="BY129" s="1145"/>
    </row>
    <row r="130" spans="1:77" ht="76.5">
      <c r="A130" s="1377"/>
      <c r="B130" s="1375"/>
      <c r="C130" s="1379"/>
      <c r="D130" s="1375"/>
      <c r="E130" s="1375"/>
      <c r="F130" s="1377"/>
      <c r="G130" s="1367"/>
      <c r="H130" s="693"/>
      <c r="I130" s="750" t="s">
        <v>931</v>
      </c>
      <c r="J130" s="687" t="s">
        <v>932</v>
      </c>
      <c r="K130" s="688">
        <v>1</v>
      </c>
      <c r="L130" s="688">
        <v>1</v>
      </c>
      <c r="M130" s="688">
        <v>1</v>
      </c>
      <c r="N130" s="374">
        <v>1</v>
      </c>
      <c r="O130" s="1333"/>
      <c r="P130" s="1294"/>
      <c r="Q130" s="1294"/>
      <c r="R130" s="1294"/>
      <c r="S130" s="1294"/>
      <c r="T130" s="1294"/>
      <c r="U130" s="1294"/>
      <c r="V130" s="1294"/>
      <c r="W130" s="1294"/>
      <c r="X130" s="1294"/>
      <c r="Y130" s="1294"/>
      <c r="Z130" s="1294"/>
      <c r="AA130" s="1294"/>
      <c r="AB130" s="1294"/>
      <c r="AC130" s="460"/>
      <c r="AD130" s="1294"/>
      <c r="AE130" s="1294"/>
      <c r="AF130" s="1294"/>
      <c r="AG130" s="1294"/>
      <c r="AH130" s="1294"/>
      <c r="AI130" s="460"/>
      <c r="AJ130" s="460"/>
      <c r="AK130" s="460"/>
      <c r="AL130" s="460"/>
      <c r="AM130" s="460"/>
      <c r="AN130" s="460"/>
      <c r="AO130" s="460"/>
      <c r="AP130" s="460"/>
      <c r="AQ130" s="460"/>
      <c r="AR130" s="1294"/>
      <c r="AS130" s="1294"/>
      <c r="AT130" s="1294"/>
      <c r="AU130" s="1294"/>
      <c r="AV130" s="1294"/>
      <c r="AW130" s="1295">
        <f t="shared" si="12"/>
        <v>0</v>
      </c>
      <c r="BA130" s="1209"/>
      <c r="BB130" s="1209"/>
      <c r="BC130" s="1209"/>
      <c r="BD130" s="1209"/>
      <c r="BE130" s="1209"/>
      <c r="BF130" s="1209"/>
      <c r="BG130" s="1209"/>
      <c r="BH130" s="1145"/>
      <c r="BI130" s="1145"/>
      <c r="BJ130" s="1145"/>
      <c r="BK130" s="1145"/>
      <c r="BL130" s="1145"/>
      <c r="BM130" s="1145"/>
      <c r="BN130" s="1145"/>
      <c r="BO130" s="1145"/>
      <c r="BP130" s="1145"/>
      <c r="BQ130" s="1145"/>
      <c r="BR130" s="1145"/>
      <c r="BS130" s="1145"/>
      <c r="BT130" s="1145"/>
      <c r="BU130" s="1145"/>
      <c r="BV130" s="1145"/>
      <c r="BW130" s="1145"/>
      <c r="BX130" s="1145"/>
      <c r="BY130" s="1145"/>
    </row>
    <row r="131" spans="1:77" ht="63.75">
      <c r="A131" s="1377"/>
      <c r="B131" s="1375"/>
      <c r="C131" s="1379"/>
      <c r="D131" s="1375"/>
      <c r="E131" s="1375"/>
      <c r="F131" s="1377"/>
      <c r="G131" s="1367"/>
      <c r="H131" s="693"/>
      <c r="I131" s="750" t="s">
        <v>933</v>
      </c>
      <c r="J131" s="687" t="s">
        <v>934</v>
      </c>
      <c r="K131" s="367">
        <v>1</v>
      </c>
      <c r="L131" s="367"/>
      <c r="M131" s="688"/>
      <c r="N131" s="771"/>
      <c r="O131" s="1333"/>
      <c r="P131" s="1294"/>
      <c r="Q131" s="1294"/>
      <c r="R131" s="1294"/>
      <c r="S131" s="1294"/>
      <c r="T131" s="1294"/>
      <c r="U131" s="1294"/>
      <c r="V131" s="1294"/>
      <c r="W131" s="1294"/>
      <c r="X131" s="1294"/>
      <c r="Y131" s="1294"/>
      <c r="Z131" s="1294"/>
      <c r="AA131" s="1294"/>
      <c r="AB131" s="1294"/>
      <c r="AC131" s="460"/>
      <c r="AD131" s="1294"/>
      <c r="AE131" s="1294"/>
      <c r="AF131" s="1294"/>
      <c r="AG131" s="1294"/>
      <c r="AH131" s="1294"/>
      <c r="AI131" s="460"/>
      <c r="AJ131" s="460"/>
      <c r="AK131" s="460"/>
      <c r="AL131" s="460"/>
      <c r="AM131" s="460"/>
      <c r="AN131" s="460"/>
      <c r="AO131" s="460"/>
      <c r="AP131" s="460"/>
      <c r="AQ131" s="460"/>
      <c r="AR131" s="1294"/>
      <c r="AS131" s="1294"/>
      <c r="AT131" s="1294"/>
      <c r="AU131" s="1294"/>
      <c r="AV131" s="1294"/>
      <c r="AW131" s="1295">
        <f t="shared" si="12"/>
        <v>0</v>
      </c>
      <c r="BA131" s="1209"/>
      <c r="BB131" s="1209"/>
      <c r="BC131" s="1209"/>
      <c r="BD131" s="1209"/>
      <c r="BE131" s="1209"/>
      <c r="BF131" s="1209"/>
      <c r="BG131" s="1209"/>
      <c r="BH131" s="1145"/>
      <c r="BI131" s="1145"/>
      <c r="BJ131" s="1145"/>
      <c r="BK131" s="1145"/>
      <c r="BL131" s="1145"/>
      <c r="BM131" s="1145"/>
      <c r="BN131" s="1145"/>
      <c r="BO131" s="1145"/>
      <c r="BP131" s="1145"/>
      <c r="BQ131" s="1145"/>
      <c r="BR131" s="1145"/>
      <c r="BS131" s="1145"/>
      <c r="BT131" s="1145"/>
      <c r="BU131" s="1145"/>
      <c r="BV131" s="1145"/>
      <c r="BW131" s="1145"/>
      <c r="BX131" s="1145"/>
      <c r="BY131" s="1145"/>
    </row>
    <row r="132" spans="1:77" ht="89.25">
      <c r="A132" s="1377"/>
      <c r="B132" s="1375"/>
      <c r="C132" s="1379"/>
      <c r="D132" s="1375"/>
      <c r="E132" s="1375"/>
      <c r="F132" s="1377"/>
      <c r="G132" s="1367"/>
      <c r="H132" s="693"/>
      <c r="I132" s="750" t="s">
        <v>935</v>
      </c>
      <c r="J132" s="687" t="s">
        <v>936</v>
      </c>
      <c r="K132" s="688"/>
      <c r="L132" s="688">
        <v>1</v>
      </c>
      <c r="M132" s="688">
        <v>1</v>
      </c>
      <c r="N132" s="374">
        <v>1</v>
      </c>
      <c r="O132" s="1333"/>
      <c r="P132" s="1294"/>
      <c r="Q132" s="1294"/>
      <c r="R132" s="1294"/>
      <c r="S132" s="1294"/>
      <c r="T132" s="1294"/>
      <c r="U132" s="1294"/>
      <c r="V132" s="1294"/>
      <c r="W132" s="1294"/>
      <c r="X132" s="1294"/>
      <c r="Y132" s="1294"/>
      <c r="Z132" s="1294"/>
      <c r="AA132" s="1294"/>
      <c r="AB132" s="1294"/>
      <c r="AC132" s="460"/>
      <c r="AD132" s="1294"/>
      <c r="AE132" s="1294"/>
      <c r="AF132" s="1294"/>
      <c r="AG132" s="1294"/>
      <c r="AH132" s="1294"/>
      <c r="AI132" s="460"/>
      <c r="AJ132" s="460"/>
      <c r="AK132" s="460"/>
      <c r="AL132" s="460"/>
      <c r="AM132" s="460"/>
      <c r="AN132" s="460"/>
      <c r="AO132" s="460"/>
      <c r="AP132" s="460"/>
      <c r="AQ132" s="460"/>
      <c r="AR132" s="1294"/>
      <c r="AS132" s="1294"/>
      <c r="AT132" s="1294"/>
      <c r="AU132" s="1294"/>
      <c r="AV132" s="1294"/>
      <c r="AW132" s="1295">
        <f t="shared" si="12"/>
        <v>0</v>
      </c>
      <c r="BA132" s="1209"/>
      <c r="BB132" s="1209"/>
      <c r="BC132" s="1209"/>
      <c r="BD132" s="1209"/>
      <c r="BE132" s="1209"/>
      <c r="BF132" s="1209"/>
      <c r="BG132" s="1209"/>
      <c r="BH132" s="1145"/>
      <c r="BI132" s="1145"/>
      <c r="BJ132" s="1145"/>
      <c r="BK132" s="1145"/>
      <c r="BL132" s="1145"/>
      <c r="BM132" s="1145"/>
      <c r="BN132" s="1145"/>
      <c r="BO132" s="1145"/>
      <c r="BP132" s="1145"/>
      <c r="BQ132" s="1145"/>
      <c r="BR132" s="1145"/>
      <c r="BS132" s="1145"/>
      <c r="BT132" s="1145"/>
      <c r="BU132" s="1145"/>
      <c r="BV132" s="1145"/>
      <c r="BW132" s="1145"/>
      <c r="BX132" s="1145"/>
      <c r="BY132" s="1145"/>
    </row>
    <row r="133" spans="1:77" ht="77.25" thickBot="1">
      <c r="A133" s="1377"/>
      <c r="B133" s="1375"/>
      <c r="C133" s="1379"/>
      <c r="D133" s="1375"/>
      <c r="E133" s="1375"/>
      <c r="F133" s="1378"/>
      <c r="G133" s="1367"/>
      <c r="H133" s="693"/>
      <c r="I133" s="800" t="s">
        <v>937</v>
      </c>
      <c r="J133" s="727" t="s">
        <v>938</v>
      </c>
      <c r="K133" s="728"/>
      <c r="L133" s="727">
        <v>1</v>
      </c>
      <c r="M133" s="727">
        <v>1</v>
      </c>
      <c r="N133" s="773"/>
      <c r="O133" s="1305"/>
      <c r="P133" s="1298"/>
      <c r="Q133" s="1298"/>
      <c r="R133" s="1298"/>
      <c r="S133" s="1298"/>
      <c r="T133" s="1298"/>
      <c r="U133" s="1298"/>
      <c r="V133" s="1298"/>
      <c r="W133" s="1298"/>
      <c r="X133" s="1298"/>
      <c r="Y133" s="1298"/>
      <c r="Z133" s="1298"/>
      <c r="AA133" s="1298"/>
      <c r="AB133" s="1298"/>
      <c r="AC133" s="835"/>
      <c r="AD133" s="1298"/>
      <c r="AE133" s="1298"/>
      <c r="AF133" s="1298"/>
      <c r="AG133" s="1298"/>
      <c r="AH133" s="1298"/>
      <c r="AI133" s="835"/>
      <c r="AJ133" s="835"/>
      <c r="AK133" s="835"/>
      <c r="AL133" s="835"/>
      <c r="AM133" s="835"/>
      <c r="AN133" s="835"/>
      <c r="AO133" s="835"/>
      <c r="AP133" s="835"/>
      <c r="AQ133" s="835"/>
      <c r="AR133" s="1298"/>
      <c r="AS133" s="1298"/>
      <c r="AT133" s="1298"/>
      <c r="AU133" s="1298"/>
      <c r="AV133" s="1298"/>
      <c r="AW133" s="1299">
        <f t="shared" si="12"/>
        <v>0</v>
      </c>
      <c r="BA133" s="1210"/>
      <c r="BB133" s="1210"/>
      <c r="BC133" s="1210"/>
      <c r="BD133" s="1210"/>
      <c r="BE133" s="1210"/>
      <c r="BF133" s="1210"/>
      <c r="BG133" s="1210"/>
      <c r="BH133" s="1145"/>
      <c r="BI133" s="1145"/>
      <c r="BJ133" s="1145"/>
      <c r="BK133" s="1145"/>
      <c r="BL133" s="1145"/>
      <c r="BM133" s="1145"/>
      <c r="BN133" s="1145"/>
      <c r="BO133" s="1145"/>
      <c r="BP133" s="1145"/>
      <c r="BQ133" s="1145"/>
      <c r="BR133" s="1145"/>
      <c r="BS133" s="1145"/>
      <c r="BT133" s="1145"/>
      <c r="BU133" s="1145"/>
      <c r="BV133" s="1145"/>
      <c r="BW133" s="1145"/>
      <c r="BX133" s="1145"/>
      <c r="BY133" s="1145"/>
    </row>
    <row r="134" spans="1:77" ht="32.25" customHeight="1" thickBot="1">
      <c r="A134" s="1377"/>
      <c r="B134" s="1375"/>
      <c r="C134" s="1379"/>
      <c r="D134" s="719"/>
      <c r="E134" s="719"/>
      <c r="F134" s="721"/>
      <c r="G134" s="718"/>
      <c r="H134" s="776"/>
      <c r="I134" s="1317" t="s">
        <v>1707</v>
      </c>
      <c r="J134" s="1318"/>
      <c r="K134" s="1318"/>
      <c r="L134" s="1318"/>
      <c r="M134" s="1318"/>
      <c r="N134" s="1318"/>
      <c r="O134" s="1319"/>
      <c r="P134" s="846">
        <f>SUM(P128)</f>
        <v>0</v>
      </c>
      <c r="Q134" s="846">
        <f aca="true" t="shared" si="13" ref="Q134:AW134">SUM(Q128)</f>
        <v>0</v>
      </c>
      <c r="R134" s="846">
        <f t="shared" si="13"/>
        <v>0</v>
      </c>
      <c r="S134" s="846">
        <f t="shared" si="13"/>
        <v>0</v>
      </c>
      <c r="T134" s="846">
        <f t="shared" si="13"/>
        <v>0</v>
      </c>
      <c r="U134" s="846">
        <f t="shared" si="13"/>
        <v>0</v>
      </c>
      <c r="V134" s="846">
        <f t="shared" si="13"/>
        <v>0</v>
      </c>
      <c r="W134" s="846">
        <f t="shared" si="13"/>
        <v>0</v>
      </c>
      <c r="X134" s="846">
        <f t="shared" si="13"/>
        <v>0</v>
      </c>
      <c r="Y134" s="846">
        <f t="shared" si="13"/>
        <v>0</v>
      </c>
      <c r="Z134" s="846">
        <f t="shared" si="13"/>
        <v>0</v>
      </c>
      <c r="AA134" s="846">
        <f t="shared" si="13"/>
        <v>0</v>
      </c>
      <c r="AB134" s="846">
        <f t="shared" si="13"/>
        <v>0</v>
      </c>
      <c r="AC134" s="846">
        <f t="shared" si="13"/>
        <v>0</v>
      </c>
      <c r="AD134" s="846">
        <f t="shared" si="13"/>
        <v>200000000</v>
      </c>
      <c r="AE134" s="846">
        <f t="shared" si="13"/>
        <v>0</v>
      </c>
      <c r="AF134" s="846">
        <f t="shared" si="13"/>
        <v>0</v>
      </c>
      <c r="AG134" s="846">
        <f t="shared" si="13"/>
        <v>0</v>
      </c>
      <c r="AH134" s="846">
        <f t="shared" si="13"/>
        <v>0</v>
      </c>
      <c r="AI134" s="846">
        <f t="shared" si="13"/>
        <v>0</v>
      </c>
      <c r="AJ134" s="846">
        <f t="shared" si="13"/>
        <v>0</v>
      </c>
      <c r="AK134" s="846">
        <f t="shared" si="13"/>
        <v>0</v>
      </c>
      <c r="AL134" s="846">
        <f t="shared" si="13"/>
        <v>0</v>
      </c>
      <c r="AM134" s="846">
        <f t="shared" si="13"/>
        <v>0</v>
      </c>
      <c r="AN134" s="846">
        <f t="shared" si="13"/>
        <v>0</v>
      </c>
      <c r="AO134" s="846">
        <f t="shared" si="13"/>
        <v>0</v>
      </c>
      <c r="AP134" s="846">
        <f t="shared" si="13"/>
        <v>0</v>
      </c>
      <c r="AQ134" s="846">
        <f t="shared" si="13"/>
        <v>0</v>
      </c>
      <c r="AR134" s="846">
        <f t="shared" si="13"/>
        <v>0</v>
      </c>
      <c r="AS134" s="846">
        <f t="shared" si="13"/>
        <v>0</v>
      </c>
      <c r="AT134" s="846">
        <f t="shared" si="13"/>
        <v>0</v>
      </c>
      <c r="AU134" s="846">
        <f t="shared" si="13"/>
        <v>0</v>
      </c>
      <c r="AV134" s="846">
        <f t="shared" si="13"/>
        <v>0</v>
      </c>
      <c r="AW134" s="846">
        <f t="shared" si="13"/>
        <v>200000000</v>
      </c>
      <c r="BA134" s="1155"/>
      <c r="BB134" s="1155"/>
      <c r="BC134" s="1155"/>
      <c r="BD134" s="1155"/>
      <c r="BE134" s="1155"/>
      <c r="BF134" s="1155"/>
      <c r="BG134" s="1155"/>
      <c r="BH134" s="1145"/>
      <c r="BI134" s="1145"/>
      <c r="BJ134" s="1145"/>
      <c r="BK134" s="1145"/>
      <c r="BL134" s="1145"/>
      <c r="BM134" s="1145"/>
      <c r="BN134" s="1145"/>
      <c r="BO134" s="1145"/>
      <c r="BP134" s="1145"/>
      <c r="BQ134" s="1145"/>
      <c r="BR134" s="1145"/>
      <c r="BS134" s="1145"/>
      <c r="BT134" s="1145"/>
      <c r="BU134" s="1145"/>
      <c r="BV134" s="1145"/>
      <c r="BW134" s="1145"/>
      <c r="BX134" s="1145"/>
      <c r="BY134" s="1145"/>
    </row>
    <row r="135" spans="1:77" ht="102">
      <c r="A135" s="1377"/>
      <c r="B135" s="1375"/>
      <c r="C135" s="1379"/>
      <c r="D135" s="1367" t="s">
        <v>939</v>
      </c>
      <c r="E135" s="1367" t="s">
        <v>940</v>
      </c>
      <c r="F135" s="1376">
        <v>1</v>
      </c>
      <c r="G135" s="1379" t="s">
        <v>943</v>
      </c>
      <c r="H135" s="693"/>
      <c r="I135" s="765" t="s">
        <v>944</v>
      </c>
      <c r="J135" s="739" t="s">
        <v>945</v>
      </c>
      <c r="K135" s="739">
        <v>2</v>
      </c>
      <c r="L135" s="739">
        <v>2</v>
      </c>
      <c r="M135" s="739">
        <v>2</v>
      </c>
      <c r="N135" s="786">
        <v>2</v>
      </c>
      <c r="O135" s="1304" t="s">
        <v>1680</v>
      </c>
      <c r="P135" s="1297"/>
      <c r="Q135" s="1297"/>
      <c r="R135" s="1297"/>
      <c r="S135" s="1297"/>
      <c r="T135" s="1297"/>
      <c r="U135" s="1297"/>
      <c r="V135" s="1297"/>
      <c r="W135" s="1297"/>
      <c r="X135" s="1297"/>
      <c r="Y135" s="1297"/>
      <c r="Z135" s="1297"/>
      <c r="AA135" s="1297"/>
      <c r="AB135" s="1297"/>
      <c r="AC135" s="826"/>
      <c r="AD135" s="1297">
        <v>180000000</v>
      </c>
      <c r="AE135" s="1297"/>
      <c r="AF135" s="1297"/>
      <c r="AG135" s="1297"/>
      <c r="AH135" s="1297"/>
      <c r="AI135" s="826"/>
      <c r="AJ135" s="826"/>
      <c r="AK135" s="826"/>
      <c r="AL135" s="826"/>
      <c r="AM135" s="826"/>
      <c r="AN135" s="826"/>
      <c r="AO135" s="826"/>
      <c r="AP135" s="826"/>
      <c r="AQ135" s="826"/>
      <c r="AR135" s="1297"/>
      <c r="AS135" s="1297"/>
      <c r="AT135" s="1297"/>
      <c r="AU135" s="1297"/>
      <c r="AV135" s="1297"/>
      <c r="AW135" s="1296">
        <f>SUM(P135:AV135)</f>
        <v>180000000</v>
      </c>
      <c r="BA135" s="1208" t="s">
        <v>1826</v>
      </c>
      <c r="BB135" s="1208" t="s">
        <v>1850</v>
      </c>
      <c r="BC135" s="1208" t="s">
        <v>1850</v>
      </c>
      <c r="BD135" s="1208" t="s">
        <v>1850</v>
      </c>
      <c r="BE135" s="1208" t="s">
        <v>1850</v>
      </c>
      <c r="BF135" s="1208" t="s">
        <v>1851</v>
      </c>
      <c r="BG135" s="1208">
        <v>4</v>
      </c>
      <c r="BH135" s="1145"/>
      <c r="BI135" s="1145"/>
      <c r="BJ135" s="1145"/>
      <c r="BK135" s="1145"/>
      <c r="BL135" s="1145"/>
      <c r="BM135" s="1145"/>
      <c r="BN135" s="1145"/>
      <c r="BO135" s="1145"/>
      <c r="BP135" s="1145"/>
      <c r="BQ135" s="1145"/>
      <c r="BR135" s="1145"/>
      <c r="BS135" s="1145"/>
      <c r="BT135" s="1145"/>
      <c r="BU135" s="1145"/>
      <c r="BV135" s="1145"/>
      <c r="BW135" s="1145"/>
      <c r="BX135" s="1145"/>
      <c r="BY135" s="1145"/>
    </row>
    <row r="136" spans="1:77" ht="56.25" customHeight="1">
      <c r="A136" s="1377"/>
      <c r="B136" s="1375"/>
      <c r="C136" s="1379"/>
      <c r="D136" s="1367"/>
      <c r="E136" s="1367"/>
      <c r="F136" s="1377"/>
      <c r="G136" s="1379"/>
      <c r="H136" s="693"/>
      <c r="I136" s="750" t="s">
        <v>946</v>
      </c>
      <c r="J136" s="688" t="s">
        <v>947</v>
      </c>
      <c r="K136" s="688">
        <v>2</v>
      </c>
      <c r="L136" s="688">
        <v>2</v>
      </c>
      <c r="M136" s="688">
        <v>2</v>
      </c>
      <c r="N136" s="374">
        <v>2</v>
      </c>
      <c r="O136" s="1333"/>
      <c r="P136" s="1294"/>
      <c r="Q136" s="1294"/>
      <c r="R136" s="1294"/>
      <c r="S136" s="1294"/>
      <c r="T136" s="1294"/>
      <c r="U136" s="1294"/>
      <c r="V136" s="1294"/>
      <c r="W136" s="1294"/>
      <c r="X136" s="1294"/>
      <c r="Y136" s="1294"/>
      <c r="Z136" s="1294"/>
      <c r="AA136" s="1294"/>
      <c r="AB136" s="1294"/>
      <c r="AC136" s="460"/>
      <c r="AD136" s="1294"/>
      <c r="AE136" s="1294"/>
      <c r="AF136" s="1294"/>
      <c r="AG136" s="1294"/>
      <c r="AH136" s="1294"/>
      <c r="AI136" s="460"/>
      <c r="AJ136" s="460"/>
      <c r="AK136" s="460"/>
      <c r="AL136" s="460"/>
      <c r="AM136" s="460"/>
      <c r="AN136" s="460"/>
      <c r="AO136" s="460"/>
      <c r="AP136" s="460"/>
      <c r="AQ136" s="460"/>
      <c r="AR136" s="1294"/>
      <c r="AS136" s="1294"/>
      <c r="AT136" s="1294"/>
      <c r="AU136" s="1294"/>
      <c r="AV136" s="1294"/>
      <c r="AW136" s="1295">
        <f>SUM(P136:AV136)</f>
        <v>0</v>
      </c>
      <c r="BA136" s="1209"/>
      <c r="BB136" s="1209"/>
      <c r="BC136" s="1209"/>
      <c r="BD136" s="1209"/>
      <c r="BE136" s="1209"/>
      <c r="BF136" s="1209"/>
      <c r="BG136" s="1209"/>
      <c r="BH136" s="1145"/>
      <c r="BI136" s="1145"/>
      <c r="BJ136" s="1145"/>
      <c r="BK136" s="1145"/>
      <c r="BL136" s="1145"/>
      <c r="BM136" s="1145"/>
      <c r="BN136" s="1145"/>
      <c r="BO136" s="1145"/>
      <c r="BP136" s="1145"/>
      <c r="BQ136" s="1145"/>
      <c r="BR136" s="1145"/>
      <c r="BS136" s="1145"/>
      <c r="BT136" s="1145"/>
      <c r="BU136" s="1145"/>
      <c r="BV136" s="1145"/>
      <c r="BW136" s="1145"/>
      <c r="BX136" s="1145"/>
      <c r="BY136" s="1145"/>
    </row>
    <row r="137" spans="1:77" ht="25.5" customHeight="1" hidden="1">
      <c r="A137" s="1377"/>
      <c r="B137" s="1375"/>
      <c r="C137" s="1379"/>
      <c r="D137" s="1367"/>
      <c r="E137" s="1367"/>
      <c r="F137" s="1377"/>
      <c r="G137" s="1379"/>
      <c r="H137" s="693"/>
      <c r="I137" s="750" t="s">
        <v>948</v>
      </c>
      <c r="J137" s="688" t="s">
        <v>949</v>
      </c>
      <c r="K137" s="367"/>
      <c r="L137" s="688">
        <v>1</v>
      </c>
      <c r="M137" s="688"/>
      <c r="N137" s="771"/>
      <c r="O137" s="847"/>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460"/>
      <c r="AL137" s="460"/>
      <c r="AM137" s="460"/>
      <c r="AN137" s="460"/>
      <c r="AO137" s="460"/>
      <c r="AP137" s="460"/>
      <c r="AQ137" s="460"/>
      <c r="AR137" s="460"/>
      <c r="AS137" s="460"/>
      <c r="AT137" s="460"/>
      <c r="AU137" s="460"/>
      <c r="AV137" s="460"/>
      <c r="AW137" s="775"/>
      <c r="BA137" s="1209"/>
      <c r="BB137" s="1209"/>
      <c r="BC137" s="1209"/>
      <c r="BD137" s="1209"/>
      <c r="BE137" s="1209"/>
      <c r="BF137" s="1209"/>
      <c r="BG137" s="1209"/>
      <c r="BH137" s="1145"/>
      <c r="BI137" s="1145"/>
      <c r="BJ137" s="1145"/>
      <c r="BK137" s="1145"/>
      <c r="BL137" s="1145"/>
      <c r="BM137" s="1145"/>
      <c r="BN137" s="1145"/>
      <c r="BO137" s="1145"/>
      <c r="BP137" s="1145"/>
      <c r="BQ137" s="1145"/>
      <c r="BR137" s="1145"/>
      <c r="BS137" s="1145"/>
      <c r="BT137" s="1145"/>
      <c r="BU137" s="1145"/>
      <c r="BV137" s="1145"/>
      <c r="BW137" s="1145"/>
      <c r="BX137" s="1145"/>
      <c r="BY137" s="1145"/>
    </row>
    <row r="138" spans="1:77" ht="25.5" customHeight="1">
      <c r="A138" s="1377"/>
      <c r="B138" s="1375"/>
      <c r="C138" s="1379"/>
      <c r="D138" s="1367"/>
      <c r="E138" s="1158"/>
      <c r="F138" s="1377"/>
      <c r="G138" s="1379"/>
      <c r="H138" s="1169"/>
      <c r="I138" s="750" t="s">
        <v>948</v>
      </c>
      <c r="J138" s="1158"/>
      <c r="K138" s="367"/>
      <c r="L138" s="1158"/>
      <c r="M138" s="1158">
        <v>1</v>
      </c>
      <c r="N138" s="771"/>
      <c r="O138" s="1163"/>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c r="AO138" s="460"/>
      <c r="AP138" s="460"/>
      <c r="AQ138" s="460"/>
      <c r="AR138" s="460"/>
      <c r="AS138" s="460"/>
      <c r="AT138" s="460"/>
      <c r="AU138" s="460"/>
      <c r="AV138" s="460"/>
      <c r="AW138" s="775"/>
      <c r="AY138" s="904"/>
      <c r="AZ138" s="904"/>
      <c r="BA138" s="1209"/>
      <c r="BB138" s="1209"/>
      <c r="BC138" s="1209"/>
      <c r="BD138" s="1209"/>
      <c r="BE138" s="1209"/>
      <c r="BF138" s="1209"/>
      <c r="BG138" s="1209"/>
      <c r="BH138" s="1145"/>
      <c r="BI138" s="1145"/>
      <c r="BJ138" s="1145"/>
      <c r="BK138" s="1145"/>
      <c r="BL138" s="1145"/>
      <c r="BM138" s="1145"/>
      <c r="BN138" s="1145"/>
      <c r="BO138" s="1145"/>
      <c r="BP138" s="1145"/>
      <c r="BQ138" s="1145"/>
      <c r="BR138" s="1145"/>
      <c r="BS138" s="1145"/>
      <c r="BT138" s="1145"/>
      <c r="BU138" s="1145"/>
      <c r="BV138" s="1145"/>
      <c r="BW138" s="1145"/>
      <c r="BX138" s="1145"/>
      <c r="BY138" s="1145"/>
    </row>
    <row r="139" spans="1:77" ht="63.75">
      <c r="A139" s="1377"/>
      <c r="B139" s="1375"/>
      <c r="C139" s="1379"/>
      <c r="D139" s="1367"/>
      <c r="E139" s="688" t="s">
        <v>950</v>
      </c>
      <c r="F139" s="1377"/>
      <c r="G139" s="1379"/>
      <c r="H139" s="693"/>
      <c r="I139" s="750" t="s">
        <v>951</v>
      </c>
      <c r="J139" s="688" t="s">
        <v>952</v>
      </c>
      <c r="K139" s="367"/>
      <c r="L139" s="688">
        <v>1</v>
      </c>
      <c r="M139" s="688">
        <v>1</v>
      </c>
      <c r="N139" s="374">
        <v>1</v>
      </c>
      <c r="O139" s="847" t="s">
        <v>1654</v>
      </c>
      <c r="P139" s="460"/>
      <c r="Q139" s="460"/>
      <c r="R139" s="460"/>
      <c r="S139" s="460"/>
      <c r="T139" s="460"/>
      <c r="U139" s="460"/>
      <c r="V139" s="460"/>
      <c r="W139" s="460"/>
      <c r="X139" s="460"/>
      <c r="Y139" s="460"/>
      <c r="Z139" s="460"/>
      <c r="AA139" s="460"/>
      <c r="AB139" s="460"/>
      <c r="AC139" s="460"/>
      <c r="AD139" s="460">
        <v>50000000</v>
      </c>
      <c r="AE139" s="460"/>
      <c r="AF139" s="460"/>
      <c r="AG139" s="460"/>
      <c r="AH139" s="460"/>
      <c r="AI139" s="460"/>
      <c r="AJ139" s="460"/>
      <c r="AK139" s="460"/>
      <c r="AL139" s="460"/>
      <c r="AM139" s="460"/>
      <c r="AN139" s="460"/>
      <c r="AO139" s="460"/>
      <c r="AP139" s="460"/>
      <c r="AQ139" s="460"/>
      <c r="AR139" s="460"/>
      <c r="AS139" s="460"/>
      <c r="AT139" s="460"/>
      <c r="AU139" s="460"/>
      <c r="AV139" s="460"/>
      <c r="AW139" s="775">
        <f aca="true" t="shared" si="14" ref="AW139:AW144">SUM(P139:AV139)</f>
        <v>50000000</v>
      </c>
      <c r="BA139" s="1209"/>
      <c r="BB139" s="1209"/>
      <c r="BC139" s="1209"/>
      <c r="BD139" s="1209"/>
      <c r="BE139" s="1209"/>
      <c r="BF139" s="1209"/>
      <c r="BG139" s="1209"/>
      <c r="BH139" s="1145"/>
      <c r="BI139" s="1145"/>
      <c r="BJ139" s="1145"/>
      <c r="BK139" s="1145"/>
      <c r="BL139" s="1145"/>
      <c r="BM139" s="1145"/>
      <c r="BN139" s="1145"/>
      <c r="BO139" s="1145"/>
      <c r="BP139" s="1145"/>
      <c r="BQ139" s="1145"/>
      <c r="BR139" s="1145"/>
      <c r="BS139" s="1145"/>
      <c r="BT139" s="1145"/>
      <c r="BU139" s="1145"/>
      <c r="BV139" s="1145"/>
      <c r="BW139" s="1145"/>
      <c r="BX139" s="1145"/>
      <c r="BY139" s="1145"/>
    </row>
    <row r="140" spans="1:77" ht="67.5">
      <c r="A140" s="1377"/>
      <c r="B140" s="1375"/>
      <c r="C140" s="1379"/>
      <c r="D140" s="1367" t="s">
        <v>953</v>
      </c>
      <c r="E140" s="688" t="s">
        <v>954</v>
      </c>
      <c r="F140" s="1377"/>
      <c r="G140" s="1379"/>
      <c r="H140" s="693"/>
      <c r="I140" s="750" t="s">
        <v>955</v>
      </c>
      <c r="J140" s="688" t="s">
        <v>956</v>
      </c>
      <c r="K140" s="367"/>
      <c r="L140" s="688">
        <v>1</v>
      </c>
      <c r="M140" s="688">
        <v>1</v>
      </c>
      <c r="N140" s="771"/>
      <c r="O140" s="1333" t="s">
        <v>1653</v>
      </c>
      <c r="P140" s="1294"/>
      <c r="Q140" s="1294"/>
      <c r="R140" s="1294"/>
      <c r="S140" s="1294"/>
      <c r="T140" s="1294"/>
      <c r="U140" s="1294"/>
      <c r="V140" s="1294"/>
      <c r="W140" s="1294"/>
      <c r="X140" s="1294"/>
      <c r="Y140" s="1294"/>
      <c r="Z140" s="1294"/>
      <c r="AA140" s="1294"/>
      <c r="AB140" s="1294"/>
      <c r="AC140" s="460"/>
      <c r="AD140" s="1294">
        <v>70000000</v>
      </c>
      <c r="AE140" s="1294"/>
      <c r="AF140" s="1294"/>
      <c r="AG140" s="1294"/>
      <c r="AH140" s="1294"/>
      <c r="AI140" s="460"/>
      <c r="AJ140" s="460"/>
      <c r="AK140" s="460"/>
      <c r="AL140" s="460"/>
      <c r="AM140" s="460"/>
      <c r="AN140" s="460"/>
      <c r="AO140" s="460"/>
      <c r="AP140" s="460"/>
      <c r="AQ140" s="460"/>
      <c r="AR140" s="1294"/>
      <c r="AS140" s="1294"/>
      <c r="AT140" s="1294"/>
      <c r="AU140" s="1294"/>
      <c r="AV140" s="1294"/>
      <c r="AW140" s="1295">
        <f t="shared" si="14"/>
        <v>70000000</v>
      </c>
      <c r="BA140" s="1209"/>
      <c r="BB140" s="1209"/>
      <c r="BC140" s="1209"/>
      <c r="BD140" s="1209"/>
      <c r="BE140" s="1209"/>
      <c r="BF140" s="1209"/>
      <c r="BG140" s="1209"/>
      <c r="BH140" s="1145"/>
      <c r="BI140" s="1145"/>
      <c r="BJ140" s="1145"/>
      <c r="BK140" s="1145"/>
      <c r="BL140" s="1145"/>
      <c r="BM140" s="1145"/>
      <c r="BN140" s="1145"/>
      <c r="BO140" s="1145"/>
      <c r="BP140" s="1145"/>
      <c r="BQ140" s="1145"/>
      <c r="BR140" s="1145"/>
      <c r="BS140" s="1145"/>
      <c r="BT140" s="1145"/>
      <c r="BU140" s="1145"/>
      <c r="BV140" s="1145"/>
      <c r="BW140" s="1145"/>
      <c r="BX140" s="1145"/>
      <c r="BY140" s="1145"/>
    </row>
    <row r="141" spans="1:77" ht="51">
      <c r="A141" s="1377"/>
      <c r="B141" s="1375"/>
      <c r="C141" s="1379"/>
      <c r="D141" s="1367"/>
      <c r="E141" s="1367" t="s">
        <v>957</v>
      </c>
      <c r="F141" s="1377"/>
      <c r="G141" s="1379"/>
      <c r="H141" s="693"/>
      <c r="I141" s="750" t="s">
        <v>958</v>
      </c>
      <c r="J141" s="688" t="s">
        <v>959</v>
      </c>
      <c r="K141" s="688">
        <v>100</v>
      </c>
      <c r="L141" s="688">
        <v>100</v>
      </c>
      <c r="M141" s="688">
        <v>100</v>
      </c>
      <c r="N141" s="374">
        <v>100</v>
      </c>
      <c r="O141" s="1333"/>
      <c r="P141" s="1294"/>
      <c r="Q141" s="1294"/>
      <c r="R141" s="1294"/>
      <c r="S141" s="1294"/>
      <c r="T141" s="1294"/>
      <c r="U141" s="1294"/>
      <c r="V141" s="1294"/>
      <c r="W141" s="1294"/>
      <c r="X141" s="1294"/>
      <c r="Y141" s="1294"/>
      <c r="Z141" s="1294"/>
      <c r="AA141" s="1294"/>
      <c r="AB141" s="1294"/>
      <c r="AC141" s="460"/>
      <c r="AD141" s="1294"/>
      <c r="AE141" s="1294"/>
      <c r="AF141" s="1294"/>
      <c r="AG141" s="1294"/>
      <c r="AH141" s="1294"/>
      <c r="AI141" s="460"/>
      <c r="AJ141" s="460"/>
      <c r="AK141" s="460"/>
      <c r="AL141" s="460"/>
      <c r="AM141" s="460"/>
      <c r="AN141" s="460"/>
      <c r="AO141" s="460"/>
      <c r="AP141" s="460"/>
      <c r="AQ141" s="460"/>
      <c r="AR141" s="1294"/>
      <c r="AS141" s="1294"/>
      <c r="AT141" s="1294"/>
      <c r="AU141" s="1294"/>
      <c r="AV141" s="1294"/>
      <c r="AW141" s="1295">
        <f t="shared" si="14"/>
        <v>0</v>
      </c>
      <c r="BA141" s="1209"/>
      <c r="BB141" s="1209"/>
      <c r="BC141" s="1209"/>
      <c r="BD141" s="1209"/>
      <c r="BE141" s="1209"/>
      <c r="BF141" s="1209"/>
      <c r="BG141" s="1209"/>
      <c r="BH141" s="1145"/>
      <c r="BI141" s="1145"/>
      <c r="BJ141" s="1145"/>
      <c r="BK141" s="1145"/>
      <c r="BL141" s="1145"/>
      <c r="BM141" s="1145"/>
      <c r="BN141" s="1145"/>
      <c r="BO141" s="1145"/>
      <c r="BP141" s="1145"/>
      <c r="BQ141" s="1145"/>
      <c r="BR141" s="1145"/>
      <c r="BS141" s="1145"/>
      <c r="BT141" s="1145"/>
      <c r="BU141" s="1145"/>
      <c r="BV141" s="1145"/>
      <c r="BW141" s="1145"/>
      <c r="BX141" s="1145"/>
      <c r="BY141" s="1145"/>
    </row>
    <row r="142" spans="1:77" ht="102" customHeight="1" hidden="1">
      <c r="A142" s="1377"/>
      <c r="B142" s="1375"/>
      <c r="C142" s="1379"/>
      <c r="D142" s="1367"/>
      <c r="E142" s="1367"/>
      <c r="F142" s="1377"/>
      <c r="G142" s="1379"/>
      <c r="H142" s="693"/>
      <c r="I142" s="750" t="s">
        <v>960</v>
      </c>
      <c r="J142" s="688" t="s">
        <v>961</v>
      </c>
      <c r="K142" s="367"/>
      <c r="L142" s="688">
        <v>1</v>
      </c>
      <c r="M142" s="367"/>
      <c r="N142" s="771"/>
      <c r="O142" s="1333"/>
      <c r="P142" s="1294"/>
      <c r="Q142" s="1294"/>
      <c r="R142" s="1294"/>
      <c r="S142" s="1294"/>
      <c r="T142" s="1294"/>
      <c r="U142" s="1294"/>
      <c r="V142" s="1294"/>
      <c r="W142" s="1294"/>
      <c r="X142" s="1294"/>
      <c r="Y142" s="1294"/>
      <c r="Z142" s="1294"/>
      <c r="AA142" s="1294"/>
      <c r="AB142" s="1294"/>
      <c r="AC142" s="460"/>
      <c r="AD142" s="1294"/>
      <c r="AE142" s="1294"/>
      <c r="AF142" s="1294"/>
      <c r="AG142" s="1294"/>
      <c r="AH142" s="1294"/>
      <c r="AI142" s="460"/>
      <c r="AJ142" s="460"/>
      <c r="AK142" s="460"/>
      <c r="AL142" s="460"/>
      <c r="AM142" s="460"/>
      <c r="AN142" s="460"/>
      <c r="AO142" s="460"/>
      <c r="AP142" s="460"/>
      <c r="AQ142" s="460"/>
      <c r="AR142" s="1294"/>
      <c r="AS142" s="1294"/>
      <c r="AT142" s="1294"/>
      <c r="AU142" s="1294"/>
      <c r="AV142" s="1294"/>
      <c r="AW142" s="1295">
        <f t="shared" si="14"/>
        <v>0</v>
      </c>
      <c r="BA142" s="1209"/>
      <c r="BB142" s="1209"/>
      <c r="BC142" s="1209"/>
      <c r="BD142" s="1209"/>
      <c r="BE142" s="1209"/>
      <c r="BF142" s="1209"/>
      <c r="BG142" s="1209"/>
      <c r="BH142" s="1145"/>
      <c r="BI142" s="1145"/>
      <c r="BJ142" s="1145"/>
      <c r="BK142" s="1145"/>
      <c r="BL142" s="1145"/>
      <c r="BM142" s="1145"/>
      <c r="BN142" s="1145"/>
      <c r="BO142" s="1145"/>
      <c r="BP142" s="1145"/>
      <c r="BQ142" s="1145"/>
      <c r="BR142" s="1145"/>
      <c r="BS142" s="1145"/>
      <c r="BT142" s="1145"/>
      <c r="BU142" s="1145"/>
      <c r="BV142" s="1145"/>
      <c r="BW142" s="1145"/>
      <c r="BX142" s="1145"/>
      <c r="BY142" s="1145"/>
    </row>
    <row r="143" spans="1:77" ht="38.25" customHeight="1" hidden="1">
      <c r="A143" s="1377"/>
      <c r="B143" s="1375"/>
      <c r="C143" s="1379"/>
      <c r="D143" s="1367"/>
      <c r="E143" s="1367"/>
      <c r="F143" s="1377"/>
      <c r="G143" s="1379"/>
      <c r="H143" s="693"/>
      <c r="I143" s="750" t="s">
        <v>962</v>
      </c>
      <c r="J143" s="688" t="s">
        <v>963</v>
      </c>
      <c r="K143" s="367"/>
      <c r="L143" s="688">
        <v>1</v>
      </c>
      <c r="M143" s="367"/>
      <c r="N143" s="771"/>
      <c r="O143" s="1333"/>
      <c r="P143" s="1294"/>
      <c r="Q143" s="1294"/>
      <c r="R143" s="1294"/>
      <c r="S143" s="1294"/>
      <c r="T143" s="1294"/>
      <c r="U143" s="1294"/>
      <c r="V143" s="1294"/>
      <c r="W143" s="1294"/>
      <c r="X143" s="1294"/>
      <c r="Y143" s="1294"/>
      <c r="Z143" s="1294"/>
      <c r="AA143" s="1294"/>
      <c r="AB143" s="1294"/>
      <c r="AC143" s="460"/>
      <c r="AD143" s="1294"/>
      <c r="AE143" s="1294"/>
      <c r="AF143" s="1294"/>
      <c r="AG143" s="1294"/>
      <c r="AH143" s="1294"/>
      <c r="AI143" s="460"/>
      <c r="AJ143" s="460"/>
      <c r="AK143" s="460"/>
      <c r="AL143" s="460"/>
      <c r="AM143" s="460"/>
      <c r="AN143" s="460"/>
      <c r="AO143" s="460"/>
      <c r="AP143" s="460"/>
      <c r="AQ143" s="460"/>
      <c r="AR143" s="1294"/>
      <c r="AS143" s="1294"/>
      <c r="AT143" s="1294"/>
      <c r="AU143" s="1294"/>
      <c r="AV143" s="1294"/>
      <c r="AW143" s="1295">
        <f t="shared" si="14"/>
        <v>0</v>
      </c>
      <c r="BA143" s="1209"/>
      <c r="BB143" s="1209"/>
      <c r="BC143" s="1209"/>
      <c r="BD143" s="1209"/>
      <c r="BE143" s="1209"/>
      <c r="BF143" s="1209"/>
      <c r="BG143" s="1209"/>
      <c r="BH143" s="1145"/>
      <c r="BI143" s="1145"/>
      <c r="BJ143" s="1145"/>
      <c r="BK143" s="1145"/>
      <c r="BL143" s="1145"/>
      <c r="BM143" s="1145"/>
      <c r="BN143" s="1145"/>
      <c r="BO143" s="1145"/>
      <c r="BP143" s="1145"/>
      <c r="BQ143" s="1145"/>
      <c r="BR143" s="1145"/>
      <c r="BS143" s="1145"/>
      <c r="BT143" s="1145"/>
      <c r="BU143" s="1145"/>
      <c r="BV143" s="1145"/>
      <c r="BW143" s="1145"/>
      <c r="BX143" s="1145"/>
      <c r="BY143" s="1145"/>
    </row>
    <row r="144" spans="1:77" ht="57.75" customHeight="1" thickBot="1">
      <c r="A144" s="1377"/>
      <c r="B144" s="1375"/>
      <c r="C144" s="1379"/>
      <c r="D144" s="1367"/>
      <c r="E144" s="688" t="s">
        <v>964</v>
      </c>
      <c r="F144" s="1377"/>
      <c r="G144" s="1379"/>
      <c r="H144" s="693"/>
      <c r="I144" s="750" t="s">
        <v>965</v>
      </c>
      <c r="J144" s="688" t="s">
        <v>966</v>
      </c>
      <c r="K144" s="688">
        <v>2</v>
      </c>
      <c r="L144" s="688">
        <v>2</v>
      </c>
      <c r="M144" s="688">
        <v>2</v>
      </c>
      <c r="N144" s="374">
        <v>2</v>
      </c>
      <c r="O144" s="1305"/>
      <c r="P144" s="1298"/>
      <c r="Q144" s="1298"/>
      <c r="R144" s="1298"/>
      <c r="S144" s="1298"/>
      <c r="T144" s="1298"/>
      <c r="U144" s="1298"/>
      <c r="V144" s="1298"/>
      <c r="W144" s="1298"/>
      <c r="X144" s="1298"/>
      <c r="Y144" s="1298"/>
      <c r="Z144" s="1298"/>
      <c r="AA144" s="1298"/>
      <c r="AB144" s="1298"/>
      <c r="AC144" s="835"/>
      <c r="AD144" s="1298"/>
      <c r="AE144" s="1298"/>
      <c r="AF144" s="1298"/>
      <c r="AG144" s="1298"/>
      <c r="AH144" s="1298"/>
      <c r="AI144" s="835"/>
      <c r="AJ144" s="835"/>
      <c r="AK144" s="835"/>
      <c r="AL144" s="835"/>
      <c r="AM144" s="835"/>
      <c r="AN144" s="835"/>
      <c r="AO144" s="835"/>
      <c r="AP144" s="835"/>
      <c r="AQ144" s="835"/>
      <c r="AR144" s="1298"/>
      <c r="AS144" s="1298"/>
      <c r="AT144" s="1298"/>
      <c r="AU144" s="1298"/>
      <c r="AV144" s="1298"/>
      <c r="AW144" s="1299">
        <f t="shared" si="14"/>
        <v>0</v>
      </c>
      <c r="BA144" s="1210"/>
      <c r="BB144" s="1210"/>
      <c r="BC144" s="1210"/>
      <c r="BD144" s="1210"/>
      <c r="BE144" s="1210"/>
      <c r="BF144" s="1210"/>
      <c r="BG144" s="1210"/>
      <c r="BH144" s="1145"/>
      <c r="BI144" s="1145"/>
      <c r="BJ144" s="1145"/>
      <c r="BK144" s="1145"/>
      <c r="BL144" s="1145"/>
      <c r="BM144" s="1145"/>
      <c r="BN144" s="1145"/>
      <c r="BO144" s="1145"/>
      <c r="BP144" s="1145"/>
      <c r="BQ144" s="1145"/>
      <c r="BR144" s="1145"/>
      <c r="BS144" s="1145"/>
      <c r="BT144" s="1145"/>
      <c r="BU144" s="1145"/>
      <c r="BV144" s="1145"/>
      <c r="BW144" s="1145"/>
      <c r="BX144" s="1145"/>
      <c r="BY144" s="1145"/>
    </row>
    <row r="145" spans="1:77" ht="34.5" hidden="1" thickBot="1">
      <c r="A145" s="1377"/>
      <c r="B145" s="1375"/>
      <c r="C145" s="1379"/>
      <c r="D145" s="1367" t="s">
        <v>967</v>
      </c>
      <c r="E145" s="1367" t="s">
        <v>968</v>
      </c>
      <c r="F145" s="1377"/>
      <c r="G145" s="1379"/>
      <c r="H145" s="693"/>
      <c r="I145" s="750" t="s">
        <v>970</v>
      </c>
      <c r="J145" s="688" t="s">
        <v>971</v>
      </c>
      <c r="K145" s="688">
        <v>1</v>
      </c>
      <c r="L145" s="688"/>
      <c r="M145" s="688"/>
      <c r="N145" s="367"/>
      <c r="O145" s="848"/>
      <c r="BA145" s="1155"/>
      <c r="BB145" s="1155"/>
      <c r="BC145" s="1155"/>
      <c r="BD145" s="1155"/>
      <c r="BE145" s="1155"/>
      <c r="BF145" s="1155"/>
      <c r="BG145" s="1155"/>
      <c r="BH145" s="1145"/>
      <c r="BI145" s="1145"/>
      <c r="BJ145" s="1145"/>
      <c r="BK145" s="1145"/>
      <c r="BL145" s="1145"/>
      <c r="BM145" s="1145"/>
      <c r="BN145" s="1145"/>
      <c r="BO145" s="1145"/>
      <c r="BP145" s="1145"/>
      <c r="BQ145" s="1145"/>
      <c r="BR145" s="1145"/>
      <c r="BS145" s="1145"/>
      <c r="BT145" s="1145"/>
      <c r="BU145" s="1145"/>
      <c r="BV145" s="1145"/>
      <c r="BW145" s="1145"/>
      <c r="BX145" s="1145"/>
      <c r="BY145" s="1145"/>
    </row>
    <row r="146" spans="1:77" ht="51.75" hidden="1" thickBot="1">
      <c r="A146" s="1377"/>
      <c r="B146" s="1375"/>
      <c r="C146" s="1379"/>
      <c r="D146" s="1367"/>
      <c r="E146" s="1367"/>
      <c r="F146" s="1377"/>
      <c r="G146" s="1379"/>
      <c r="H146" s="693"/>
      <c r="I146" s="750" t="s">
        <v>972</v>
      </c>
      <c r="J146" s="688" t="s">
        <v>973</v>
      </c>
      <c r="K146" s="688"/>
      <c r="L146" s="367">
        <v>1</v>
      </c>
      <c r="M146" s="688"/>
      <c r="N146" s="688"/>
      <c r="O146" s="848"/>
      <c r="BA146" s="1155"/>
      <c r="BB146" s="1155"/>
      <c r="BC146" s="1155"/>
      <c r="BD146" s="1155"/>
      <c r="BE146" s="1155"/>
      <c r="BF146" s="1155"/>
      <c r="BG146" s="1155"/>
      <c r="BH146" s="1145"/>
      <c r="BI146" s="1145"/>
      <c r="BJ146" s="1145"/>
      <c r="BK146" s="1145"/>
      <c r="BL146" s="1145"/>
      <c r="BM146" s="1145"/>
      <c r="BN146" s="1145"/>
      <c r="BO146" s="1145"/>
      <c r="BP146" s="1145"/>
      <c r="BQ146" s="1145"/>
      <c r="BR146" s="1145"/>
      <c r="BS146" s="1145"/>
      <c r="BT146" s="1145"/>
      <c r="BU146" s="1145"/>
      <c r="BV146" s="1145"/>
      <c r="BW146" s="1145"/>
      <c r="BX146" s="1145"/>
      <c r="BY146" s="1145"/>
    </row>
    <row r="147" spans="1:77" ht="102.75" hidden="1" thickBot="1">
      <c r="A147" s="1377"/>
      <c r="B147" s="1375"/>
      <c r="C147" s="1379"/>
      <c r="D147" s="688" t="s">
        <v>974</v>
      </c>
      <c r="E147" s="1367"/>
      <c r="F147" s="1378"/>
      <c r="G147" s="1379"/>
      <c r="H147" s="693"/>
      <c r="I147" s="764" t="s">
        <v>975</v>
      </c>
      <c r="J147" s="732" t="s">
        <v>976</v>
      </c>
      <c r="K147" s="728"/>
      <c r="L147" s="732">
        <v>1</v>
      </c>
      <c r="M147" s="732"/>
      <c r="N147" s="728"/>
      <c r="O147" s="848"/>
      <c r="BA147" s="1155"/>
      <c r="BB147" s="1155"/>
      <c r="BC147" s="1155"/>
      <c r="BD147" s="1155"/>
      <c r="BE147" s="1155"/>
      <c r="BF147" s="1155"/>
      <c r="BG147" s="1155"/>
      <c r="BH147" s="1145"/>
      <c r="BI147" s="1145"/>
      <c r="BJ147" s="1145"/>
      <c r="BK147" s="1145"/>
      <c r="BL147" s="1145"/>
      <c r="BM147" s="1145"/>
      <c r="BN147" s="1145"/>
      <c r="BO147" s="1145"/>
      <c r="BP147" s="1145"/>
      <c r="BQ147" s="1145"/>
      <c r="BR147" s="1145"/>
      <c r="BS147" s="1145"/>
      <c r="BT147" s="1145"/>
      <c r="BU147" s="1145"/>
      <c r="BV147" s="1145"/>
      <c r="BW147" s="1145"/>
      <c r="BX147" s="1145"/>
      <c r="BY147" s="1145"/>
    </row>
    <row r="148" spans="1:77" ht="27" thickBot="1">
      <c r="A148" s="1377"/>
      <c r="B148" s="1375"/>
      <c r="C148" s="1379"/>
      <c r="D148" s="718"/>
      <c r="E148" s="718"/>
      <c r="F148" s="721"/>
      <c r="G148" s="723"/>
      <c r="H148" s="776"/>
      <c r="I148" s="1243" t="s">
        <v>1708</v>
      </c>
      <c r="J148" s="1244"/>
      <c r="K148" s="1244"/>
      <c r="L148" s="1244"/>
      <c r="M148" s="1244"/>
      <c r="N148" s="1244"/>
      <c r="O148" s="1346"/>
      <c r="P148" s="844">
        <f>SUM(P135:P144)</f>
        <v>0</v>
      </c>
      <c r="Q148" s="821">
        <f aca="true" t="shared" si="15" ref="Q148:AW148">SUM(Q135:Q144)</f>
        <v>0</v>
      </c>
      <c r="R148" s="821">
        <f t="shared" si="15"/>
        <v>0</v>
      </c>
      <c r="S148" s="821">
        <f t="shared" si="15"/>
        <v>0</v>
      </c>
      <c r="T148" s="821">
        <f t="shared" si="15"/>
        <v>0</v>
      </c>
      <c r="U148" s="821">
        <f t="shared" si="15"/>
        <v>0</v>
      </c>
      <c r="V148" s="821">
        <f t="shared" si="15"/>
        <v>0</v>
      </c>
      <c r="W148" s="821">
        <f t="shared" si="15"/>
        <v>0</v>
      </c>
      <c r="X148" s="821">
        <f t="shared" si="15"/>
        <v>0</v>
      </c>
      <c r="Y148" s="821">
        <f t="shared" si="15"/>
        <v>0</v>
      </c>
      <c r="Z148" s="821">
        <f t="shared" si="15"/>
        <v>0</v>
      </c>
      <c r="AA148" s="821">
        <f t="shared" si="15"/>
        <v>0</v>
      </c>
      <c r="AB148" s="821">
        <f t="shared" si="15"/>
        <v>0</v>
      </c>
      <c r="AC148" s="821">
        <f t="shared" si="15"/>
        <v>0</v>
      </c>
      <c r="AD148" s="821">
        <f t="shared" si="15"/>
        <v>300000000</v>
      </c>
      <c r="AE148" s="821">
        <f t="shared" si="15"/>
        <v>0</v>
      </c>
      <c r="AF148" s="821">
        <f t="shared" si="15"/>
        <v>0</v>
      </c>
      <c r="AG148" s="821">
        <f t="shared" si="15"/>
        <v>0</v>
      </c>
      <c r="AH148" s="821">
        <f t="shared" si="15"/>
        <v>0</v>
      </c>
      <c r="AI148" s="821">
        <f t="shared" si="15"/>
        <v>0</v>
      </c>
      <c r="AJ148" s="821">
        <f t="shared" si="15"/>
        <v>0</v>
      </c>
      <c r="AK148" s="821">
        <f t="shared" si="15"/>
        <v>0</v>
      </c>
      <c r="AL148" s="821">
        <f t="shared" si="15"/>
        <v>0</v>
      </c>
      <c r="AM148" s="821">
        <f t="shared" si="15"/>
        <v>0</v>
      </c>
      <c r="AN148" s="821">
        <f t="shared" si="15"/>
        <v>0</v>
      </c>
      <c r="AO148" s="821">
        <f t="shared" si="15"/>
        <v>0</v>
      </c>
      <c r="AP148" s="821">
        <f t="shared" si="15"/>
        <v>0</v>
      </c>
      <c r="AQ148" s="821">
        <f t="shared" si="15"/>
        <v>0</v>
      </c>
      <c r="AR148" s="821">
        <f t="shared" si="15"/>
        <v>0</v>
      </c>
      <c r="AS148" s="821">
        <f t="shared" si="15"/>
        <v>0</v>
      </c>
      <c r="AT148" s="821">
        <f t="shared" si="15"/>
        <v>0</v>
      </c>
      <c r="AU148" s="821">
        <f t="shared" si="15"/>
        <v>0</v>
      </c>
      <c r="AV148" s="821">
        <f t="shared" si="15"/>
        <v>0</v>
      </c>
      <c r="AW148" s="821">
        <f t="shared" si="15"/>
        <v>300000000</v>
      </c>
      <c r="BA148" s="1155"/>
      <c r="BB148" s="1155"/>
      <c r="BC148" s="1155"/>
      <c r="BD148" s="1155"/>
      <c r="BE148" s="1155"/>
      <c r="BF148" s="1155"/>
      <c r="BG148" s="1155"/>
      <c r="BH148" s="1145"/>
      <c r="BI148" s="1145"/>
      <c r="BJ148" s="1145"/>
      <c r="BK148" s="1145"/>
      <c r="BL148" s="1145"/>
      <c r="BM148" s="1145"/>
      <c r="BN148" s="1145"/>
      <c r="BO148" s="1145"/>
      <c r="BP148" s="1145"/>
      <c r="BQ148" s="1145"/>
      <c r="BR148" s="1145"/>
      <c r="BS148" s="1145"/>
      <c r="BT148" s="1145"/>
      <c r="BU148" s="1145"/>
      <c r="BV148" s="1145"/>
      <c r="BW148" s="1145"/>
      <c r="BX148" s="1145"/>
      <c r="BY148" s="1145"/>
    </row>
    <row r="149" spans="1:77" ht="51">
      <c r="A149" s="1377"/>
      <c r="B149" s="1375"/>
      <c r="C149" s="1379"/>
      <c r="D149" s="1367" t="s">
        <v>977</v>
      </c>
      <c r="E149" s="1367" t="s">
        <v>978</v>
      </c>
      <c r="F149" s="1376">
        <v>1</v>
      </c>
      <c r="G149" s="1375" t="s">
        <v>979</v>
      </c>
      <c r="H149" s="693"/>
      <c r="I149" s="765" t="s">
        <v>980</v>
      </c>
      <c r="J149" s="739" t="s">
        <v>981</v>
      </c>
      <c r="K149" s="739">
        <v>1</v>
      </c>
      <c r="L149" s="739">
        <v>1</v>
      </c>
      <c r="M149" s="739">
        <v>1</v>
      </c>
      <c r="N149" s="739">
        <v>1</v>
      </c>
      <c r="O149" s="1344" t="s">
        <v>1656</v>
      </c>
      <c r="P149" s="1304"/>
      <c r="Q149" s="1297"/>
      <c r="R149" s="1297"/>
      <c r="S149" s="1297"/>
      <c r="T149" s="1297"/>
      <c r="U149" s="1297"/>
      <c r="V149" s="1297"/>
      <c r="W149" s="1297"/>
      <c r="X149" s="1297"/>
      <c r="Y149" s="1297"/>
      <c r="Z149" s="1297"/>
      <c r="AA149" s="1297"/>
      <c r="AB149" s="1297"/>
      <c r="AC149" s="826"/>
      <c r="AD149" s="1297">
        <v>50000000</v>
      </c>
      <c r="AE149" s="1297"/>
      <c r="AF149" s="1297"/>
      <c r="AG149" s="1297"/>
      <c r="AH149" s="1297"/>
      <c r="AI149" s="826"/>
      <c r="AJ149" s="826"/>
      <c r="AK149" s="826"/>
      <c r="AL149" s="826"/>
      <c r="AM149" s="826"/>
      <c r="AN149" s="826"/>
      <c r="AO149" s="826"/>
      <c r="AP149" s="826"/>
      <c r="AQ149" s="826"/>
      <c r="AR149" s="1297"/>
      <c r="AS149" s="1297"/>
      <c r="AT149" s="1297"/>
      <c r="AU149" s="1297"/>
      <c r="AV149" s="1297"/>
      <c r="AW149" s="1296">
        <f>SUM(P149:AV149)</f>
        <v>50000000</v>
      </c>
      <c r="BA149" s="1208" t="s">
        <v>1827</v>
      </c>
      <c r="BB149" s="1208" t="s">
        <v>1850</v>
      </c>
      <c r="BC149" s="1208" t="s">
        <v>1850</v>
      </c>
      <c r="BD149" s="1208" t="s">
        <v>1850</v>
      </c>
      <c r="BE149" s="1208" t="s">
        <v>1850</v>
      </c>
      <c r="BF149" s="1208" t="s">
        <v>1851</v>
      </c>
      <c r="BG149" s="1208">
        <v>4</v>
      </c>
      <c r="BH149" s="1145"/>
      <c r="BI149" s="1145"/>
      <c r="BJ149" s="1145"/>
      <c r="BK149" s="1145"/>
      <c r="BL149" s="1145"/>
      <c r="BM149" s="1145"/>
      <c r="BN149" s="1145"/>
      <c r="BO149" s="1145"/>
      <c r="BP149" s="1145"/>
      <c r="BQ149" s="1145"/>
      <c r="BR149" s="1145"/>
      <c r="BS149" s="1145"/>
      <c r="BT149" s="1145"/>
      <c r="BU149" s="1145"/>
      <c r="BV149" s="1145"/>
      <c r="BW149" s="1145"/>
      <c r="BX149" s="1145"/>
      <c r="BY149" s="1145"/>
    </row>
    <row r="150" spans="1:77" ht="57" thickBot="1">
      <c r="A150" s="1377"/>
      <c r="B150" s="1375"/>
      <c r="C150" s="1379"/>
      <c r="D150" s="1367"/>
      <c r="E150" s="1367"/>
      <c r="F150" s="1378"/>
      <c r="G150" s="1375"/>
      <c r="H150" s="693"/>
      <c r="I150" s="764" t="s">
        <v>982</v>
      </c>
      <c r="J150" s="732" t="s">
        <v>983</v>
      </c>
      <c r="K150" s="732">
        <v>1</v>
      </c>
      <c r="L150" s="732">
        <v>1</v>
      </c>
      <c r="M150" s="732">
        <v>1</v>
      </c>
      <c r="N150" s="732">
        <v>1</v>
      </c>
      <c r="O150" s="1344"/>
      <c r="P150" s="1305"/>
      <c r="Q150" s="1298"/>
      <c r="R150" s="1298"/>
      <c r="S150" s="1298"/>
      <c r="T150" s="1298"/>
      <c r="U150" s="1298"/>
      <c r="V150" s="1298"/>
      <c r="W150" s="1298"/>
      <c r="X150" s="1298"/>
      <c r="Y150" s="1298"/>
      <c r="Z150" s="1298"/>
      <c r="AA150" s="1298"/>
      <c r="AB150" s="1298"/>
      <c r="AC150" s="835"/>
      <c r="AD150" s="1298"/>
      <c r="AE150" s="1298"/>
      <c r="AF150" s="1298"/>
      <c r="AG150" s="1298"/>
      <c r="AH150" s="1298"/>
      <c r="AI150" s="835"/>
      <c r="AJ150" s="835"/>
      <c r="AK150" s="835"/>
      <c r="AL150" s="835"/>
      <c r="AM150" s="835"/>
      <c r="AN150" s="835"/>
      <c r="AO150" s="835"/>
      <c r="AP150" s="835"/>
      <c r="AQ150" s="835"/>
      <c r="AR150" s="1298"/>
      <c r="AS150" s="1298"/>
      <c r="AT150" s="1298"/>
      <c r="AU150" s="1298"/>
      <c r="AV150" s="1298"/>
      <c r="AW150" s="1299">
        <f>SUM(P150:AV150)</f>
        <v>0</v>
      </c>
      <c r="BA150" s="1210"/>
      <c r="BB150" s="1210"/>
      <c r="BC150" s="1210"/>
      <c r="BD150" s="1210"/>
      <c r="BE150" s="1210"/>
      <c r="BF150" s="1210"/>
      <c r="BG150" s="1210"/>
      <c r="BH150" s="1145"/>
      <c r="BI150" s="1145"/>
      <c r="BJ150" s="1145"/>
      <c r="BK150" s="1145"/>
      <c r="BL150" s="1145"/>
      <c r="BM150" s="1145"/>
      <c r="BN150" s="1145"/>
      <c r="BO150" s="1145"/>
      <c r="BP150" s="1145"/>
      <c r="BQ150" s="1145"/>
      <c r="BR150" s="1145"/>
      <c r="BS150" s="1145"/>
      <c r="BT150" s="1145"/>
      <c r="BU150" s="1145"/>
      <c r="BV150" s="1145"/>
      <c r="BW150" s="1145"/>
      <c r="BX150" s="1145"/>
      <c r="BY150" s="1145"/>
    </row>
    <row r="151" spans="1:77" ht="26.25" customHeight="1" thickBot="1">
      <c r="A151" s="1377"/>
      <c r="B151" s="1375"/>
      <c r="C151" s="723"/>
      <c r="D151" s="732"/>
      <c r="E151" s="732"/>
      <c r="F151" s="721"/>
      <c r="G151" s="719"/>
      <c r="H151" s="776"/>
      <c r="I151" s="1243" t="s">
        <v>1709</v>
      </c>
      <c r="J151" s="1244"/>
      <c r="K151" s="1244"/>
      <c r="L151" s="1244"/>
      <c r="M151" s="1244"/>
      <c r="N151" s="1244"/>
      <c r="O151" s="1346"/>
      <c r="P151" s="849">
        <f>SUM(P149)</f>
        <v>0</v>
      </c>
      <c r="Q151" s="850">
        <f aca="true" t="shared" si="16" ref="Q151:AW151">SUM(Q149)</f>
        <v>0</v>
      </c>
      <c r="R151" s="850">
        <f t="shared" si="16"/>
        <v>0</v>
      </c>
      <c r="S151" s="850">
        <f t="shared" si="16"/>
        <v>0</v>
      </c>
      <c r="T151" s="850">
        <f t="shared" si="16"/>
        <v>0</v>
      </c>
      <c r="U151" s="850">
        <f t="shared" si="16"/>
        <v>0</v>
      </c>
      <c r="V151" s="850">
        <f t="shared" si="16"/>
        <v>0</v>
      </c>
      <c r="W151" s="850">
        <f t="shared" si="16"/>
        <v>0</v>
      </c>
      <c r="X151" s="850">
        <f t="shared" si="16"/>
        <v>0</v>
      </c>
      <c r="Y151" s="850">
        <f t="shared" si="16"/>
        <v>0</v>
      </c>
      <c r="Z151" s="850">
        <f t="shared" si="16"/>
        <v>0</v>
      </c>
      <c r="AA151" s="850">
        <f t="shared" si="16"/>
        <v>0</v>
      </c>
      <c r="AB151" s="850">
        <f t="shared" si="16"/>
        <v>0</v>
      </c>
      <c r="AC151" s="850">
        <f t="shared" si="16"/>
        <v>0</v>
      </c>
      <c r="AD151" s="850">
        <f t="shared" si="16"/>
        <v>50000000</v>
      </c>
      <c r="AE151" s="850">
        <f t="shared" si="16"/>
        <v>0</v>
      </c>
      <c r="AF151" s="850">
        <f t="shared" si="16"/>
        <v>0</v>
      </c>
      <c r="AG151" s="850">
        <f t="shared" si="16"/>
        <v>0</v>
      </c>
      <c r="AH151" s="850">
        <f t="shared" si="16"/>
        <v>0</v>
      </c>
      <c r="AI151" s="850">
        <f t="shared" si="16"/>
        <v>0</v>
      </c>
      <c r="AJ151" s="850">
        <f t="shared" si="16"/>
        <v>0</v>
      </c>
      <c r="AK151" s="850">
        <f t="shared" si="16"/>
        <v>0</v>
      </c>
      <c r="AL151" s="850">
        <f t="shared" si="16"/>
        <v>0</v>
      </c>
      <c r="AM151" s="850">
        <f t="shared" si="16"/>
        <v>0</v>
      </c>
      <c r="AN151" s="850">
        <f t="shared" si="16"/>
        <v>0</v>
      </c>
      <c r="AO151" s="850">
        <f t="shared" si="16"/>
        <v>0</v>
      </c>
      <c r="AP151" s="850">
        <f t="shared" si="16"/>
        <v>0</v>
      </c>
      <c r="AQ151" s="850">
        <f t="shared" si="16"/>
        <v>0</v>
      </c>
      <c r="AR151" s="850">
        <f t="shared" si="16"/>
        <v>0</v>
      </c>
      <c r="AS151" s="850">
        <f t="shared" si="16"/>
        <v>0</v>
      </c>
      <c r="AT151" s="850">
        <f t="shared" si="16"/>
        <v>0</v>
      </c>
      <c r="AU151" s="850">
        <f t="shared" si="16"/>
        <v>0</v>
      </c>
      <c r="AV151" s="850">
        <f t="shared" si="16"/>
        <v>0</v>
      </c>
      <c r="AW151" s="851">
        <f t="shared" si="16"/>
        <v>50000000</v>
      </c>
      <c r="BA151" s="1155"/>
      <c r="BB151" s="1155"/>
      <c r="BC151" s="1155"/>
      <c r="BD151" s="1155"/>
      <c r="BE151" s="1155"/>
      <c r="BF151" s="1155"/>
      <c r="BG151" s="1155"/>
      <c r="BH151" s="1145"/>
      <c r="BI151" s="1145"/>
      <c r="BJ151" s="1145"/>
      <c r="BK151" s="1145"/>
      <c r="BL151" s="1145"/>
      <c r="BM151" s="1145"/>
      <c r="BN151" s="1145"/>
      <c r="BO151" s="1145"/>
      <c r="BP151" s="1145"/>
      <c r="BQ151" s="1145"/>
      <c r="BR151" s="1145"/>
      <c r="BS151" s="1145"/>
      <c r="BT151" s="1145"/>
      <c r="BU151" s="1145"/>
      <c r="BV151" s="1145"/>
      <c r="BW151" s="1145"/>
      <c r="BX151" s="1145"/>
      <c r="BY151" s="1145"/>
    </row>
    <row r="152" spans="1:77" ht="330" customHeight="1">
      <c r="A152" s="1377"/>
      <c r="B152" s="1375"/>
      <c r="C152" s="1379" t="s">
        <v>984</v>
      </c>
      <c r="D152" s="1362" t="s">
        <v>985</v>
      </c>
      <c r="E152" s="1362" t="s">
        <v>986</v>
      </c>
      <c r="F152" s="1376">
        <v>4</v>
      </c>
      <c r="G152" s="1385"/>
      <c r="H152" s="693"/>
      <c r="I152" s="814" t="s">
        <v>988</v>
      </c>
      <c r="J152" s="1397" t="s">
        <v>989</v>
      </c>
      <c r="K152" s="797">
        <v>1</v>
      </c>
      <c r="L152" s="797">
        <v>1</v>
      </c>
      <c r="M152" s="797">
        <v>1</v>
      </c>
      <c r="N152" s="798">
        <v>1</v>
      </c>
      <c r="O152" s="1345" t="s">
        <v>1681</v>
      </c>
      <c r="P152" s="1297"/>
      <c r="Q152" s="1297"/>
      <c r="R152" s="1297"/>
      <c r="S152" s="1297"/>
      <c r="T152" s="1297"/>
      <c r="U152" s="1297"/>
      <c r="V152" s="1297"/>
      <c r="W152" s="1297"/>
      <c r="X152" s="1297"/>
      <c r="Y152" s="1297"/>
      <c r="Z152" s="1297"/>
      <c r="AA152" s="1297"/>
      <c r="AB152" s="1297"/>
      <c r="AC152" s="826"/>
      <c r="AD152" s="1297">
        <v>350000000</v>
      </c>
      <c r="AE152" s="1297"/>
      <c r="AF152" s="1297"/>
      <c r="AG152" s="1297"/>
      <c r="AH152" s="1297"/>
      <c r="AI152" s="826"/>
      <c r="AJ152" s="826"/>
      <c r="AK152" s="826"/>
      <c r="AL152" s="826"/>
      <c r="AM152" s="826"/>
      <c r="AN152" s="826"/>
      <c r="AO152" s="826"/>
      <c r="AP152" s="826"/>
      <c r="AQ152" s="826"/>
      <c r="AR152" s="1297"/>
      <c r="AS152" s="1297"/>
      <c r="AT152" s="1297"/>
      <c r="AU152" s="1297"/>
      <c r="AV152" s="1297"/>
      <c r="AW152" s="1296">
        <f aca="true" t="shared" si="17" ref="AW152:AW213">SUM(P152:AV152)</f>
        <v>350000000</v>
      </c>
      <c r="BA152" s="1155" t="s">
        <v>1828</v>
      </c>
      <c r="BB152" s="1155" t="s">
        <v>1850</v>
      </c>
      <c r="BC152" s="1155" t="s">
        <v>1850</v>
      </c>
      <c r="BD152" s="1155" t="s">
        <v>1850</v>
      </c>
      <c r="BE152" s="1155" t="s">
        <v>1850</v>
      </c>
      <c r="BF152" s="1155" t="s">
        <v>1851</v>
      </c>
      <c r="BG152" s="1155">
        <v>4</v>
      </c>
      <c r="BH152" s="1145"/>
      <c r="BI152" s="1145"/>
      <c r="BJ152" s="1145"/>
      <c r="BK152" s="1145"/>
      <c r="BL152" s="1145"/>
      <c r="BM152" s="1145"/>
      <c r="BN152" s="1145"/>
      <c r="BO152" s="1145"/>
      <c r="BP152" s="1145"/>
      <c r="BQ152" s="1145"/>
      <c r="BR152" s="1145"/>
      <c r="BS152" s="1145"/>
      <c r="BT152" s="1145"/>
      <c r="BU152" s="1145"/>
      <c r="BV152" s="1145"/>
      <c r="BW152" s="1145"/>
      <c r="BX152" s="1145"/>
      <c r="BY152" s="1145"/>
    </row>
    <row r="153" spans="1:77" ht="276.75" customHeight="1">
      <c r="A153" s="1377"/>
      <c r="B153" s="1375"/>
      <c r="C153" s="1379"/>
      <c r="D153" s="1395"/>
      <c r="E153" s="1395"/>
      <c r="F153" s="1377"/>
      <c r="G153" s="1399"/>
      <c r="H153" s="693"/>
      <c r="I153" s="751" t="s">
        <v>991</v>
      </c>
      <c r="J153" s="1398"/>
      <c r="K153" s="685">
        <v>1</v>
      </c>
      <c r="L153" s="685">
        <v>1</v>
      </c>
      <c r="M153" s="685">
        <v>1</v>
      </c>
      <c r="N153" s="802">
        <v>1</v>
      </c>
      <c r="O153" s="1333"/>
      <c r="P153" s="1294"/>
      <c r="Q153" s="1294"/>
      <c r="R153" s="1294"/>
      <c r="S153" s="1294"/>
      <c r="T153" s="1294"/>
      <c r="U153" s="1294"/>
      <c r="V153" s="1294"/>
      <c r="W153" s="1294"/>
      <c r="X153" s="1294"/>
      <c r="Y153" s="1294"/>
      <c r="Z153" s="1294"/>
      <c r="AA153" s="1294"/>
      <c r="AB153" s="1294"/>
      <c r="AC153" s="460"/>
      <c r="AD153" s="1294"/>
      <c r="AE153" s="1294"/>
      <c r="AF153" s="1294"/>
      <c r="AG153" s="1294"/>
      <c r="AH153" s="1294"/>
      <c r="AI153" s="460"/>
      <c r="AJ153" s="460"/>
      <c r="AK153" s="460"/>
      <c r="AL153" s="460"/>
      <c r="AM153" s="460"/>
      <c r="AN153" s="460"/>
      <c r="AO153" s="460"/>
      <c r="AP153" s="460"/>
      <c r="AQ153" s="460"/>
      <c r="AR153" s="1294"/>
      <c r="AS153" s="1294"/>
      <c r="AT153" s="1294"/>
      <c r="AU153" s="1294"/>
      <c r="AV153" s="1294"/>
      <c r="AW153" s="1295">
        <f t="shared" si="17"/>
        <v>0</v>
      </c>
      <c r="BA153" s="1155" t="s">
        <v>1829</v>
      </c>
      <c r="BB153" s="1155" t="s">
        <v>1850</v>
      </c>
      <c r="BC153" s="1155" t="s">
        <v>1850</v>
      </c>
      <c r="BD153" s="1155" t="s">
        <v>1850</v>
      </c>
      <c r="BE153" s="1155" t="s">
        <v>1850</v>
      </c>
      <c r="BF153" s="1155" t="s">
        <v>1851</v>
      </c>
      <c r="BG153" s="1155">
        <v>4</v>
      </c>
      <c r="BH153" s="1145"/>
      <c r="BI153" s="1145"/>
      <c r="BJ153" s="1145"/>
      <c r="BK153" s="1145"/>
      <c r="BL153" s="1145"/>
      <c r="BM153" s="1145"/>
      <c r="BN153" s="1145"/>
      <c r="BO153" s="1145"/>
      <c r="BP153" s="1145"/>
      <c r="BQ153" s="1145"/>
      <c r="BR153" s="1145"/>
      <c r="BS153" s="1145"/>
      <c r="BT153" s="1145"/>
      <c r="BU153" s="1145"/>
      <c r="BV153" s="1145"/>
      <c r="BW153" s="1145"/>
      <c r="BX153" s="1145"/>
      <c r="BY153" s="1145"/>
    </row>
    <row r="154" spans="1:77" ht="112.5">
      <c r="A154" s="1377"/>
      <c r="B154" s="1375"/>
      <c r="C154" s="1379"/>
      <c r="D154" s="1395"/>
      <c r="E154" s="1395"/>
      <c r="F154" s="1377"/>
      <c r="G154" s="1399"/>
      <c r="H154" s="693"/>
      <c r="I154" s="751" t="s">
        <v>992</v>
      </c>
      <c r="J154" s="1398"/>
      <c r="K154" s="685">
        <v>1</v>
      </c>
      <c r="L154" s="685">
        <v>1</v>
      </c>
      <c r="M154" s="685">
        <v>1</v>
      </c>
      <c r="N154" s="802">
        <v>1</v>
      </c>
      <c r="O154" s="1333"/>
      <c r="P154" s="1294"/>
      <c r="Q154" s="1294"/>
      <c r="R154" s="1294"/>
      <c r="S154" s="1294"/>
      <c r="T154" s="1294"/>
      <c r="U154" s="1294"/>
      <c r="V154" s="1294"/>
      <c r="W154" s="1294"/>
      <c r="X154" s="1294"/>
      <c r="Y154" s="1294"/>
      <c r="Z154" s="1294"/>
      <c r="AA154" s="1294"/>
      <c r="AB154" s="1294"/>
      <c r="AC154" s="460"/>
      <c r="AD154" s="1294"/>
      <c r="AE154" s="1294"/>
      <c r="AF154" s="1294"/>
      <c r="AG154" s="1294"/>
      <c r="AH154" s="1294"/>
      <c r="AI154" s="460"/>
      <c r="AJ154" s="460"/>
      <c r="AK154" s="460"/>
      <c r="AL154" s="460"/>
      <c r="AM154" s="460"/>
      <c r="AN154" s="460"/>
      <c r="AO154" s="460"/>
      <c r="AP154" s="460"/>
      <c r="AQ154" s="460"/>
      <c r="AR154" s="1294"/>
      <c r="AS154" s="1294"/>
      <c r="AT154" s="1294"/>
      <c r="AU154" s="1294"/>
      <c r="AV154" s="1294"/>
      <c r="AW154" s="1295">
        <f t="shared" si="17"/>
        <v>0</v>
      </c>
      <c r="BA154" s="1155" t="s">
        <v>1830</v>
      </c>
      <c r="BB154" s="1155" t="s">
        <v>1850</v>
      </c>
      <c r="BC154" s="1155" t="s">
        <v>1850</v>
      </c>
      <c r="BD154" s="1155" t="s">
        <v>1850</v>
      </c>
      <c r="BE154" s="1155" t="s">
        <v>1850</v>
      </c>
      <c r="BF154" s="1155" t="s">
        <v>1851</v>
      </c>
      <c r="BG154" s="1155">
        <v>4</v>
      </c>
      <c r="BH154" s="1145"/>
      <c r="BI154" s="1145"/>
      <c r="BJ154" s="1145"/>
      <c r="BK154" s="1145"/>
      <c r="BL154" s="1145"/>
      <c r="BM154" s="1145"/>
      <c r="BN154" s="1145"/>
      <c r="BO154" s="1145"/>
      <c r="BP154" s="1145"/>
      <c r="BQ154" s="1145"/>
      <c r="BR154" s="1145"/>
      <c r="BS154" s="1145"/>
      <c r="BT154" s="1145"/>
      <c r="BU154" s="1145"/>
      <c r="BV154" s="1145"/>
      <c r="BW154" s="1145"/>
      <c r="BX154" s="1145"/>
      <c r="BY154" s="1145"/>
    </row>
    <row r="155" spans="1:77" ht="303.75" customHeight="1">
      <c r="A155" s="1377"/>
      <c r="B155" s="1375"/>
      <c r="C155" s="1379"/>
      <c r="D155" s="1395"/>
      <c r="E155" s="1395"/>
      <c r="F155" s="1377"/>
      <c r="G155" s="1399"/>
      <c r="H155" s="693"/>
      <c r="I155" s="751" t="s">
        <v>993</v>
      </c>
      <c r="J155" s="1398"/>
      <c r="K155" s="685">
        <v>1</v>
      </c>
      <c r="L155" s="685">
        <v>1</v>
      </c>
      <c r="M155" s="685">
        <v>1</v>
      </c>
      <c r="N155" s="802">
        <v>1</v>
      </c>
      <c r="O155" s="1333"/>
      <c r="P155" s="1294"/>
      <c r="Q155" s="1294"/>
      <c r="R155" s="1294"/>
      <c r="S155" s="1294"/>
      <c r="T155" s="1294"/>
      <c r="U155" s="1294"/>
      <c r="V155" s="1294"/>
      <c r="W155" s="1294"/>
      <c r="X155" s="1294"/>
      <c r="Y155" s="1294"/>
      <c r="Z155" s="1294"/>
      <c r="AA155" s="1294"/>
      <c r="AB155" s="1294"/>
      <c r="AC155" s="460"/>
      <c r="AD155" s="1294"/>
      <c r="AE155" s="1294"/>
      <c r="AF155" s="1294"/>
      <c r="AG155" s="1294"/>
      <c r="AH155" s="1294"/>
      <c r="AI155" s="460"/>
      <c r="AJ155" s="460"/>
      <c r="AK155" s="460"/>
      <c r="AL155" s="460"/>
      <c r="AM155" s="460"/>
      <c r="AN155" s="460"/>
      <c r="AO155" s="460"/>
      <c r="AP155" s="460"/>
      <c r="AQ155" s="460"/>
      <c r="AR155" s="1294"/>
      <c r="AS155" s="1294"/>
      <c r="AT155" s="1294"/>
      <c r="AU155" s="1294"/>
      <c r="AV155" s="1294"/>
      <c r="AW155" s="1295">
        <f t="shared" si="17"/>
        <v>0</v>
      </c>
      <c r="BA155" s="1155" t="s">
        <v>1831</v>
      </c>
      <c r="BB155" s="1155" t="s">
        <v>1850</v>
      </c>
      <c r="BC155" s="1155" t="s">
        <v>1850</v>
      </c>
      <c r="BD155" s="1155" t="s">
        <v>1850</v>
      </c>
      <c r="BE155" s="1155" t="s">
        <v>1850</v>
      </c>
      <c r="BF155" s="1155" t="s">
        <v>1851</v>
      </c>
      <c r="BG155" s="1155">
        <v>4</v>
      </c>
      <c r="BH155" s="1145"/>
      <c r="BI155" s="1145"/>
      <c r="BJ155" s="1145"/>
      <c r="BK155" s="1145"/>
      <c r="BL155" s="1145"/>
      <c r="BM155" s="1145"/>
      <c r="BN155" s="1145"/>
      <c r="BO155" s="1145"/>
      <c r="BP155" s="1145"/>
      <c r="BQ155" s="1145"/>
      <c r="BR155" s="1145"/>
      <c r="BS155" s="1145"/>
      <c r="BT155" s="1145"/>
      <c r="BU155" s="1145"/>
      <c r="BV155" s="1145"/>
      <c r="BW155" s="1145"/>
      <c r="BX155" s="1145"/>
      <c r="BY155" s="1145"/>
    </row>
    <row r="156" spans="1:77" ht="38.25" customHeight="1" hidden="1">
      <c r="A156" s="1377"/>
      <c r="B156" s="1375"/>
      <c r="C156" s="1379"/>
      <c r="D156" s="1395"/>
      <c r="E156" s="1395"/>
      <c r="F156" s="1377"/>
      <c r="G156" s="1399"/>
      <c r="H156" s="693"/>
      <c r="I156" s="751" t="s">
        <v>994</v>
      </c>
      <c r="J156" s="692" t="s">
        <v>995</v>
      </c>
      <c r="K156" s="685">
        <v>1</v>
      </c>
      <c r="L156" s="685"/>
      <c r="M156" s="685"/>
      <c r="N156" s="802"/>
      <c r="O156" s="1333"/>
      <c r="P156" s="1294"/>
      <c r="Q156" s="1294"/>
      <c r="R156" s="1294"/>
      <c r="S156" s="1294"/>
      <c r="T156" s="1294"/>
      <c r="U156" s="1294"/>
      <c r="V156" s="1294"/>
      <c r="W156" s="1294"/>
      <c r="X156" s="1294"/>
      <c r="Y156" s="1294"/>
      <c r="Z156" s="1294"/>
      <c r="AA156" s="1294"/>
      <c r="AB156" s="1294"/>
      <c r="AC156" s="460"/>
      <c r="AD156" s="1294"/>
      <c r="AE156" s="1294"/>
      <c r="AF156" s="1294"/>
      <c r="AG156" s="1294"/>
      <c r="AH156" s="1294"/>
      <c r="AI156" s="460"/>
      <c r="AJ156" s="460"/>
      <c r="AK156" s="460"/>
      <c r="AL156" s="460"/>
      <c r="AM156" s="460"/>
      <c r="AN156" s="460"/>
      <c r="AO156" s="460"/>
      <c r="AP156" s="460"/>
      <c r="AQ156" s="460"/>
      <c r="AR156" s="1294"/>
      <c r="AS156" s="1294"/>
      <c r="AT156" s="1294"/>
      <c r="AU156" s="1294"/>
      <c r="AV156" s="1294"/>
      <c r="AW156" s="1295">
        <f t="shared" si="17"/>
        <v>0</v>
      </c>
      <c r="BA156" s="1155"/>
      <c r="BB156" s="1155"/>
      <c r="BC156" s="1155"/>
      <c r="BD156" s="1155"/>
      <c r="BE156" s="1155"/>
      <c r="BF156" s="1155"/>
      <c r="BG156" s="1155"/>
      <c r="BH156" s="1145"/>
      <c r="BI156" s="1145"/>
      <c r="BJ156" s="1145"/>
      <c r="BK156" s="1145"/>
      <c r="BL156" s="1145"/>
      <c r="BM156" s="1145"/>
      <c r="BN156" s="1145"/>
      <c r="BO156" s="1145"/>
      <c r="BP156" s="1145"/>
      <c r="BQ156" s="1145"/>
      <c r="BR156" s="1145"/>
      <c r="BS156" s="1145"/>
      <c r="BT156" s="1145"/>
      <c r="BU156" s="1145"/>
      <c r="BV156" s="1145"/>
      <c r="BW156" s="1145"/>
      <c r="BX156" s="1145"/>
      <c r="BY156" s="1145"/>
    </row>
    <row r="157" spans="1:77" ht="63.75" customHeight="1" hidden="1">
      <c r="A157" s="1377"/>
      <c r="B157" s="1375"/>
      <c r="C157" s="1379"/>
      <c r="D157" s="1395"/>
      <c r="E157" s="1395"/>
      <c r="F157" s="1377"/>
      <c r="G157" s="1399"/>
      <c r="H157" s="693"/>
      <c r="I157" s="751" t="s">
        <v>996</v>
      </c>
      <c r="J157" s="692" t="s">
        <v>997</v>
      </c>
      <c r="K157" s="685">
        <v>1</v>
      </c>
      <c r="L157" s="685"/>
      <c r="M157" s="685"/>
      <c r="N157" s="802"/>
      <c r="O157" s="1333"/>
      <c r="P157" s="1294"/>
      <c r="Q157" s="1294"/>
      <c r="R157" s="1294"/>
      <c r="S157" s="1294"/>
      <c r="T157" s="1294"/>
      <c r="U157" s="1294"/>
      <c r="V157" s="1294"/>
      <c r="W157" s="1294"/>
      <c r="X157" s="1294"/>
      <c r="Y157" s="1294"/>
      <c r="Z157" s="1294"/>
      <c r="AA157" s="1294"/>
      <c r="AB157" s="1294"/>
      <c r="AC157" s="460"/>
      <c r="AD157" s="1294"/>
      <c r="AE157" s="1294"/>
      <c r="AF157" s="1294"/>
      <c r="AG157" s="1294"/>
      <c r="AH157" s="1294"/>
      <c r="AI157" s="460"/>
      <c r="AJ157" s="460"/>
      <c r="AK157" s="460"/>
      <c r="AL157" s="460"/>
      <c r="AM157" s="460"/>
      <c r="AN157" s="460"/>
      <c r="AO157" s="460"/>
      <c r="AP157" s="460"/>
      <c r="AQ157" s="460"/>
      <c r="AR157" s="1294"/>
      <c r="AS157" s="1294"/>
      <c r="AT157" s="1294"/>
      <c r="AU157" s="1294"/>
      <c r="AV157" s="1294"/>
      <c r="AW157" s="1295">
        <f t="shared" si="17"/>
        <v>0</v>
      </c>
      <c r="BA157" s="1155"/>
      <c r="BB157" s="1155"/>
      <c r="BC157" s="1155"/>
      <c r="BD157" s="1155"/>
      <c r="BE157" s="1155"/>
      <c r="BF157" s="1155"/>
      <c r="BG157" s="1155"/>
      <c r="BH157" s="1145"/>
      <c r="BI157" s="1145"/>
      <c r="BJ157" s="1145"/>
      <c r="BK157" s="1145"/>
      <c r="BL157" s="1145"/>
      <c r="BM157" s="1145"/>
      <c r="BN157" s="1145"/>
      <c r="BO157" s="1145"/>
      <c r="BP157" s="1145"/>
      <c r="BQ157" s="1145"/>
      <c r="BR157" s="1145"/>
      <c r="BS157" s="1145"/>
      <c r="BT157" s="1145"/>
      <c r="BU157" s="1145"/>
      <c r="BV157" s="1145"/>
      <c r="BW157" s="1145"/>
      <c r="BX157" s="1145"/>
      <c r="BY157" s="1145"/>
    </row>
    <row r="158" spans="1:77" ht="38.25">
      <c r="A158" s="1377"/>
      <c r="B158" s="1375"/>
      <c r="C158" s="1379"/>
      <c r="D158" s="1395"/>
      <c r="E158" s="1395"/>
      <c r="F158" s="1377"/>
      <c r="G158" s="1399"/>
      <c r="H158" s="693"/>
      <c r="I158" s="751" t="s">
        <v>998</v>
      </c>
      <c r="J158" s="692" t="s">
        <v>999</v>
      </c>
      <c r="K158" s="685">
        <v>1</v>
      </c>
      <c r="L158" s="685">
        <v>1</v>
      </c>
      <c r="M158" s="685">
        <v>1</v>
      </c>
      <c r="N158" s="802">
        <v>1</v>
      </c>
      <c r="O158" s="1333"/>
      <c r="P158" s="1294"/>
      <c r="Q158" s="1294"/>
      <c r="R158" s="1294"/>
      <c r="S158" s="1294"/>
      <c r="T158" s="1294"/>
      <c r="U158" s="1294"/>
      <c r="V158" s="1294"/>
      <c r="W158" s="1294"/>
      <c r="X158" s="1294"/>
      <c r="Y158" s="1294"/>
      <c r="Z158" s="1294"/>
      <c r="AA158" s="1294"/>
      <c r="AB158" s="1294"/>
      <c r="AC158" s="460"/>
      <c r="AD158" s="1294"/>
      <c r="AE158" s="1294"/>
      <c r="AF158" s="1294"/>
      <c r="AG158" s="1294"/>
      <c r="AH158" s="1294"/>
      <c r="AI158" s="460"/>
      <c r="AJ158" s="460"/>
      <c r="AK158" s="460"/>
      <c r="AL158" s="460"/>
      <c r="AM158" s="460"/>
      <c r="AN158" s="460"/>
      <c r="AO158" s="460"/>
      <c r="AP158" s="460"/>
      <c r="AQ158" s="460"/>
      <c r="AR158" s="1294"/>
      <c r="AS158" s="1294"/>
      <c r="AT158" s="1294"/>
      <c r="AU158" s="1294"/>
      <c r="AV158" s="1294"/>
      <c r="AW158" s="1295">
        <f t="shared" si="17"/>
        <v>0</v>
      </c>
      <c r="BA158" s="1208" t="s">
        <v>1832</v>
      </c>
      <c r="BB158" s="1208" t="s">
        <v>1850</v>
      </c>
      <c r="BC158" s="1208" t="s">
        <v>1850</v>
      </c>
      <c r="BD158" s="1208" t="s">
        <v>1850</v>
      </c>
      <c r="BE158" s="1208" t="s">
        <v>1850</v>
      </c>
      <c r="BF158" s="1208" t="s">
        <v>1851</v>
      </c>
      <c r="BG158" s="1208">
        <v>4</v>
      </c>
      <c r="BH158" s="1145"/>
      <c r="BI158" s="1145"/>
      <c r="BJ158" s="1145"/>
      <c r="BK158" s="1145"/>
      <c r="BL158" s="1145"/>
      <c r="BM158" s="1145"/>
      <c r="BN158" s="1145"/>
      <c r="BO158" s="1145"/>
      <c r="BP158" s="1145"/>
      <c r="BQ158" s="1145"/>
      <c r="BR158" s="1145"/>
      <c r="BS158" s="1145"/>
      <c r="BT158" s="1145"/>
      <c r="BU158" s="1145"/>
      <c r="BV158" s="1145"/>
      <c r="BW158" s="1145"/>
      <c r="BX158" s="1145"/>
      <c r="BY158" s="1145"/>
    </row>
    <row r="159" spans="1:77" ht="51">
      <c r="A159" s="1377"/>
      <c r="B159" s="1375"/>
      <c r="C159" s="1379"/>
      <c r="D159" s="1395"/>
      <c r="E159" s="1395"/>
      <c r="F159" s="1377"/>
      <c r="G159" s="1399"/>
      <c r="H159" s="693"/>
      <c r="I159" s="751" t="s">
        <v>1000</v>
      </c>
      <c r="J159" s="377" t="s">
        <v>1001</v>
      </c>
      <c r="K159" s="685">
        <v>1</v>
      </c>
      <c r="L159" s="685">
        <v>1</v>
      </c>
      <c r="M159" s="685">
        <v>1</v>
      </c>
      <c r="N159" s="802">
        <v>1</v>
      </c>
      <c r="O159" s="1333"/>
      <c r="P159" s="1294"/>
      <c r="Q159" s="1294"/>
      <c r="R159" s="1294"/>
      <c r="S159" s="1294"/>
      <c r="T159" s="1294"/>
      <c r="U159" s="1294"/>
      <c r="V159" s="1294"/>
      <c r="W159" s="1294"/>
      <c r="X159" s="1294"/>
      <c r="Y159" s="1294"/>
      <c r="Z159" s="1294"/>
      <c r="AA159" s="1294"/>
      <c r="AB159" s="1294"/>
      <c r="AC159" s="460"/>
      <c r="AD159" s="1294"/>
      <c r="AE159" s="1294"/>
      <c r="AF159" s="1294"/>
      <c r="AG159" s="1294"/>
      <c r="AH159" s="1294"/>
      <c r="AI159" s="460"/>
      <c r="AJ159" s="460"/>
      <c r="AK159" s="460"/>
      <c r="AL159" s="460"/>
      <c r="AM159" s="460"/>
      <c r="AN159" s="460"/>
      <c r="AO159" s="460"/>
      <c r="AP159" s="460"/>
      <c r="AQ159" s="460"/>
      <c r="AR159" s="1294"/>
      <c r="AS159" s="1294"/>
      <c r="AT159" s="1294"/>
      <c r="AU159" s="1294"/>
      <c r="AV159" s="1294"/>
      <c r="AW159" s="1295">
        <f t="shared" si="17"/>
        <v>0</v>
      </c>
      <c r="BA159" s="1209"/>
      <c r="BB159" s="1209"/>
      <c r="BC159" s="1209"/>
      <c r="BD159" s="1209"/>
      <c r="BE159" s="1209"/>
      <c r="BF159" s="1209"/>
      <c r="BG159" s="1209"/>
      <c r="BH159" s="1145"/>
      <c r="BI159" s="1145"/>
      <c r="BJ159" s="1145"/>
      <c r="BK159" s="1145"/>
      <c r="BL159" s="1145"/>
      <c r="BM159" s="1145"/>
      <c r="BN159" s="1145"/>
      <c r="BO159" s="1145"/>
      <c r="BP159" s="1145"/>
      <c r="BQ159" s="1145"/>
      <c r="BR159" s="1145"/>
      <c r="BS159" s="1145"/>
      <c r="BT159" s="1145"/>
      <c r="BU159" s="1145"/>
      <c r="BV159" s="1145"/>
      <c r="BW159" s="1145"/>
      <c r="BX159" s="1145"/>
      <c r="BY159" s="1145"/>
    </row>
    <row r="160" spans="1:77" ht="76.5">
      <c r="A160" s="1377"/>
      <c r="B160" s="1375"/>
      <c r="C160" s="1379"/>
      <c r="D160" s="1366"/>
      <c r="E160" s="1366"/>
      <c r="F160" s="1377"/>
      <c r="G160" s="1399"/>
      <c r="H160" s="693"/>
      <c r="I160" s="751" t="s">
        <v>1002</v>
      </c>
      <c r="J160" s="377" t="s">
        <v>1003</v>
      </c>
      <c r="K160" s="685">
        <v>1</v>
      </c>
      <c r="L160" s="685">
        <v>1</v>
      </c>
      <c r="M160" s="685">
        <v>1</v>
      </c>
      <c r="N160" s="802">
        <v>1</v>
      </c>
      <c r="O160" s="847" t="s">
        <v>1657</v>
      </c>
      <c r="P160" s="460"/>
      <c r="Q160" s="460"/>
      <c r="R160" s="460"/>
      <c r="S160" s="460"/>
      <c r="T160" s="460"/>
      <c r="U160" s="460"/>
      <c r="V160" s="460"/>
      <c r="W160" s="460"/>
      <c r="X160" s="460"/>
      <c r="Y160" s="460"/>
      <c r="Z160" s="460"/>
      <c r="AA160" s="460"/>
      <c r="AB160" s="460"/>
      <c r="AC160" s="460"/>
      <c r="AD160" s="460">
        <v>70000000</v>
      </c>
      <c r="AE160" s="460"/>
      <c r="AF160" s="460"/>
      <c r="AG160" s="460"/>
      <c r="AH160" s="460"/>
      <c r="AI160" s="460"/>
      <c r="AJ160" s="460"/>
      <c r="AK160" s="460"/>
      <c r="AL160" s="460"/>
      <c r="AM160" s="460"/>
      <c r="AN160" s="460"/>
      <c r="AO160" s="460"/>
      <c r="AP160" s="460"/>
      <c r="AQ160" s="460"/>
      <c r="AR160" s="460"/>
      <c r="AS160" s="460"/>
      <c r="AT160" s="460"/>
      <c r="AU160" s="460"/>
      <c r="AV160" s="460"/>
      <c r="AW160" s="775">
        <f t="shared" si="17"/>
        <v>70000000</v>
      </c>
      <c r="BA160" s="1209"/>
      <c r="BB160" s="1209"/>
      <c r="BC160" s="1209"/>
      <c r="BD160" s="1209"/>
      <c r="BE160" s="1209"/>
      <c r="BF160" s="1209"/>
      <c r="BG160" s="1209"/>
      <c r="BH160" s="1145"/>
      <c r="BI160" s="1145"/>
      <c r="BJ160" s="1145"/>
      <c r="BK160" s="1145"/>
      <c r="BL160" s="1145"/>
      <c r="BM160" s="1145"/>
      <c r="BN160" s="1145"/>
      <c r="BO160" s="1145"/>
      <c r="BP160" s="1145"/>
      <c r="BQ160" s="1145"/>
      <c r="BR160" s="1145"/>
      <c r="BS160" s="1145"/>
      <c r="BT160" s="1145"/>
      <c r="BU160" s="1145"/>
      <c r="BV160" s="1145"/>
      <c r="BW160" s="1145"/>
      <c r="BX160" s="1145"/>
      <c r="BY160" s="1145"/>
    </row>
    <row r="161" spans="1:77" ht="63.75">
      <c r="A161" s="1377"/>
      <c r="B161" s="1375"/>
      <c r="C161" s="1379"/>
      <c r="D161" s="1367" t="s">
        <v>1004</v>
      </c>
      <c r="E161" s="1367" t="s">
        <v>1005</v>
      </c>
      <c r="F161" s="1377"/>
      <c r="G161" s="1399"/>
      <c r="H161" s="693"/>
      <c r="I161" s="751" t="s">
        <v>1007</v>
      </c>
      <c r="J161" s="692" t="s">
        <v>1008</v>
      </c>
      <c r="K161" s="685">
        <v>1</v>
      </c>
      <c r="L161" s="685">
        <v>1</v>
      </c>
      <c r="M161" s="685">
        <v>1</v>
      </c>
      <c r="N161" s="802">
        <v>1</v>
      </c>
      <c r="O161" s="847" t="s">
        <v>1658</v>
      </c>
      <c r="P161" s="460"/>
      <c r="Q161" s="460"/>
      <c r="R161" s="460"/>
      <c r="S161" s="460"/>
      <c r="T161" s="460"/>
      <c r="U161" s="460"/>
      <c r="V161" s="460"/>
      <c r="W161" s="460"/>
      <c r="X161" s="460"/>
      <c r="Y161" s="460"/>
      <c r="Z161" s="460"/>
      <c r="AA161" s="460"/>
      <c r="AB161" s="460"/>
      <c r="AC161" s="460"/>
      <c r="AD161" s="460">
        <v>80000000</v>
      </c>
      <c r="AE161" s="460"/>
      <c r="AF161" s="460"/>
      <c r="AG161" s="460"/>
      <c r="AH161" s="460"/>
      <c r="AI161" s="460"/>
      <c r="AJ161" s="460"/>
      <c r="AK161" s="460"/>
      <c r="AL161" s="460"/>
      <c r="AM161" s="460"/>
      <c r="AN161" s="460"/>
      <c r="AO161" s="460"/>
      <c r="AP161" s="460"/>
      <c r="AQ161" s="460"/>
      <c r="AR161" s="460"/>
      <c r="AS161" s="460"/>
      <c r="AT161" s="460"/>
      <c r="AU161" s="460"/>
      <c r="AV161" s="460"/>
      <c r="AW161" s="775">
        <f t="shared" si="17"/>
        <v>80000000</v>
      </c>
      <c r="BA161" s="1209"/>
      <c r="BB161" s="1209"/>
      <c r="BC161" s="1209"/>
      <c r="BD161" s="1209"/>
      <c r="BE161" s="1209"/>
      <c r="BF161" s="1209"/>
      <c r="BG161" s="1209"/>
      <c r="BH161" s="1145"/>
      <c r="BI161" s="1145"/>
      <c r="BJ161" s="1145"/>
      <c r="BK161" s="1145"/>
      <c r="BL161" s="1145"/>
      <c r="BM161" s="1145"/>
      <c r="BN161" s="1145"/>
      <c r="BO161" s="1145"/>
      <c r="BP161" s="1145"/>
      <c r="BQ161" s="1145"/>
      <c r="BR161" s="1145"/>
      <c r="BS161" s="1145"/>
      <c r="BT161" s="1145"/>
      <c r="BU161" s="1145"/>
      <c r="BV161" s="1145"/>
      <c r="BW161" s="1145"/>
      <c r="BX161" s="1145"/>
      <c r="BY161" s="1145"/>
    </row>
    <row r="162" spans="1:77" ht="63.75">
      <c r="A162" s="1377"/>
      <c r="B162" s="1375"/>
      <c r="C162" s="1379"/>
      <c r="D162" s="1367"/>
      <c r="E162" s="1367"/>
      <c r="F162" s="1377"/>
      <c r="G162" s="1399"/>
      <c r="H162" s="693"/>
      <c r="I162" s="751" t="s">
        <v>1009</v>
      </c>
      <c r="J162" s="692" t="s">
        <v>1010</v>
      </c>
      <c r="K162" s="685"/>
      <c r="L162" s="685"/>
      <c r="M162" s="685">
        <v>2</v>
      </c>
      <c r="N162" s="802"/>
      <c r="O162" s="1333" t="s">
        <v>1659</v>
      </c>
      <c r="P162" s="1294"/>
      <c r="Q162" s="1294"/>
      <c r="R162" s="1294"/>
      <c r="S162" s="1294"/>
      <c r="T162" s="1294"/>
      <c r="U162" s="1294"/>
      <c r="V162" s="1294"/>
      <c r="W162" s="1294"/>
      <c r="X162" s="1294"/>
      <c r="Y162" s="1294"/>
      <c r="Z162" s="1294"/>
      <c r="AA162" s="1294"/>
      <c r="AB162" s="1294"/>
      <c r="AC162" s="460"/>
      <c r="AD162" s="1294">
        <v>100000000</v>
      </c>
      <c r="AE162" s="1294"/>
      <c r="AF162" s="1294"/>
      <c r="AG162" s="1294"/>
      <c r="AH162" s="1294"/>
      <c r="AI162" s="460"/>
      <c r="AJ162" s="460"/>
      <c r="AK162" s="460"/>
      <c r="AL162" s="460"/>
      <c r="AM162" s="460"/>
      <c r="AN162" s="460"/>
      <c r="AO162" s="460"/>
      <c r="AP162" s="460"/>
      <c r="AQ162" s="460"/>
      <c r="AR162" s="1294"/>
      <c r="AS162" s="1294"/>
      <c r="AT162" s="1294"/>
      <c r="AU162" s="1294"/>
      <c r="AV162" s="1294"/>
      <c r="AW162" s="1295">
        <f t="shared" si="17"/>
        <v>100000000</v>
      </c>
      <c r="BA162" s="1209"/>
      <c r="BB162" s="1209"/>
      <c r="BC162" s="1209"/>
      <c r="BD162" s="1209"/>
      <c r="BE162" s="1209"/>
      <c r="BF162" s="1209"/>
      <c r="BG162" s="1209"/>
      <c r="BH162" s="1145"/>
      <c r="BI162" s="1145"/>
      <c r="BJ162" s="1145"/>
      <c r="BK162" s="1145"/>
      <c r="BL162" s="1145"/>
      <c r="BM162" s="1145"/>
      <c r="BN162" s="1145"/>
      <c r="BO162" s="1145"/>
      <c r="BP162" s="1145"/>
      <c r="BQ162" s="1145"/>
      <c r="BR162" s="1145"/>
      <c r="BS162" s="1145"/>
      <c r="BT162" s="1145"/>
      <c r="BU162" s="1145"/>
      <c r="BV162" s="1145"/>
      <c r="BW162" s="1145"/>
      <c r="BX162" s="1145"/>
      <c r="BY162" s="1145"/>
    </row>
    <row r="163" spans="1:77" ht="38.25" customHeight="1" hidden="1">
      <c r="A163" s="1377"/>
      <c r="B163" s="1375"/>
      <c r="C163" s="1379"/>
      <c r="D163" s="1367"/>
      <c r="E163" s="1367"/>
      <c r="F163" s="1377"/>
      <c r="G163" s="1399"/>
      <c r="H163" s="693"/>
      <c r="I163" s="751" t="s">
        <v>1011</v>
      </c>
      <c r="J163" s="692" t="s">
        <v>995</v>
      </c>
      <c r="K163" s="685">
        <v>1</v>
      </c>
      <c r="L163" s="685"/>
      <c r="M163" s="685"/>
      <c r="N163" s="802"/>
      <c r="O163" s="1333"/>
      <c r="P163" s="1294"/>
      <c r="Q163" s="1294"/>
      <c r="R163" s="1294"/>
      <c r="S163" s="1294"/>
      <c r="T163" s="1294"/>
      <c r="U163" s="1294"/>
      <c r="V163" s="1294"/>
      <c r="W163" s="1294"/>
      <c r="X163" s="1294"/>
      <c r="Y163" s="1294"/>
      <c r="Z163" s="1294"/>
      <c r="AA163" s="1294"/>
      <c r="AB163" s="1294"/>
      <c r="AC163" s="460"/>
      <c r="AD163" s="1294"/>
      <c r="AE163" s="1294"/>
      <c r="AF163" s="1294"/>
      <c r="AG163" s="1294"/>
      <c r="AH163" s="1294"/>
      <c r="AI163" s="460"/>
      <c r="AJ163" s="460"/>
      <c r="AK163" s="460"/>
      <c r="AL163" s="460"/>
      <c r="AM163" s="460"/>
      <c r="AN163" s="460"/>
      <c r="AO163" s="460"/>
      <c r="AP163" s="460"/>
      <c r="AQ163" s="460"/>
      <c r="AR163" s="1294"/>
      <c r="AS163" s="1294"/>
      <c r="AT163" s="1294"/>
      <c r="AU163" s="1294"/>
      <c r="AV163" s="1294"/>
      <c r="AW163" s="1295">
        <f t="shared" si="17"/>
        <v>0</v>
      </c>
      <c r="BA163" s="1209"/>
      <c r="BB163" s="1209"/>
      <c r="BC163" s="1209"/>
      <c r="BD163" s="1209"/>
      <c r="BE163" s="1209"/>
      <c r="BF163" s="1209"/>
      <c r="BG163" s="1209"/>
      <c r="BH163" s="1145"/>
      <c r="BI163" s="1145"/>
      <c r="BJ163" s="1145"/>
      <c r="BK163" s="1145"/>
      <c r="BL163" s="1145"/>
      <c r="BM163" s="1145"/>
      <c r="BN163" s="1145"/>
      <c r="BO163" s="1145"/>
      <c r="BP163" s="1145"/>
      <c r="BQ163" s="1145"/>
      <c r="BR163" s="1145"/>
      <c r="BS163" s="1145"/>
      <c r="BT163" s="1145"/>
      <c r="BU163" s="1145"/>
      <c r="BV163" s="1145"/>
      <c r="BW163" s="1145"/>
      <c r="BX163" s="1145"/>
      <c r="BY163" s="1145"/>
    </row>
    <row r="164" spans="1:77" ht="63.75">
      <c r="A164" s="1377"/>
      <c r="B164" s="1375"/>
      <c r="C164" s="1379"/>
      <c r="D164" s="1367"/>
      <c r="E164" s="1367"/>
      <c r="F164" s="1377"/>
      <c r="G164" s="1399"/>
      <c r="H164" s="693"/>
      <c r="I164" s="751" t="s">
        <v>1012</v>
      </c>
      <c r="J164" s="692" t="s">
        <v>1013</v>
      </c>
      <c r="K164" s="685"/>
      <c r="L164" s="685">
        <v>1</v>
      </c>
      <c r="M164" s="685">
        <v>1</v>
      </c>
      <c r="N164" s="802"/>
      <c r="O164" s="1333"/>
      <c r="P164" s="1294"/>
      <c r="Q164" s="1294"/>
      <c r="R164" s="1294"/>
      <c r="S164" s="1294"/>
      <c r="T164" s="1294"/>
      <c r="U164" s="1294"/>
      <c r="V164" s="1294"/>
      <c r="W164" s="1294"/>
      <c r="X164" s="1294"/>
      <c r="Y164" s="1294"/>
      <c r="Z164" s="1294"/>
      <c r="AA164" s="1294"/>
      <c r="AB164" s="1294"/>
      <c r="AC164" s="460"/>
      <c r="AD164" s="1294"/>
      <c r="AE164" s="1294"/>
      <c r="AF164" s="1294"/>
      <c r="AG164" s="1294"/>
      <c r="AH164" s="1294"/>
      <c r="AI164" s="460"/>
      <c r="AJ164" s="460"/>
      <c r="AK164" s="460"/>
      <c r="AL164" s="460"/>
      <c r="AM164" s="460"/>
      <c r="AN164" s="460"/>
      <c r="AO164" s="460"/>
      <c r="AP164" s="460"/>
      <c r="AQ164" s="460"/>
      <c r="AR164" s="1294"/>
      <c r="AS164" s="1294"/>
      <c r="AT164" s="1294"/>
      <c r="AU164" s="1294"/>
      <c r="AV164" s="1294"/>
      <c r="AW164" s="1295">
        <f t="shared" si="17"/>
        <v>0</v>
      </c>
      <c r="BA164" s="1209"/>
      <c r="BB164" s="1209"/>
      <c r="BC164" s="1209"/>
      <c r="BD164" s="1209"/>
      <c r="BE164" s="1209"/>
      <c r="BF164" s="1209"/>
      <c r="BG164" s="1209"/>
      <c r="BH164" s="1145"/>
      <c r="BI164" s="1145"/>
      <c r="BJ164" s="1145"/>
      <c r="BK164" s="1145"/>
      <c r="BL164" s="1145"/>
      <c r="BM164" s="1145"/>
      <c r="BN164" s="1145"/>
      <c r="BO164" s="1145"/>
      <c r="BP164" s="1145"/>
      <c r="BQ164" s="1145"/>
      <c r="BR164" s="1145"/>
      <c r="BS164" s="1145"/>
      <c r="BT164" s="1145"/>
      <c r="BU164" s="1145"/>
      <c r="BV164" s="1145"/>
      <c r="BW164" s="1145"/>
      <c r="BX164" s="1145"/>
      <c r="BY164" s="1145"/>
    </row>
    <row r="165" spans="1:77" ht="38.25">
      <c r="A165" s="1377"/>
      <c r="B165" s="1375"/>
      <c r="C165" s="1379"/>
      <c r="D165" s="1367"/>
      <c r="E165" s="1367"/>
      <c r="F165" s="1377"/>
      <c r="G165" s="1399"/>
      <c r="H165" s="693"/>
      <c r="I165" s="751" t="s">
        <v>1014</v>
      </c>
      <c r="J165" s="377" t="s">
        <v>1015</v>
      </c>
      <c r="K165" s="685">
        <v>1</v>
      </c>
      <c r="L165" s="685">
        <v>1</v>
      </c>
      <c r="M165" s="685">
        <v>1</v>
      </c>
      <c r="N165" s="802">
        <v>1</v>
      </c>
      <c r="O165" s="1333" t="s">
        <v>1682</v>
      </c>
      <c r="P165" s="1294"/>
      <c r="Q165" s="1294"/>
      <c r="R165" s="1294"/>
      <c r="S165" s="1294"/>
      <c r="T165" s="1294"/>
      <c r="U165" s="1294"/>
      <c r="V165" s="1294"/>
      <c r="W165" s="1294"/>
      <c r="X165" s="1294"/>
      <c r="Y165" s="1294"/>
      <c r="Z165" s="1294"/>
      <c r="AA165" s="1294"/>
      <c r="AB165" s="1294"/>
      <c r="AC165" s="460"/>
      <c r="AD165" s="1294">
        <v>30000000</v>
      </c>
      <c r="AE165" s="1294"/>
      <c r="AF165" s="1294"/>
      <c r="AG165" s="1294"/>
      <c r="AH165" s="1294"/>
      <c r="AI165" s="460"/>
      <c r="AJ165" s="460"/>
      <c r="AK165" s="460"/>
      <c r="AL165" s="460"/>
      <c r="AM165" s="460"/>
      <c r="AN165" s="460"/>
      <c r="AO165" s="460"/>
      <c r="AP165" s="460"/>
      <c r="AQ165" s="460"/>
      <c r="AR165" s="1294"/>
      <c r="AS165" s="1294"/>
      <c r="AT165" s="1294"/>
      <c r="AU165" s="1294"/>
      <c r="AV165" s="1294"/>
      <c r="AW165" s="1295">
        <f t="shared" si="17"/>
        <v>30000000</v>
      </c>
      <c r="BA165" s="1209"/>
      <c r="BB165" s="1209"/>
      <c r="BC165" s="1209"/>
      <c r="BD165" s="1209"/>
      <c r="BE165" s="1209"/>
      <c r="BF165" s="1209"/>
      <c r="BG165" s="1209"/>
      <c r="BH165" s="1145"/>
      <c r="BI165" s="1145"/>
      <c r="BJ165" s="1145"/>
      <c r="BK165" s="1145"/>
      <c r="BL165" s="1145"/>
      <c r="BM165" s="1145"/>
      <c r="BN165" s="1145"/>
      <c r="BO165" s="1145"/>
      <c r="BP165" s="1145"/>
      <c r="BQ165" s="1145"/>
      <c r="BR165" s="1145"/>
      <c r="BS165" s="1145"/>
      <c r="BT165" s="1145"/>
      <c r="BU165" s="1145"/>
      <c r="BV165" s="1145"/>
      <c r="BW165" s="1145"/>
      <c r="BX165" s="1145"/>
      <c r="BY165" s="1145"/>
    </row>
    <row r="166" spans="1:77" ht="64.5" thickBot="1">
      <c r="A166" s="1378"/>
      <c r="B166" s="1375"/>
      <c r="C166" s="1379"/>
      <c r="D166" s="1367"/>
      <c r="E166" s="1367"/>
      <c r="F166" s="1378"/>
      <c r="G166" s="1399"/>
      <c r="H166" s="693"/>
      <c r="I166" s="762" t="s">
        <v>1016</v>
      </c>
      <c r="J166" s="803" t="s">
        <v>1017</v>
      </c>
      <c r="K166" s="743">
        <v>1</v>
      </c>
      <c r="L166" s="743">
        <v>1</v>
      </c>
      <c r="M166" s="743">
        <v>1</v>
      </c>
      <c r="N166" s="804">
        <v>1</v>
      </c>
      <c r="O166" s="1335"/>
      <c r="P166" s="1298"/>
      <c r="Q166" s="1298"/>
      <c r="R166" s="1298"/>
      <c r="S166" s="1298"/>
      <c r="T166" s="1298"/>
      <c r="U166" s="1298"/>
      <c r="V166" s="1298"/>
      <c r="W166" s="1298"/>
      <c r="X166" s="1298"/>
      <c r="Y166" s="1298"/>
      <c r="Z166" s="1298"/>
      <c r="AA166" s="1298"/>
      <c r="AB166" s="1298"/>
      <c r="AC166" s="835"/>
      <c r="AD166" s="1298"/>
      <c r="AE166" s="1298"/>
      <c r="AF166" s="1298"/>
      <c r="AG166" s="1298"/>
      <c r="AH166" s="1298"/>
      <c r="AI166" s="835"/>
      <c r="AJ166" s="835"/>
      <c r="AK166" s="835"/>
      <c r="AL166" s="835"/>
      <c r="AM166" s="835"/>
      <c r="AN166" s="835"/>
      <c r="AO166" s="835"/>
      <c r="AP166" s="835"/>
      <c r="AQ166" s="835"/>
      <c r="AR166" s="1298"/>
      <c r="AS166" s="1298"/>
      <c r="AT166" s="1298"/>
      <c r="AU166" s="1298"/>
      <c r="AV166" s="1298"/>
      <c r="AW166" s="1299">
        <f t="shared" si="17"/>
        <v>0</v>
      </c>
      <c r="BA166" s="1210"/>
      <c r="BB166" s="1210"/>
      <c r="BC166" s="1210"/>
      <c r="BD166" s="1210"/>
      <c r="BE166" s="1210"/>
      <c r="BF166" s="1210"/>
      <c r="BG166" s="1210"/>
      <c r="BH166" s="1145"/>
      <c r="BI166" s="1145"/>
      <c r="BJ166" s="1145"/>
      <c r="BK166" s="1145"/>
      <c r="BL166" s="1145"/>
      <c r="BM166" s="1145"/>
      <c r="BN166" s="1145"/>
      <c r="BO166" s="1145"/>
      <c r="BP166" s="1145"/>
      <c r="BQ166" s="1145"/>
      <c r="BR166" s="1145"/>
      <c r="BS166" s="1145"/>
      <c r="BT166" s="1145"/>
      <c r="BU166" s="1145"/>
      <c r="BV166" s="1145"/>
      <c r="BW166" s="1145"/>
      <c r="BX166" s="1145"/>
      <c r="BY166" s="1145"/>
    </row>
    <row r="167" spans="1:77" ht="34.5" customHeight="1" thickBot="1">
      <c r="A167" s="721"/>
      <c r="B167" s="727"/>
      <c r="C167" s="724"/>
      <c r="D167" s="718"/>
      <c r="E167" s="718"/>
      <c r="F167" s="722"/>
      <c r="G167" s="737"/>
      <c r="H167" s="776"/>
      <c r="I167" s="1347" t="s">
        <v>1710</v>
      </c>
      <c r="J167" s="1348"/>
      <c r="K167" s="1348"/>
      <c r="L167" s="1348"/>
      <c r="M167" s="1348"/>
      <c r="N167" s="1348"/>
      <c r="O167" s="1349"/>
      <c r="P167" s="840">
        <f>SUM(P152:P166)</f>
        <v>0</v>
      </c>
      <c r="Q167" s="840">
        <f aca="true" t="shared" si="18" ref="Q167:AW167">SUM(Q152:Q166)</f>
        <v>0</v>
      </c>
      <c r="R167" s="840">
        <f t="shared" si="18"/>
        <v>0</v>
      </c>
      <c r="S167" s="840">
        <f t="shared" si="18"/>
        <v>0</v>
      </c>
      <c r="T167" s="840">
        <f t="shared" si="18"/>
        <v>0</v>
      </c>
      <c r="U167" s="840">
        <f t="shared" si="18"/>
        <v>0</v>
      </c>
      <c r="V167" s="840">
        <f t="shared" si="18"/>
        <v>0</v>
      </c>
      <c r="W167" s="840">
        <f t="shared" si="18"/>
        <v>0</v>
      </c>
      <c r="X167" s="840">
        <f t="shared" si="18"/>
        <v>0</v>
      </c>
      <c r="Y167" s="840">
        <f t="shared" si="18"/>
        <v>0</v>
      </c>
      <c r="Z167" s="840">
        <f t="shared" si="18"/>
        <v>0</v>
      </c>
      <c r="AA167" s="840">
        <f t="shared" si="18"/>
        <v>0</v>
      </c>
      <c r="AB167" s="840">
        <f t="shared" si="18"/>
        <v>0</v>
      </c>
      <c r="AC167" s="840">
        <f t="shared" si="18"/>
        <v>0</v>
      </c>
      <c r="AD167" s="840">
        <f t="shared" si="18"/>
        <v>630000000</v>
      </c>
      <c r="AE167" s="840">
        <f t="shared" si="18"/>
        <v>0</v>
      </c>
      <c r="AF167" s="840">
        <f t="shared" si="18"/>
        <v>0</v>
      </c>
      <c r="AG167" s="840">
        <f t="shared" si="18"/>
        <v>0</v>
      </c>
      <c r="AH167" s="840">
        <f t="shared" si="18"/>
        <v>0</v>
      </c>
      <c r="AI167" s="840">
        <f t="shared" si="18"/>
        <v>0</v>
      </c>
      <c r="AJ167" s="840">
        <f t="shared" si="18"/>
        <v>0</v>
      </c>
      <c r="AK167" s="840">
        <f t="shared" si="18"/>
        <v>0</v>
      </c>
      <c r="AL167" s="840">
        <f t="shared" si="18"/>
        <v>0</v>
      </c>
      <c r="AM167" s="840">
        <f t="shared" si="18"/>
        <v>0</v>
      </c>
      <c r="AN167" s="840">
        <f t="shared" si="18"/>
        <v>0</v>
      </c>
      <c r="AO167" s="840">
        <f t="shared" si="18"/>
        <v>0</v>
      </c>
      <c r="AP167" s="840">
        <f t="shared" si="18"/>
        <v>0</v>
      </c>
      <c r="AQ167" s="840">
        <f t="shared" si="18"/>
        <v>0</v>
      </c>
      <c r="AR167" s="840">
        <f t="shared" si="18"/>
        <v>0</v>
      </c>
      <c r="AS167" s="840">
        <f t="shared" si="18"/>
        <v>0</v>
      </c>
      <c r="AT167" s="840">
        <f t="shared" si="18"/>
        <v>0</v>
      </c>
      <c r="AU167" s="840">
        <f t="shared" si="18"/>
        <v>0</v>
      </c>
      <c r="AV167" s="840">
        <f t="shared" si="18"/>
        <v>0</v>
      </c>
      <c r="AW167" s="840">
        <f t="shared" si="18"/>
        <v>630000000</v>
      </c>
      <c r="BA167" s="1155"/>
      <c r="BB167" s="1155"/>
      <c r="BC167" s="1155"/>
      <c r="BD167" s="1155"/>
      <c r="BE167" s="1155"/>
      <c r="BF167" s="1155"/>
      <c r="BG167" s="1155"/>
      <c r="BH167" s="1145"/>
      <c r="BI167" s="1145"/>
      <c r="BJ167" s="1145"/>
      <c r="BK167" s="1145"/>
      <c r="BL167" s="1145"/>
      <c r="BM167" s="1145"/>
      <c r="BN167" s="1145"/>
      <c r="BO167" s="1145"/>
      <c r="BP167" s="1145"/>
      <c r="BQ167" s="1145"/>
      <c r="BR167" s="1145"/>
      <c r="BS167" s="1145"/>
      <c r="BT167" s="1145"/>
      <c r="BU167" s="1145"/>
      <c r="BV167" s="1145"/>
      <c r="BW167" s="1145"/>
      <c r="BX167" s="1145"/>
      <c r="BY167" s="1145"/>
    </row>
    <row r="168" spans="1:77" ht="34.5" customHeight="1" thickBot="1">
      <c r="A168" s="721"/>
      <c r="B168" s="727"/>
      <c r="C168" s="724"/>
      <c r="D168" s="718"/>
      <c r="E168" s="718"/>
      <c r="F168" s="722"/>
      <c r="G168" s="737"/>
      <c r="H168" s="776"/>
      <c r="I168" s="1223" t="s">
        <v>1717</v>
      </c>
      <c r="J168" s="1224"/>
      <c r="K168" s="1224"/>
      <c r="L168" s="1224"/>
      <c r="M168" s="1224"/>
      <c r="N168" s="1224"/>
      <c r="O168" s="1224"/>
      <c r="P168" s="819">
        <f aca="true" t="shared" si="19" ref="P168:AW168">+P34+P72+P80+P93+P109+P116+P126+P134+P148+P151+P167</f>
        <v>4400000000</v>
      </c>
      <c r="Q168" s="819">
        <f t="shared" si="19"/>
        <v>30000000</v>
      </c>
      <c r="R168" s="819">
        <f t="shared" si="19"/>
        <v>226000000</v>
      </c>
      <c r="S168" s="819">
        <f t="shared" si="19"/>
        <v>303915000</v>
      </c>
      <c r="T168" s="819">
        <f t="shared" si="19"/>
        <v>55000000</v>
      </c>
      <c r="U168" s="819">
        <f t="shared" si="19"/>
        <v>5200000000</v>
      </c>
      <c r="V168" s="819">
        <f t="shared" si="19"/>
        <v>844780936</v>
      </c>
      <c r="W168" s="819">
        <f t="shared" si="19"/>
        <v>550036000</v>
      </c>
      <c r="X168" s="819">
        <f t="shared" si="19"/>
        <v>206487930</v>
      </c>
      <c r="Y168" s="819">
        <f t="shared" si="19"/>
        <v>0</v>
      </c>
      <c r="Z168" s="819">
        <f t="shared" si="19"/>
        <v>104519208</v>
      </c>
      <c r="AA168" s="819">
        <f>+AA34+AA72+AA80+AA93+AA109+AA116+AA126+AA134+AA148+AA151+AA167</f>
        <v>78389407</v>
      </c>
      <c r="AB168" s="819">
        <f t="shared" si="19"/>
        <v>120000000</v>
      </c>
      <c r="AC168" s="819">
        <f t="shared" si="19"/>
        <v>0</v>
      </c>
      <c r="AD168" s="819">
        <f t="shared" si="19"/>
        <v>1930000000</v>
      </c>
      <c r="AE168" s="819">
        <f t="shared" si="19"/>
        <v>0</v>
      </c>
      <c r="AF168" s="819">
        <f t="shared" si="19"/>
        <v>3420955000</v>
      </c>
      <c r="AG168" s="819">
        <f>+AG34+AG72+AG80+AG93+AG109+AG116+AG126+AG134+AG148+AG151+AG167</f>
        <v>1610500000</v>
      </c>
      <c r="AH168" s="819">
        <f t="shared" si="19"/>
        <v>20000000</v>
      </c>
      <c r="AI168" s="819">
        <f t="shared" si="19"/>
        <v>0</v>
      </c>
      <c r="AJ168" s="819">
        <f t="shared" si="19"/>
        <v>0</v>
      </c>
      <c r="AK168" s="819">
        <f t="shared" si="19"/>
        <v>0</v>
      </c>
      <c r="AL168" s="819">
        <f t="shared" si="19"/>
        <v>0</v>
      </c>
      <c r="AM168" s="819">
        <f t="shared" si="19"/>
        <v>0</v>
      </c>
      <c r="AN168" s="819">
        <f t="shared" si="19"/>
        <v>0</v>
      </c>
      <c r="AO168" s="819">
        <f t="shared" si="19"/>
        <v>0</v>
      </c>
      <c r="AP168" s="819">
        <f t="shared" si="19"/>
        <v>0</v>
      </c>
      <c r="AQ168" s="819">
        <f t="shared" si="19"/>
        <v>0</v>
      </c>
      <c r="AR168" s="819">
        <f t="shared" si="19"/>
        <v>0</v>
      </c>
      <c r="AS168" s="819">
        <f t="shared" si="19"/>
        <v>0</v>
      </c>
      <c r="AT168" s="819">
        <f t="shared" si="19"/>
        <v>7500000</v>
      </c>
      <c r="AU168" s="819">
        <f t="shared" si="19"/>
        <v>0</v>
      </c>
      <c r="AV168" s="819">
        <f t="shared" si="19"/>
        <v>0</v>
      </c>
      <c r="AW168" s="819">
        <f t="shared" si="19"/>
        <v>19108083481</v>
      </c>
      <c r="BA168" s="1155"/>
      <c r="BB168" s="1155"/>
      <c r="BC168" s="1155"/>
      <c r="BD168" s="1155"/>
      <c r="BE168" s="1155"/>
      <c r="BF168" s="1155"/>
      <c r="BG168" s="1155"/>
      <c r="BH168" s="1145"/>
      <c r="BI168" s="1145"/>
      <c r="BJ168" s="1145"/>
      <c r="BK168" s="1145"/>
      <c r="BL168" s="1145"/>
      <c r="BM168" s="1145"/>
      <c r="BN168" s="1145"/>
      <c r="BO168" s="1145"/>
      <c r="BP168" s="1145"/>
      <c r="BQ168" s="1145"/>
      <c r="BR168" s="1145"/>
      <c r="BS168" s="1145"/>
      <c r="BT168" s="1145"/>
      <c r="BU168" s="1145"/>
      <c r="BV168" s="1145"/>
      <c r="BW168" s="1145"/>
      <c r="BX168" s="1145"/>
      <c r="BY168" s="1145"/>
    </row>
    <row r="169" spans="1:77" ht="76.5">
      <c r="A169" s="1376">
        <v>40</v>
      </c>
      <c r="B169" s="1383" t="s">
        <v>1018</v>
      </c>
      <c r="C169" s="1383" t="s">
        <v>1019</v>
      </c>
      <c r="D169" s="1375" t="s">
        <v>1020</v>
      </c>
      <c r="E169" s="1375" t="s">
        <v>1021</v>
      </c>
      <c r="F169" s="365"/>
      <c r="G169" s="365"/>
      <c r="H169" s="693"/>
      <c r="I169" s="805" t="s">
        <v>1024</v>
      </c>
      <c r="J169" s="735" t="s">
        <v>1025</v>
      </c>
      <c r="K169" s="739">
        <v>100</v>
      </c>
      <c r="L169" s="739">
        <v>100</v>
      </c>
      <c r="M169" s="739">
        <v>100</v>
      </c>
      <c r="N169" s="786">
        <v>69</v>
      </c>
      <c r="O169" s="1345" t="s">
        <v>1683</v>
      </c>
      <c r="P169" s="1303"/>
      <c r="Q169" s="1303"/>
      <c r="R169" s="1303"/>
      <c r="S169" s="1303"/>
      <c r="T169" s="1303"/>
      <c r="U169" s="1303"/>
      <c r="V169" s="1303"/>
      <c r="W169" s="1303"/>
      <c r="X169" s="1303"/>
      <c r="Y169" s="1303"/>
      <c r="Z169" s="1303"/>
      <c r="AA169" s="1303"/>
      <c r="AB169" s="1303">
        <v>10000000</v>
      </c>
      <c r="AC169" s="900"/>
      <c r="AD169" s="1303"/>
      <c r="AE169" s="1303"/>
      <c r="AF169" s="1303"/>
      <c r="AG169" s="1303"/>
      <c r="AH169" s="1303"/>
      <c r="AI169" s="900"/>
      <c r="AJ169" s="900"/>
      <c r="AK169" s="900"/>
      <c r="AL169" s="900"/>
      <c r="AM169" s="900"/>
      <c r="AN169" s="900"/>
      <c r="AO169" s="900"/>
      <c r="AP169" s="900"/>
      <c r="AQ169" s="900"/>
      <c r="AR169" s="1303"/>
      <c r="AS169" s="1303"/>
      <c r="AT169" s="1303"/>
      <c r="AU169" s="1303"/>
      <c r="AV169" s="1303"/>
      <c r="AW169" s="1302">
        <f t="shared" si="17"/>
        <v>10000000</v>
      </c>
      <c r="BA169" s="1208" t="s">
        <v>1833</v>
      </c>
      <c r="BB169" s="1208" t="s">
        <v>1850</v>
      </c>
      <c r="BC169" s="1208" t="s">
        <v>1850</v>
      </c>
      <c r="BD169" s="1208" t="s">
        <v>1850</v>
      </c>
      <c r="BE169" s="1208" t="s">
        <v>1850</v>
      </c>
      <c r="BF169" s="1208" t="s">
        <v>1851</v>
      </c>
      <c r="BG169" s="1208">
        <v>4</v>
      </c>
      <c r="BH169" s="1145"/>
      <c r="BI169" s="1145"/>
      <c r="BJ169" s="1145"/>
      <c r="BK169" s="1145"/>
      <c r="BL169" s="1145"/>
      <c r="BM169" s="1145"/>
      <c r="BN169" s="1145"/>
      <c r="BO169" s="1145"/>
      <c r="BP169" s="1145"/>
      <c r="BQ169" s="1145"/>
      <c r="BR169" s="1145"/>
      <c r="BS169" s="1145"/>
      <c r="BT169" s="1145"/>
      <c r="BU169" s="1145"/>
      <c r="BV169" s="1145"/>
      <c r="BW169" s="1145"/>
      <c r="BX169" s="1145"/>
      <c r="BY169" s="1145"/>
    </row>
    <row r="170" spans="1:77" ht="63.75">
      <c r="A170" s="1377"/>
      <c r="B170" s="1384"/>
      <c r="C170" s="1384"/>
      <c r="D170" s="1375"/>
      <c r="E170" s="1375"/>
      <c r="F170" s="365"/>
      <c r="G170" s="365"/>
      <c r="H170" s="693"/>
      <c r="I170" s="757" t="s">
        <v>1026</v>
      </c>
      <c r="J170" s="687" t="s">
        <v>1027</v>
      </c>
      <c r="K170" s="367">
        <v>1</v>
      </c>
      <c r="L170" s="688">
        <v>1</v>
      </c>
      <c r="M170" s="367">
        <v>1</v>
      </c>
      <c r="N170" s="771"/>
      <c r="O170" s="1333"/>
      <c r="P170" s="1294"/>
      <c r="Q170" s="1294"/>
      <c r="R170" s="1294"/>
      <c r="S170" s="1294"/>
      <c r="T170" s="1294"/>
      <c r="U170" s="1294"/>
      <c r="V170" s="1294"/>
      <c r="W170" s="1294"/>
      <c r="X170" s="1294"/>
      <c r="Y170" s="1294"/>
      <c r="Z170" s="1294"/>
      <c r="AA170" s="1294"/>
      <c r="AB170" s="1294"/>
      <c r="AC170" s="460"/>
      <c r="AD170" s="1294"/>
      <c r="AE170" s="1294"/>
      <c r="AF170" s="1294"/>
      <c r="AG170" s="1294"/>
      <c r="AH170" s="1294"/>
      <c r="AI170" s="460"/>
      <c r="AJ170" s="460"/>
      <c r="AK170" s="460"/>
      <c r="AL170" s="460"/>
      <c r="AM170" s="460"/>
      <c r="AN170" s="460"/>
      <c r="AO170" s="460"/>
      <c r="AP170" s="460"/>
      <c r="AQ170" s="460"/>
      <c r="AR170" s="1294"/>
      <c r="AS170" s="1294"/>
      <c r="AT170" s="1294"/>
      <c r="AU170" s="1294"/>
      <c r="AV170" s="1294"/>
      <c r="AW170" s="1295">
        <f t="shared" si="17"/>
        <v>0</v>
      </c>
      <c r="BA170" s="1209"/>
      <c r="BB170" s="1209"/>
      <c r="BC170" s="1209"/>
      <c r="BD170" s="1209"/>
      <c r="BE170" s="1209"/>
      <c r="BF170" s="1209"/>
      <c r="BG170" s="1209"/>
      <c r="BH170" s="1145"/>
      <c r="BI170" s="1145"/>
      <c r="BJ170" s="1145"/>
      <c r="BK170" s="1145"/>
      <c r="BL170" s="1145"/>
      <c r="BM170" s="1145"/>
      <c r="BN170" s="1145"/>
      <c r="BO170" s="1145"/>
      <c r="BP170" s="1145"/>
      <c r="BQ170" s="1145"/>
      <c r="BR170" s="1145"/>
      <c r="BS170" s="1145"/>
      <c r="BT170" s="1145"/>
      <c r="BU170" s="1145"/>
      <c r="BV170" s="1145"/>
      <c r="BW170" s="1145"/>
      <c r="BX170" s="1145"/>
      <c r="BY170" s="1145"/>
    </row>
    <row r="171" spans="1:77" ht="63.75">
      <c r="A171" s="1377"/>
      <c r="B171" s="1384"/>
      <c r="C171" s="1384"/>
      <c r="D171" s="1375"/>
      <c r="E171" s="1375"/>
      <c r="F171" s="365"/>
      <c r="G171" s="365"/>
      <c r="H171" s="693"/>
      <c r="I171" s="757" t="s">
        <v>1028</v>
      </c>
      <c r="J171" s="687" t="s">
        <v>1029</v>
      </c>
      <c r="K171" s="367"/>
      <c r="L171" s="690"/>
      <c r="M171" s="690">
        <v>0.15</v>
      </c>
      <c r="N171" s="770">
        <v>0.1</v>
      </c>
      <c r="O171" s="1333"/>
      <c r="P171" s="1294"/>
      <c r="Q171" s="1294"/>
      <c r="R171" s="1294"/>
      <c r="S171" s="1294"/>
      <c r="T171" s="1294"/>
      <c r="U171" s="1294"/>
      <c r="V171" s="1294"/>
      <c r="W171" s="1294"/>
      <c r="X171" s="1294"/>
      <c r="Y171" s="1294"/>
      <c r="Z171" s="1294"/>
      <c r="AA171" s="1294"/>
      <c r="AB171" s="1294"/>
      <c r="AC171" s="460"/>
      <c r="AD171" s="1294"/>
      <c r="AE171" s="1294"/>
      <c r="AF171" s="1294"/>
      <c r="AG171" s="1294"/>
      <c r="AH171" s="1294"/>
      <c r="AI171" s="460"/>
      <c r="AJ171" s="460"/>
      <c r="AK171" s="460"/>
      <c r="AL171" s="460"/>
      <c r="AM171" s="460"/>
      <c r="AN171" s="460"/>
      <c r="AO171" s="460"/>
      <c r="AP171" s="460"/>
      <c r="AQ171" s="460"/>
      <c r="AR171" s="1294"/>
      <c r="AS171" s="1294"/>
      <c r="AT171" s="1294"/>
      <c r="AU171" s="1294"/>
      <c r="AV171" s="1294"/>
      <c r="AW171" s="1295">
        <f t="shared" si="17"/>
        <v>0</v>
      </c>
      <c r="BA171" s="1209"/>
      <c r="BB171" s="1209"/>
      <c r="BC171" s="1209"/>
      <c r="BD171" s="1209"/>
      <c r="BE171" s="1209"/>
      <c r="BF171" s="1209"/>
      <c r="BG171" s="1209"/>
      <c r="BH171" s="1145"/>
      <c r="BI171" s="1145"/>
      <c r="BJ171" s="1145"/>
      <c r="BK171" s="1145"/>
      <c r="BL171" s="1145"/>
      <c r="BM171" s="1145"/>
      <c r="BN171" s="1145"/>
      <c r="BO171" s="1145"/>
      <c r="BP171" s="1145"/>
      <c r="BQ171" s="1145"/>
      <c r="BR171" s="1145"/>
      <c r="BS171" s="1145"/>
      <c r="BT171" s="1145"/>
      <c r="BU171" s="1145"/>
      <c r="BV171" s="1145"/>
      <c r="BW171" s="1145"/>
      <c r="BX171" s="1145"/>
      <c r="BY171" s="1145"/>
    </row>
    <row r="172" spans="1:77" ht="81" customHeight="1">
      <c r="A172" s="1377"/>
      <c r="B172" s="1384"/>
      <c r="C172" s="1384"/>
      <c r="D172" s="1375"/>
      <c r="E172" s="1375"/>
      <c r="F172" s="365"/>
      <c r="G172" s="365"/>
      <c r="H172" s="693"/>
      <c r="I172" s="757" t="s">
        <v>1030</v>
      </c>
      <c r="J172" s="687" t="s">
        <v>1031</v>
      </c>
      <c r="K172" s="690">
        <v>0.4</v>
      </c>
      <c r="L172" s="690"/>
      <c r="M172" s="690">
        <v>0.4</v>
      </c>
      <c r="N172" s="770">
        <v>0.2</v>
      </c>
      <c r="O172" s="1333"/>
      <c r="P172" s="1294"/>
      <c r="Q172" s="1294"/>
      <c r="R172" s="1294"/>
      <c r="S172" s="1294"/>
      <c r="T172" s="1294"/>
      <c r="U172" s="1294"/>
      <c r="V172" s="1294"/>
      <c r="W172" s="1294"/>
      <c r="X172" s="1294"/>
      <c r="Y172" s="1294"/>
      <c r="Z172" s="1294"/>
      <c r="AA172" s="1294"/>
      <c r="AB172" s="1294"/>
      <c r="AC172" s="460"/>
      <c r="AD172" s="1294"/>
      <c r="AE172" s="1294"/>
      <c r="AF172" s="1294"/>
      <c r="AG172" s="1294"/>
      <c r="AH172" s="1294"/>
      <c r="AI172" s="460"/>
      <c r="AJ172" s="460"/>
      <c r="AK172" s="460"/>
      <c r="AL172" s="460"/>
      <c r="AM172" s="460"/>
      <c r="AN172" s="460"/>
      <c r="AO172" s="460"/>
      <c r="AP172" s="460"/>
      <c r="AQ172" s="460"/>
      <c r="AR172" s="1294"/>
      <c r="AS172" s="1294"/>
      <c r="AT172" s="1294"/>
      <c r="AU172" s="1294"/>
      <c r="AV172" s="1294"/>
      <c r="AW172" s="1295">
        <f t="shared" si="17"/>
        <v>0</v>
      </c>
      <c r="BA172" s="1209"/>
      <c r="BB172" s="1209"/>
      <c r="BC172" s="1209"/>
      <c r="BD172" s="1209"/>
      <c r="BE172" s="1209"/>
      <c r="BF172" s="1209"/>
      <c r="BG172" s="1209"/>
      <c r="BH172" s="1145"/>
      <c r="BI172" s="1145"/>
      <c r="BJ172" s="1145"/>
      <c r="BK172" s="1145"/>
      <c r="BL172" s="1145"/>
      <c r="BM172" s="1145"/>
      <c r="BN172" s="1145"/>
      <c r="BO172" s="1145"/>
      <c r="BP172" s="1145"/>
      <c r="BQ172" s="1145"/>
      <c r="BR172" s="1145"/>
      <c r="BS172" s="1145"/>
      <c r="BT172" s="1145"/>
      <c r="BU172" s="1145"/>
      <c r="BV172" s="1145"/>
      <c r="BW172" s="1145"/>
      <c r="BX172" s="1145"/>
      <c r="BY172" s="1145"/>
    </row>
    <row r="173" spans="1:77" ht="45">
      <c r="A173" s="1377"/>
      <c r="B173" s="1384"/>
      <c r="C173" s="1384"/>
      <c r="D173" s="1375"/>
      <c r="E173" s="1375"/>
      <c r="F173" s="365"/>
      <c r="G173" s="365"/>
      <c r="H173" s="693"/>
      <c r="I173" s="757" t="s">
        <v>1032</v>
      </c>
      <c r="J173" s="687" t="s">
        <v>1033</v>
      </c>
      <c r="K173" s="367"/>
      <c r="L173" s="686"/>
      <c r="M173" s="686">
        <v>4000</v>
      </c>
      <c r="N173" s="769">
        <v>2000</v>
      </c>
      <c r="O173" s="1333"/>
      <c r="P173" s="1294"/>
      <c r="Q173" s="1294"/>
      <c r="R173" s="1294"/>
      <c r="S173" s="1294"/>
      <c r="T173" s="1294"/>
      <c r="U173" s="1294"/>
      <c r="V173" s="1294"/>
      <c r="W173" s="1294"/>
      <c r="X173" s="1294"/>
      <c r="Y173" s="1294"/>
      <c r="Z173" s="1294"/>
      <c r="AA173" s="1294"/>
      <c r="AB173" s="1294"/>
      <c r="AC173" s="460"/>
      <c r="AD173" s="1294"/>
      <c r="AE173" s="1294"/>
      <c r="AF173" s="1294"/>
      <c r="AG173" s="1294"/>
      <c r="AH173" s="1294"/>
      <c r="AI173" s="460"/>
      <c r="AJ173" s="460"/>
      <c r="AK173" s="460"/>
      <c r="AL173" s="460"/>
      <c r="AM173" s="460"/>
      <c r="AN173" s="460"/>
      <c r="AO173" s="460"/>
      <c r="AP173" s="460"/>
      <c r="AQ173" s="460"/>
      <c r="AR173" s="1294"/>
      <c r="AS173" s="1294"/>
      <c r="AT173" s="1294"/>
      <c r="AU173" s="1294"/>
      <c r="AV173" s="1294"/>
      <c r="AW173" s="1295">
        <f t="shared" si="17"/>
        <v>0</v>
      </c>
      <c r="BA173" s="1209"/>
      <c r="BB173" s="1209"/>
      <c r="BC173" s="1209"/>
      <c r="BD173" s="1209"/>
      <c r="BE173" s="1209"/>
      <c r="BF173" s="1209"/>
      <c r="BG173" s="1209"/>
      <c r="BH173" s="1145"/>
      <c r="BI173" s="1145"/>
      <c r="BJ173" s="1145"/>
      <c r="BK173" s="1145"/>
      <c r="BL173" s="1145"/>
      <c r="BM173" s="1145"/>
      <c r="BN173" s="1145"/>
      <c r="BO173" s="1145"/>
      <c r="BP173" s="1145"/>
      <c r="BQ173" s="1145"/>
      <c r="BR173" s="1145"/>
      <c r="BS173" s="1145"/>
      <c r="BT173" s="1145"/>
      <c r="BU173" s="1145"/>
      <c r="BV173" s="1145"/>
      <c r="BW173" s="1145"/>
      <c r="BX173" s="1145"/>
      <c r="BY173" s="1145"/>
    </row>
    <row r="174" spans="1:77" ht="63.75">
      <c r="A174" s="1377"/>
      <c r="B174" s="1384"/>
      <c r="C174" s="1384"/>
      <c r="D174" s="1375"/>
      <c r="E174" s="1375"/>
      <c r="F174" s="365"/>
      <c r="G174" s="365"/>
      <c r="H174" s="693"/>
      <c r="I174" s="750" t="s">
        <v>1672</v>
      </c>
      <c r="J174" s="687" t="s">
        <v>1035</v>
      </c>
      <c r="K174" s="688">
        <v>1</v>
      </c>
      <c r="L174" s="688">
        <v>1</v>
      </c>
      <c r="M174" s="367"/>
      <c r="N174" s="771"/>
      <c r="O174" s="1333"/>
      <c r="P174" s="1294"/>
      <c r="Q174" s="1294"/>
      <c r="R174" s="1294"/>
      <c r="S174" s="1294"/>
      <c r="T174" s="1294"/>
      <c r="U174" s="1294"/>
      <c r="V174" s="1294"/>
      <c r="W174" s="1294"/>
      <c r="X174" s="1294"/>
      <c r="Y174" s="1294"/>
      <c r="Z174" s="1294"/>
      <c r="AA174" s="1294"/>
      <c r="AB174" s="1294"/>
      <c r="AC174" s="460"/>
      <c r="AD174" s="1294"/>
      <c r="AE174" s="1294"/>
      <c r="AF174" s="1294"/>
      <c r="AG174" s="1294"/>
      <c r="AH174" s="1294"/>
      <c r="AI174" s="460"/>
      <c r="AJ174" s="460"/>
      <c r="AK174" s="460"/>
      <c r="AL174" s="460"/>
      <c r="AM174" s="460"/>
      <c r="AN174" s="460"/>
      <c r="AO174" s="460"/>
      <c r="AP174" s="460"/>
      <c r="AQ174" s="460"/>
      <c r="AR174" s="1294"/>
      <c r="AS174" s="1294"/>
      <c r="AT174" s="1294"/>
      <c r="AU174" s="1294"/>
      <c r="AV174" s="1294"/>
      <c r="AW174" s="1295">
        <f t="shared" si="17"/>
        <v>0</v>
      </c>
      <c r="BA174" s="1209"/>
      <c r="BB174" s="1209"/>
      <c r="BC174" s="1209"/>
      <c r="BD174" s="1209"/>
      <c r="BE174" s="1209"/>
      <c r="BF174" s="1209"/>
      <c r="BG174" s="1209"/>
      <c r="BH174" s="1145"/>
      <c r="BI174" s="1145"/>
      <c r="BJ174" s="1145"/>
      <c r="BK174" s="1145"/>
      <c r="BL174" s="1145"/>
      <c r="BM174" s="1145"/>
      <c r="BN174" s="1145"/>
      <c r="BO174" s="1145"/>
      <c r="BP174" s="1145"/>
      <c r="BQ174" s="1145"/>
      <c r="BR174" s="1145"/>
      <c r="BS174" s="1145"/>
      <c r="BT174" s="1145"/>
      <c r="BU174" s="1145"/>
      <c r="BV174" s="1145"/>
      <c r="BW174" s="1145"/>
      <c r="BX174" s="1145"/>
      <c r="BY174" s="1145"/>
    </row>
    <row r="175" spans="1:77" ht="26.25" customHeight="1">
      <c r="A175" s="1377"/>
      <c r="B175" s="1384"/>
      <c r="C175" s="1384"/>
      <c r="D175" s="1375"/>
      <c r="E175" s="719"/>
      <c r="F175" s="365"/>
      <c r="G175" s="1368"/>
      <c r="H175" s="745"/>
      <c r="I175" s="1360" t="s">
        <v>1037</v>
      </c>
      <c r="J175" s="719"/>
      <c r="K175" s="1362"/>
      <c r="L175" s="1362"/>
      <c r="M175" s="1367">
        <v>16</v>
      </c>
      <c r="N175" s="771"/>
      <c r="O175" s="1333"/>
      <c r="P175" s="1294"/>
      <c r="Q175" s="1294"/>
      <c r="R175" s="1294"/>
      <c r="S175" s="1294"/>
      <c r="T175" s="1294"/>
      <c r="U175" s="1294"/>
      <c r="V175" s="1294"/>
      <c r="W175" s="1294"/>
      <c r="X175" s="1294"/>
      <c r="Y175" s="1294"/>
      <c r="Z175" s="1294"/>
      <c r="AA175" s="1294"/>
      <c r="AB175" s="1294"/>
      <c r="AC175" s="460"/>
      <c r="AD175" s="1294"/>
      <c r="AE175" s="1294"/>
      <c r="AF175" s="1294"/>
      <c r="AG175" s="1294"/>
      <c r="AH175" s="1294"/>
      <c r="AI175" s="460"/>
      <c r="AJ175" s="460"/>
      <c r="AK175" s="460"/>
      <c r="AL175" s="460"/>
      <c r="AM175" s="460"/>
      <c r="AN175" s="460"/>
      <c r="AO175" s="460"/>
      <c r="AP175" s="460"/>
      <c r="AQ175" s="460"/>
      <c r="AR175" s="1294"/>
      <c r="AS175" s="1294"/>
      <c r="AT175" s="1294"/>
      <c r="AU175" s="1294"/>
      <c r="AV175" s="1294"/>
      <c r="AW175" s="1295">
        <f t="shared" si="17"/>
        <v>0</v>
      </c>
      <c r="BA175" s="1209"/>
      <c r="BB175" s="1209"/>
      <c r="BC175" s="1209"/>
      <c r="BD175" s="1209"/>
      <c r="BE175" s="1209"/>
      <c r="BF175" s="1209"/>
      <c r="BG175" s="1209"/>
      <c r="BH175" s="1145"/>
      <c r="BI175" s="1145"/>
      <c r="BJ175" s="1145"/>
      <c r="BK175" s="1145"/>
      <c r="BL175" s="1145"/>
      <c r="BM175" s="1145"/>
      <c r="BN175" s="1145"/>
      <c r="BO175" s="1145"/>
      <c r="BP175" s="1145"/>
      <c r="BQ175" s="1145"/>
      <c r="BR175" s="1145"/>
      <c r="BS175" s="1145"/>
      <c r="BT175" s="1145"/>
      <c r="BU175" s="1145"/>
      <c r="BV175" s="1145"/>
      <c r="BW175" s="1145"/>
      <c r="BX175" s="1145"/>
      <c r="BY175" s="1145"/>
    </row>
    <row r="176" spans="1:77" ht="51">
      <c r="A176" s="1377"/>
      <c r="B176" s="1384"/>
      <c r="C176" s="1384"/>
      <c r="D176" s="1375"/>
      <c r="E176" s="688" t="s">
        <v>1036</v>
      </c>
      <c r="F176" s="365"/>
      <c r="G176" s="1369"/>
      <c r="H176" s="693"/>
      <c r="I176" s="1361"/>
      <c r="J176" s="687" t="s">
        <v>1038</v>
      </c>
      <c r="K176" s="1366"/>
      <c r="L176" s="1366"/>
      <c r="M176" s="1367"/>
      <c r="N176" s="374">
        <v>20</v>
      </c>
      <c r="O176" s="1333"/>
      <c r="P176" s="1294"/>
      <c r="Q176" s="1294"/>
      <c r="R176" s="1294"/>
      <c r="S176" s="1294"/>
      <c r="T176" s="1294"/>
      <c r="U176" s="1294"/>
      <c r="V176" s="1294"/>
      <c r="W176" s="1294"/>
      <c r="X176" s="1294"/>
      <c r="Y176" s="1294"/>
      <c r="Z176" s="1294"/>
      <c r="AA176" s="1294"/>
      <c r="AB176" s="1294"/>
      <c r="AC176" s="460"/>
      <c r="AD176" s="1294"/>
      <c r="AE176" s="1294"/>
      <c r="AF176" s="1294"/>
      <c r="AG176" s="1294"/>
      <c r="AH176" s="1294"/>
      <c r="AI176" s="460"/>
      <c r="AJ176" s="460"/>
      <c r="AK176" s="460"/>
      <c r="AL176" s="460"/>
      <c r="AM176" s="460"/>
      <c r="AN176" s="460"/>
      <c r="AO176" s="460"/>
      <c r="AP176" s="460"/>
      <c r="AQ176" s="460"/>
      <c r="AR176" s="1294"/>
      <c r="AS176" s="1294"/>
      <c r="AT176" s="1294"/>
      <c r="AU176" s="1294"/>
      <c r="AV176" s="1294"/>
      <c r="AW176" s="1295">
        <f t="shared" si="17"/>
        <v>0</v>
      </c>
      <c r="BA176" s="1209"/>
      <c r="BB176" s="1209"/>
      <c r="BC176" s="1209"/>
      <c r="BD176" s="1209"/>
      <c r="BE176" s="1209"/>
      <c r="BF176" s="1209"/>
      <c r="BG176" s="1209"/>
      <c r="BH176" s="1145"/>
      <c r="BI176" s="1145"/>
      <c r="BJ176" s="1145"/>
      <c r="BK176" s="1145"/>
      <c r="BL176" s="1145"/>
      <c r="BM176" s="1145"/>
      <c r="BN176" s="1145"/>
      <c r="BO176" s="1145"/>
      <c r="BP176" s="1145"/>
      <c r="BQ176" s="1145"/>
      <c r="BR176" s="1145"/>
      <c r="BS176" s="1145"/>
      <c r="BT176" s="1145"/>
      <c r="BU176" s="1145"/>
      <c r="BV176" s="1145"/>
      <c r="BW176" s="1145"/>
      <c r="BX176" s="1145"/>
      <c r="BY176" s="1145"/>
    </row>
    <row r="177" spans="1:77" ht="114.75">
      <c r="A177" s="1377"/>
      <c r="B177" s="1384"/>
      <c r="C177" s="1384"/>
      <c r="D177" s="687" t="s">
        <v>1039</v>
      </c>
      <c r="E177" s="687" t="s">
        <v>1040</v>
      </c>
      <c r="F177" s="365"/>
      <c r="G177" s="365"/>
      <c r="H177" s="693"/>
      <c r="I177" s="757" t="s">
        <v>1043</v>
      </c>
      <c r="J177" s="687" t="s">
        <v>1044</v>
      </c>
      <c r="K177" s="688">
        <v>50</v>
      </c>
      <c r="L177" s="688">
        <v>400</v>
      </c>
      <c r="M177" s="739">
        <v>222</v>
      </c>
      <c r="N177" s="786"/>
      <c r="O177" s="847" t="s">
        <v>1686</v>
      </c>
      <c r="P177" s="460"/>
      <c r="Q177" s="460"/>
      <c r="R177" s="460"/>
      <c r="S177" s="460"/>
      <c r="T177" s="460"/>
      <c r="U177" s="460"/>
      <c r="V177" s="460"/>
      <c r="W177" s="460"/>
      <c r="X177" s="460"/>
      <c r="Y177" s="460"/>
      <c r="Z177" s="460"/>
      <c r="AA177" s="460"/>
      <c r="AB177" s="460">
        <v>10000000</v>
      </c>
      <c r="AC177" s="460"/>
      <c r="AD177" s="460"/>
      <c r="AE177" s="460"/>
      <c r="AF177" s="460"/>
      <c r="AG177" s="460"/>
      <c r="AH177" s="460"/>
      <c r="AI177" s="460"/>
      <c r="AJ177" s="460"/>
      <c r="AK177" s="460"/>
      <c r="AL177" s="460"/>
      <c r="AM177" s="460"/>
      <c r="AN177" s="460"/>
      <c r="AO177" s="460"/>
      <c r="AP177" s="460"/>
      <c r="AQ177" s="460"/>
      <c r="AR177" s="460"/>
      <c r="AS177" s="460"/>
      <c r="AT177" s="460"/>
      <c r="AU177" s="460"/>
      <c r="AV177" s="460"/>
      <c r="AW177" s="775">
        <f t="shared" si="17"/>
        <v>10000000</v>
      </c>
      <c r="BA177" s="1209"/>
      <c r="BB177" s="1209"/>
      <c r="BC177" s="1209"/>
      <c r="BD177" s="1209"/>
      <c r="BE177" s="1209"/>
      <c r="BF177" s="1209"/>
      <c r="BG177" s="1209"/>
      <c r="BH177" s="1145"/>
      <c r="BI177" s="1145"/>
      <c r="BJ177" s="1145"/>
      <c r="BK177" s="1145"/>
      <c r="BL177" s="1145"/>
      <c r="BM177" s="1145"/>
      <c r="BN177" s="1145"/>
      <c r="BO177" s="1145"/>
      <c r="BP177" s="1145"/>
      <c r="BQ177" s="1145"/>
      <c r="BR177" s="1145"/>
      <c r="BS177" s="1145"/>
      <c r="BT177" s="1145"/>
      <c r="BU177" s="1145"/>
      <c r="BV177" s="1145"/>
      <c r="BW177" s="1145"/>
      <c r="BX177" s="1145"/>
      <c r="BY177" s="1145"/>
    </row>
    <row r="178" spans="1:77" ht="15">
      <c r="A178" s="1377"/>
      <c r="B178" s="1384"/>
      <c r="C178" s="1384"/>
      <c r="D178" s="895"/>
      <c r="E178" s="895"/>
      <c r="F178" s="365"/>
      <c r="G178" s="365"/>
      <c r="H178" s="902"/>
      <c r="I178" s="757"/>
      <c r="J178" s="895"/>
      <c r="K178" s="894"/>
      <c r="L178" s="894"/>
      <c r="M178" s="893"/>
      <c r="N178" s="786"/>
      <c r="O178" s="891" t="s">
        <v>1744</v>
      </c>
      <c r="P178" s="460"/>
      <c r="Q178" s="460"/>
      <c r="R178" s="460"/>
      <c r="S178" s="460"/>
      <c r="T178" s="460"/>
      <c r="U178" s="460"/>
      <c r="V178" s="460"/>
      <c r="W178" s="460"/>
      <c r="X178" s="460"/>
      <c r="Y178" s="460">
        <f>+Y5*50%</f>
        <v>463816829.5</v>
      </c>
      <c r="Z178" s="460"/>
      <c r="AA178" s="460"/>
      <c r="AB178" s="460"/>
      <c r="AC178" s="460"/>
      <c r="AD178" s="460"/>
      <c r="AE178" s="460"/>
      <c r="AF178" s="460"/>
      <c r="AG178" s="460"/>
      <c r="AH178" s="460"/>
      <c r="AI178" s="460"/>
      <c r="AJ178" s="460"/>
      <c r="AK178" s="460"/>
      <c r="AL178" s="460"/>
      <c r="AM178" s="460"/>
      <c r="AN178" s="460"/>
      <c r="AO178" s="460"/>
      <c r="AP178" s="460"/>
      <c r="AQ178" s="460"/>
      <c r="AR178" s="460"/>
      <c r="AS178" s="460"/>
      <c r="AT178" s="460"/>
      <c r="AU178" s="460"/>
      <c r="AV178" s="460"/>
      <c r="AW178" s="775">
        <f t="shared" si="17"/>
        <v>463816829.5</v>
      </c>
      <c r="AY178" s="898"/>
      <c r="AZ178" s="898"/>
      <c r="BA178" s="1209"/>
      <c r="BB178" s="1209"/>
      <c r="BC178" s="1209"/>
      <c r="BD178" s="1209"/>
      <c r="BE178" s="1209"/>
      <c r="BF178" s="1209"/>
      <c r="BG178" s="1209"/>
      <c r="BH178" s="1145"/>
      <c r="BI178" s="1145"/>
      <c r="BJ178" s="1145"/>
      <c r="BK178" s="1145"/>
      <c r="BL178" s="1145"/>
      <c r="BM178" s="1145"/>
      <c r="BN178" s="1145"/>
      <c r="BO178" s="1145"/>
      <c r="BP178" s="1145"/>
      <c r="BQ178" s="1145"/>
      <c r="BR178" s="1145"/>
      <c r="BS178" s="1145"/>
      <c r="BT178" s="1145"/>
      <c r="BU178" s="1145"/>
      <c r="BV178" s="1145"/>
      <c r="BW178" s="1145"/>
      <c r="BX178" s="1145"/>
      <c r="BY178" s="1145"/>
    </row>
    <row r="179" spans="1:77" ht="76.5">
      <c r="A179" s="1377"/>
      <c r="B179" s="1384"/>
      <c r="C179" s="1384"/>
      <c r="D179" s="1375" t="s">
        <v>1045</v>
      </c>
      <c r="E179" s="1375" t="s">
        <v>1046</v>
      </c>
      <c r="F179" s="365"/>
      <c r="G179" s="365"/>
      <c r="H179" s="693"/>
      <c r="I179" s="757" t="s">
        <v>1049</v>
      </c>
      <c r="J179" s="687" t="s">
        <v>1050</v>
      </c>
      <c r="K179" s="688"/>
      <c r="L179" s="688">
        <v>100</v>
      </c>
      <c r="M179" s="688">
        <v>800</v>
      </c>
      <c r="N179" s="374">
        <v>23</v>
      </c>
      <c r="O179" s="852" t="s">
        <v>1673</v>
      </c>
      <c r="P179" s="460"/>
      <c r="Q179" s="460"/>
      <c r="R179" s="460"/>
      <c r="S179" s="460"/>
      <c r="T179" s="460"/>
      <c r="U179" s="460"/>
      <c r="V179" s="460"/>
      <c r="W179" s="460"/>
      <c r="X179" s="460"/>
      <c r="Y179" s="460">
        <f>+Y5*15%</f>
        <v>139145048.85</v>
      </c>
      <c r="Z179" s="460"/>
      <c r="AA179" s="460"/>
      <c r="AB179" s="460"/>
      <c r="AC179" s="460"/>
      <c r="AD179" s="460"/>
      <c r="AE179" s="460"/>
      <c r="AF179" s="460"/>
      <c r="AG179" s="460"/>
      <c r="AH179" s="460"/>
      <c r="AI179" s="460"/>
      <c r="AJ179" s="460"/>
      <c r="AK179" s="460"/>
      <c r="AL179" s="460"/>
      <c r="AM179" s="460"/>
      <c r="AN179" s="460"/>
      <c r="AO179" s="460"/>
      <c r="AP179" s="460"/>
      <c r="AQ179" s="460"/>
      <c r="AR179" s="460"/>
      <c r="AS179" s="460"/>
      <c r="AT179" s="460"/>
      <c r="AU179" s="460"/>
      <c r="AV179" s="460"/>
      <c r="AW179" s="775">
        <f t="shared" si="17"/>
        <v>139145048.85</v>
      </c>
      <c r="BA179" s="1209"/>
      <c r="BB179" s="1209"/>
      <c r="BC179" s="1209"/>
      <c r="BD179" s="1209"/>
      <c r="BE179" s="1209"/>
      <c r="BF179" s="1209"/>
      <c r="BG179" s="1209"/>
      <c r="BH179" s="1145"/>
      <c r="BI179" s="1145"/>
      <c r="BJ179" s="1145"/>
      <c r="BK179" s="1145"/>
      <c r="BL179" s="1145"/>
      <c r="BM179" s="1145"/>
      <c r="BN179" s="1145"/>
      <c r="BO179" s="1145"/>
      <c r="BP179" s="1145"/>
      <c r="BQ179" s="1145"/>
      <c r="BR179" s="1145"/>
      <c r="BS179" s="1145"/>
      <c r="BT179" s="1145"/>
      <c r="BU179" s="1145"/>
      <c r="BV179" s="1145"/>
      <c r="BW179" s="1145"/>
      <c r="BX179" s="1145"/>
      <c r="BY179" s="1145"/>
    </row>
    <row r="180" spans="1:77" ht="56.25">
      <c r="A180" s="1377"/>
      <c r="B180" s="1384"/>
      <c r="C180" s="1384"/>
      <c r="D180" s="1375"/>
      <c r="E180" s="1375"/>
      <c r="F180" s="365"/>
      <c r="G180" s="365"/>
      <c r="H180" s="693"/>
      <c r="I180" s="757" t="s">
        <v>1051</v>
      </c>
      <c r="J180" s="687" t="s">
        <v>1033</v>
      </c>
      <c r="K180" s="367"/>
      <c r="L180" s="686"/>
      <c r="M180" s="686">
        <v>10000</v>
      </c>
      <c r="N180" s="769">
        <v>5000</v>
      </c>
      <c r="O180" s="847" t="s">
        <v>1660</v>
      </c>
      <c r="P180" s="460"/>
      <c r="Q180" s="460"/>
      <c r="R180" s="460"/>
      <c r="S180" s="460"/>
      <c r="T180" s="460"/>
      <c r="U180" s="460"/>
      <c r="V180" s="460"/>
      <c r="W180" s="460"/>
      <c r="X180" s="460"/>
      <c r="Y180" s="460"/>
      <c r="Z180" s="460"/>
      <c r="AA180" s="460"/>
      <c r="AB180" s="460"/>
      <c r="AC180" s="460"/>
      <c r="AD180" s="460">
        <v>200000000</v>
      </c>
      <c r="AE180" s="460"/>
      <c r="AF180" s="460"/>
      <c r="AG180" s="460"/>
      <c r="AH180" s="460"/>
      <c r="AI180" s="460"/>
      <c r="AJ180" s="460"/>
      <c r="AK180" s="460"/>
      <c r="AL180" s="460"/>
      <c r="AM180" s="460"/>
      <c r="AN180" s="460"/>
      <c r="AO180" s="460"/>
      <c r="AP180" s="460"/>
      <c r="AQ180" s="460"/>
      <c r="AR180" s="460"/>
      <c r="AS180" s="460"/>
      <c r="AT180" s="460"/>
      <c r="AU180" s="460"/>
      <c r="AV180" s="460"/>
      <c r="AW180" s="775">
        <f t="shared" si="17"/>
        <v>200000000</v>
      </c>
      <c r="BA180" s="1209"/>
      <c r="BB180" s="1209"/>
      <c r="BC180" s="1209"/>
      <c r="BD180" s="1209"/>
      <c r="BE180" s="1209"/>
      <c r="BF180" s="1209"/>
      <c r="BG180" s="1209"/>
      <c r="BH180" s="1145"/>
      <c r="BI180" s="1145"/>
      <c r="BJ180" s="1145"/>
      <c r="BK180" s="1145"/>
      <c r="BL180" s="1145"/>
      <c r="BM180" s="1145"/>
      <c r="BN180" s="1145"/>
      <c r="BO180" s="1145"/>
      <c r="BP180" s="1145"/>
      <c r="BQ180" s="1145"/>
      <c r="BR180" s="1145"/>
      <c r="BS180" s="1145"/>
      <c r="BT180" s="1145"/>
      <c r="BU180" s="1145"/>
      <c r="BV180" s="1145"/>
      <c r="BW180" s="1145"/>
      <c r="BX180" s="1145"/>
      <c r="BY180" s="1145"/>
    </row>
    <row r="181" spans="1:77" ht="22.5" customHeight="1">
      <c r="A181" s="1377"/>
      <c r="B181" s="1384"/>
      <c r="C181" s="1384"/>
      <c r="D181" s="719"/>
      <c r="E181" s="719"/>
      <c r="F181" s="365"/>
      <c r="G181" s="1360"/>
      <c r="H181" s="745"/>
      <c r="I181" s="1360" t="s">
        <v>1056</v>
      </c>
      <c r="J181" s="719"/>
      <c r="K181" s="1360"/>
      <c r="L181" s="1360"/>
      <c r="M181" s="1360"/>
      <c r="N181" s="769"/>
      <c r="O181" s="1340" t="s">
        <v>1674</v>
      </c>
      <c r="P181" s="1301"/>
      <c r="Q181" s="1301"/>
      <c r="R181" s="1301"/>
      <c r="S181" s="1301"/>
      <c r="T181" s="1301"/>
      <c r="U181" s="1301"/>
      <c r="V181" s="1301"/>
      <c r="W181" s="1301"/>
      <c r="X181" s="1301"/>
      <c r="Y181" s="1301">
        <f>+Y5*15%</f>
        <v>139145048.85</v>
      </c>
      <c r="Z181" s="1301"/>
      <c r="AA181" s="1301"/>
      <c r="AB181" s="1301"/>
      <c r="AC181" s="460"/>
      <c r="AD181" s="1301"/>
      <c r="AE181" s="1301"/>
      <c r="AF181" s="1301"/>
      <c r="AG181" s="1301"/>
      <c r="AH181" s="1301"/>
      <c r="AI181" s="460"/>
      <c r="AJ181" s="460"/>
      <c r="AK181" s="460"/>
      <c r="AL181" s="460"/>
      <c r="AM181" s="460"/>
      <c r="AN181" s="460"/>
      <c r="AO181" s="460"/>
      <c r="AP181" s="460"/>
      <c r="AQ181" s="460"/>
      <c r="AR181" s="1301"/>
      <c r="AS181" s="1301"/>
      <c r="AT181" s="1301"/>
      <c r="AU181" s="1301"/>
      <c r="AV181" s="1301"/>
      <c r="AW181" s="1300">
        <f t="shared" si="17"/>
        <v>139145048.85</v>
      </c>
      <c r="BA181" s="1209"/>
      <c r="BB181" s="1209"/>
      <c r="BC181" s="1209"/>
      <c r="BD181" s="1209"/>
      <c r="BE181" s="1209"/>
      <c r="BF181" s="1209"/>
      <c r="BG181" s="1209"/>
      <c r="BH181" s="1145"/>
      <c r="BI181" s="1145"/>
      <c r="BJ181" s="1145"/>
      <c r="BK181" s="1145"/>
      <c r="BL181" s="1145"/>
      <c r="BM181" s="1145"/>
      <c r="BN181" s="1145"/>
      <c r="BO181" s="1145"/>
      <c r="BP181" s="1145"/>
      <c r="BQ181" s="1145"/>
      <c r="BR181" s="1145"/>
      <c r="BS181" s="1145"/>
      <c r="BT181" s="1145"/>
      <c r="BU181" s="1145"/>
      <c r="BV181" s="1145"/>
      <c r="BW181" s="1145"/>
      <c r="BX181" s="1145"/>
      <c r="BY181" s="1145"/>
    </row>
    <row r="182" spans="1:77" ht="114.75">
      <c r="A182" s="1377"/>
      <c r="B182" s="1384"/>
      <c r="C182" s="1384"/>
      <c r="D182" s="687" t="s">
        <v>1052</v>
      </c>
      <c r="E182" s="687" t="s">
        <v>1053</v>
      </c>
      <c r="F182" s="365"/>
      <c r="G182" s="1361"/>
      <c r="H182" s="693"/>
      <c r="I182" s="1361"/>
      <c r="J182" s="687" t="s">
        <v>1057</v>
      </c>
      <c r="K182" s="1361"/>
      <c r="L182" s="1361"/>
      <c r="M182" s="1361">
        <v>300</v>
      </c>
      <c r="N182" s="374">
        <v>73</v>
      </c>
      <c r="O182" s="1340"/>
      <c r="P182" s="1301"/>
      <c r="Q182" s="1301"/>
      <c r="R182" s="1301"/>
      <c r="S182" s="1301"/>
      <c r="T182" s="1301"/>
      <c r="U182" s="1301"/>
      <c r="V182" s="1301"/>
      <c r="W182" s="1301"/>
      <c r="X182" s="1301"/>
      <c r="Y182" s="1301"/>
      <c r="Z182" s="1301"/>
      <c r="AA182" s="1301"/>
      <c r="AB182" s="1301"/>
      <c r="AC182" s="460"/>
      <c r="AD182" s="1301"/>
      <c r="AE182" s="1301"/>
      <c r="AF182" s="1301"/>
      <c r="AG182" s="1301"/>
      <c r="AH182" s="1301"/>
      <c r="AI182" s="460"/>
      <c r="AJ182" s="460"/>
      <c r="AK182" s="460"/>
      <c r="AL182" s="460"/>
      <c r="AM182" s="460"/>
      <c r="AN182" s="460"/>
      <c r="AO182" s="460"/>
      <c r="AP182" s="460"/>
      <c r="AQ182" s="460"/>
      <c r="AR182" s="1301"/>
      <c r="AS182" s="1301"/>
      <c r="AT182" s="1301"/>
      <c r="AU182" s="1301"/>
      <c r="AV182" s="1301"/>
      <c r="AW182" s="1300">
        <f t="shared" si="17"/>
        <v>0</v>
      </c>
      <c r="BA182" s="1209"/>
      <c r="BB182" s="1209"/>
      <c r="BC182" s="1209"/>
      <c r="BD182" s="1209"/>
      <c r="BE182" s="1209"/>
      <c r="BF182" s="1209"/>
      <c r="BG182" s="1209"/>
      <c r="BH182" s="1145"/>
      <c r="BI182" s="1145"/>
      <c r="BJ182" s="1145"/>
      <c r="BK182" s="1145"/>
      <c r="BL182" s="1145"/>
      <c r="BM182" s="1145"/>
      <c r="BN182" s="1145"/>
      <c r="BO182" s="1145"/>
      <c r="BP182" s="1145"/>
      <c r="BQ182" s="1145"/>
      <c r="BR182" s="1145"/>
      <c r="BS182" s="1145"/>
      <c r="BT182" s="1145"/>
      <c r="BU182" s="1145"/>
      <c r="BV182" s="1145"/>
      <c r="BW182" s="1145"/>
      <c r="BX182" s="1145"/>
      <c r="BY182" s="1145"/>
    </row>
    <row r="183" spans="1:77" ht="63.75">
      <c r="A183" s="1377"/>
      <c r="B183" s="1384"/>
      <c r="C183" s="1384"/>
      <c r="D183" s="1375" t="s">
        <v>1058</v>
      </c>
      <c r="E183" s="1375" t="s">
        <v>1059</v>
      </c>
      <c r="F183" s="365"/>
      <c r="G183" s="365"/>
      <c r="H183" s="693"/>
      <c r="I183" s="757" t="s">
        <v>1062</v>
      </c>
      <c r="J183" s="687" t="s">
        <v>1063</v>
      </c>
      <c r="K183" s="688">
        <v>300</v>
      </c>
      <c r="L183" s="688"/>
      <c r="M183" s="686">
        <v>1000</v>
      </c>
      <c r="N183" s="769">
        <v>2575</v>
      </c>
      <c r="O183" s="1333" t="s">
        <v>1684</v>
      </c>
      <c r="P183" s="1294"/>
      <c r="Q183" s="1294"/>
      <c r="R183" s="1294"/>
      <c r="S183" s="1294"/>
      <c r="T183" s="1294"/>
      <c r="U183" s="1294"/>
      <c r="V183" s="1294"/>
      <c r="W183" s="1294"/>
      <c r="X183" s="1294"/>
      <c r="Y183" s="1294"/>
      <c r="Z183" s="1294"/>
      <c r="AA183" s="1294"/>
      <c r="AB183" s="1294"/>
      <c r="AC183" s="460"/>
      <c r="AD183" s="1294">
        <v>242000000</v>
      </c>
      <c r="AE183" s="1294"/>
      <c r="AF183" s="1294"/>
      <c r="AG183" s="1294"/>
      <c r="AH183" s="1294"/>
      <c r="AI183" s="460"/>
      <c r="AJ183" s="460"/>
      <c r="AK183" s="460"/>
      <c r="AL183" s="460"/>
      <c r="AM183" s="460"/>
      <c r="AN183" s="460"/>
      <c r="AO183" s="460"/>
      <c r="AP183" s="460"/>
      <c r="AQ183" s="460"/>
      <c r="AR183" s="1294"/>
      <c r="AS183" s="1294"/>
      <c r="AT183" s="1294"/>
      <c r="AU183" s="1294"/>
      <c r="AV183" s="1294"/>
      <c r="AW183" s="1295">
        <f t="shared" si="17"/>
        <v>242000000</v>
      </c>
      <c r="BA183" s="1209"/>
      <c r="BB183" s="1209"/>
      <c r="BC183" s="1209"/>
      <c r="BD183" s="1209"/>
      <c r="BE183" s="1209"/>
      <c r="BF183" s="1209"/>
      <c r="BG183" s="1209"/>
      <c r="BH183" s="1145"/>
      <c r="BI183" s="1145"/>
      <c r="BJ183" s="1145"/>
      <c r="BK183" s="1145"/>
      <c r="BL183" s="1145"/>
      <c r="BM183" s="1145"/>
      <c r="BN183" s="1145"/>
      <c r="BO183" s="1145"/>
      <c r="BP183" s="1145"/>
      <c r="BQ183" s="1145"/>
      <c r="BR183" s="1145"/>
      <c r="BS183" s="1145"/>
      <c r="BT183" s="1145"/>
      <c r="BU183" s="1145"/>
      <c r="BV183" s="1145"/>
      <c r="BW183" s="1145"/>
      <c r="BX183" s="1145"/>
      <c r="BY183" s="1145"/>
    </row>
    <row r="184" spans="1:77" ht="47.25" customHeight="1">
      <c r="A184" s="1377"/>
      <c r="B184" s="1384"/>
      <c r="C184" s="1384"/>
      <c r="D184" s="1375"/>
      <c r="E184" s="1375"/>
      <c r="F184" s="365"/>
      <c r="G184" s="365"/>
      <c r="H184" s="693"/>
      <c r="I184" s="757" t="s">
        <v>1064</v>
      </c>
      <c r="J184" s="687" t="s">
        <v>1065</v>
      </c>
      <c r="K184" s="367">
        <v>1</v>
      </c>
      <c r="L184" s="688">
        <v>1</v>
      </c>
      <c r="M184" s="688">
        <v>1</v>
      </c>
      <c r="N184" s="771"/>
      <c r="O184" s="1333"/>
      <c r="P184" s="1294"/>
      <c r="Q184" s="1294"/>
      <c r="R184" s="1294"/>
      <c r="S184" s="1294"/>
      <c r="T184" s="1294"/>
      <c r="U184" s="1294"/>
      <c r="V184" s="1294"/>
      <c r="W184" s="1294"/>
      <c r="X184" s="1294"/>
      <c r="Y184" s="1294"/>
      <c r="Z184" s="1294"/>
      <c r="AA184" s="1294"/>
      <c r="AB184" s="1294"/>
      <c r="AC184" s="460"/>
      <c r="AD184" s="1294"/>
      <c r="AE184" s="1294"/>
      <c r="AF184" s="1294"/>
      <c r="AG184" s="1294"/>
      <c r="AH184" s="1294"/>
      <c r="AI184" s="460"/>
      <c r="AJ184" s="460"/>
      <c r="AK184" s="460"/>
      <c r="AL184" s="460"/>
      <c r="AM184" s="460"/>
      <c r="AN184" s="460"/>
      <c r="AO184" s="460"/>
      <c r="AP184" s="460"/>
      <c r="AQ184" s="460"/>
      <c r="AR184" s="1294"/>
      <c r="AS184" s="1294"/>
      <c r="AT184" s="1294"/>
      <c r="AU184" s="1294"/>
      <c r="AV184" s="1294"/>
      <c r="AW184" s="1295">
        <f t="shared" si="17"/>
        <v>0</v>
      </c>
      <c r="BA184" s="1209"/>
      <c r="BB184" s="1209"/>
      <c r="BC184" s="1209"/>
      <c r="BD184" s="1209"/>
      <c r="BE184" s="1209"/>
      <c r="BF184" s="1209"/>
      <c r="BG184" s="1209"/>
      <c r="BH184" s="1145"/>
      <c r="BI184" s="1145"/>
      <c r="BJ184" s="1145"/>
      <c r="BK184" s="1145"/>
      <c r="BL184" s="1145"/>
      <c r="BM184" s="1145"/>
      <c r="BN184" s="1145"/>
      <c r="BO184" s="1145"/>
      <c r="BP184" s="1145"/>
      <c r="BQ184" s="1145"/>
      <c r="BR184" s="1145"/>
      <c r="BS184" s="1145"/>
      <c r="BT184" s="1145"/>
      <c r="BU184" s="1145"/>
      <c r="BV184" s="1145"/>
      <c r="BW184" s="1145"/>
      <c r="BX184" s="1145"/>
      <c r="BY184" s="1145"/>
    </row>
    <row r="185" spans="1:77" ht="102" customHeight="1" hidden="1">
      <c r="A185" s="1377"/>
      <c r="B185" s="1384"/>
      <c r="C185" s="1384"/>
      <c r="D185" s="687" t="s">
        <v>1066</v>
      </c>
      <c r="E185" s="687" t="s">
        <v>1067</v>
      </c>
      <c r="F185" s="365"/>
      <c r="G185" s="365"/>
      <c r="H185" s="693"/>
      <c r="I185" s="757" t="s">
        <v>1070</v>
      </c>
      <c r="J185" s="687" t="s">
        <v>1071</v>
      </c>
      <c r="K185" s="686">
        <v>1600</v>
      </c>
      <c r="L185" s="688">
        <v>799</v>
      </c>
      <c r="M185" s="686"/>
      <c r="N185" s="769"/>
      <c r="O185" s="1333"/>
      <c r="P185" s="1294"/>
      <c r="Q185" s="1294"/>
      <c r="R185" s="1294"/>
      <c r="S185" s="1294"/>
      <c r="T185" s="1294"/>
      <c r="U185" s="1294"/>
      <c r="V185" s="1294"/>
      <c r="W185" s="1294"/>
      <c r="X185" s="1294"/>
      <c r="Y185" s="1294"/>
      <c r="Z185" s="1294"/>
      <c r="AA185" s="1294"/>
      <c r="AB185" s="1294"/>
      <c r="AC185" s="460"/>
      <c r="AD185" s="1294"/>
      <c r="AE185" s="1294"/>
      <c r="AF185" s="1294"/>
      <c r="AG185" s="1294"/>
      <c r="AH185" s="1294"/>
      <c r="AI185" s="460"/>
      <c r="AJ185" s="460"/>
      <c r="AK185" s="460"/>
      <c r="AL185" s="460"/>
      <c r="AM185" s="460"/>
      <c r="AN185" s="460"/>
      <c r="AO185" s="460"/>
      <c r="AP185" s="460"/>
      <c r="AQ185" s="460"/>
      <c r="AR185" s="1294"/>
      <c r="AS185" s="1294"/>
      <c r="AT185" s="1294"/>
      <c r="AU185" s="1294"/>
      <c r="AV185" s="1294"/>
      <c r="AW185" s="1295">
        <f t="shared" si="17"/>
        <v>0</v>
      </c>
      <c r="BA185" s="1209"/>
      <c r="BB185" s="1209"/>
      <c r="BC185" s="1209"/>
      <c r="BD185" s="1209"/>
      <c r="BE185" s="1209"/>
      <c r="BF185" s="1209"/>
      <c r="BG185" s="1209"/>
      <c r="BH185" s="1145"/>
      <c r="BI185" s="1145"/>
      <c r="BJ185" s="1145"/>
      <c r="BK185" s="1145"/>
      <c r="BL185" s="1145"/>
      <c r="BM185" s="1145"/>
      <c r="BN185" s="1145"/>
      <c r="BO185" s="1145"/>
      <c r="BP185" s="1145"/>
      <c r="BQ185" s="1145"/>
      <c r="BR185" s="1145"/>
      <c r="BS185" s="1145"/>
      <c r="BT185" s="1145"/>
      <c r="BU185" s="1145"/>
      <c r="BV185" s="1145"/>
      <c r="BW185" s="1145"/>
      <c r="BX185" s="1145"/>
      <c r="BY185" s="1145"/>
    </row>
    <row r="186" spans="1:77" ht="102" customHeight="1">
      <c r="A186" s="1377"/>
      <c r="B186" s="1384"/>
      <c r="C186" s="1384"/>
      <c r="D186" s="1157"/>
      <c r="E186" s="1157"/>
      <c r="F186" s="365"/>
      <c r="G186" s="365"/>
      <c r="H186" s="1169"/>
      <c r="I186" s="757" t="s">
        <v>1070</v>
      </c>
      <c r="J186" s="1157"/>
      <c r="K186" s="1166"/>
      <c r="L186" s="1158"/>
      <c r="M186" s="1166">
        <v>799</v>
      </c>
      <c r="N186" s="769"/>
      <c r="O186" s="1333"/>
      <c r="P186" s="1294"/>
      <c r="Q186" s="1294"/>
      <c r="R186" s="1294"/>
      <c r="S186" s="1294"/>
      <c r="T186" s="1294"/>
      <c r="U186" s="1294"/>
      <c r="V186" s="1294"/>
      <c r="W186" s="1294"/>
      <c r="X186" s="1294"/>
      <c r="Y186" s="1294"/>
      <c r="Z186" s="1294"/>
      <c r="AA186" s="1294"/>
      <c r="AB186" s="1294"/>
      <c r="AC186" s="460"/>
      <c r="AD186" s="1294"/>
      <c r="AE186" s="1294"/>
      <c r="AF186" s="1294"/>
      <c r="AG186" s="1294"/>
      <c r="AH186" s="1294"/>
      <c r="AI186" s="460"/>
      <c r="AJ186" s="460"/>
      <c r="AK186" s="460"/>
      <c r="AL186" s="460"/>
      <c r="AM186" s="460"/>
      <c r="AN186" s="460"/>
      <c r="AO186" s="460"/>
      <c r="AP186" s="460"/>
      <c r="AQ186" s="460"/>
      <c r="AR186" s="1294"/>
      <c r="AS186" s="1294"/>
      <c r="AT186" s="1294"/>
      <c r="AU186" s="1294"/>
      <c r="AV186" s="1294"/>
      <c r="AW186" s="1295"/>
      <c r="AY186" s="904"/>
      <c r="AZ186" s="904"/>
      <c r="BA186" s="1209"/>
      <c r="BB186" s="1209"/>
      <c r="BC186" s="1209"/>
      <c r="BD186" s="1209"/>
      <c r="BE186" s="1209"/>
      <c r="BF186" s="1209"/>
      <c r="BG186" s="1209"/>
      <c r="BH186" s="1145"/>
      <c r="BI186" s="1145"/>
      <c r="BJ186" s="1145"/>
      <c r="BK186" s="1145"/>
      <c r="BL186" s="1145"/>
      <c r="BM186" s="1145"/>
      <c r="BN186" s="1145"/>
      <c r="BO186" s="1145"/>
      <c r="BP186" s="1145"/>
      <c r="BQ186" s="1145"/>
      <c r="BR186" s="1145"/>
      <c r="BS186" s="1145"/>
      <c r="BT186" s="1145"/>
      <c r="BU186" s="1145"/>
      <c r="BV186" s="1145"/>
      <c r="BW186" s="1145"/>
      <c r="BX186" s="1145"/>
      <c r="BY186" s="1145"/>
    </row>
    <row r="187" spans="1:77" ht="102">
      <c r="A187" s="1377"/>
      <c r="B187" s="1384"/>
      <c r="C187" s="1384"/>
      <c r="D187" s="687" t="s">
        <v>1072</v>
      </c>
      <c r="E187" s="687" t="s">
        <v>1073</v>
      </c>
      <c r="F187" s="365"/>
      <c r="G187" s="365"/>
      <c r="H187" s="693"/>
      <c r="I187" s="757" t="s">
        <v>1075</v>
      </c>
      <c r="J187" s="687" t="s">
        <v>1076</v>
      </c>
      <c r="K187" s="687"/>
      <c r="L187" s="687" t="s">
        <v>1077</v>
      </c>
      <c r="M187" s="1157" t="s">
        <v>1078</v>
      </c>
      <c r="N187" s="374" t="s">
        <v>1074</v>
      </c>
      <c r="O187" s="1333"/>
      <c r="P187" s="1294"/>
      <c r="Q187" s="1294"/>
      <c r="R187" s="1294"/>
      <c r="S187" s="1294"/>
      <c r="T187" s="1294"/>
      <c r="U187" s="1294"/>
      <c r="V187" s="1294"/>
      <c r="W187" s="1294"/>
      <c r="X187" s="1294"/>
      <c r="Y187" s="1294"/>
      <c r="Z187" s="1294"/>
      <c r="AA187" s="1294"/>
      <c r="AB187" s="1294"/>
      <c r="AC187" s="460"/>
      <c r="AD187" s="1294"/>
      <c r="AE187" s="1294"/>
      <c r="AF187" s="1294"/>
      <c r="AG187" s="1294"/>
      <c r="AH187" s="1294"/>
      <c r="AI187" s="460"/>
      <c r="AJ187" s="460"/>
      <c r="AK187" s="460"/>
      <c r="AL187" s="460"/>
      <c r="AM187" s="460"/>
      <c r="AN187" s="460"/>
      <c r="AO187" s="460"/>
      <c r="AP187" s="460"/>
      <c r="AQ187" s="460"/>
      <c r="AR187" s="1294"/>
      <c r="AS187" s="1294"/>
      <c r="AT187" s="1294"/>
      <c r="AU187" s="1294"/>
      <c r="AV187" s="1294"/>
      <c r="AW187" s="1295">
        <f t="shared" si="17"/>
        <v>0</v>
      </c>
      <c r="BA187" s="1209"/>
      <c r="BB187" s="1209"/>
      <c r="BC187" s="1209"/>
      <c r="BD187" s="1209"/>
      <c r="BE187" s="1209"/>
      <c r="BF187" s="1209"/>
      <c r="BG187" s="1209"/>
      <c r="BH187" s="1145"/>
      <c r="BI187" s="1145"/>
      <c r="BJ187" s="1145"/>
      <c r="BK187" s="1145"/>
      <c r="BL187" s="1145"/>
      <c r="BM187" s="1145"/>
      <c r="BN187" s="1145"/>
      <c r="BO187" s="1145"/>
      <c r="BP187" s="1145"/>
      <c r="BQ187" s="1145"/>
      <c r="BR187" s="1145"/>
      <c r="BS187" s="1145"/>
      <c r="BT187" s="1145"/>
      <c r="BU187" s="1145"/>
      <c r="BV187" s="1145"/>
      <c r="BW187" s="1145"/>
      <c r="BX187" s="1145"/>
      <c r="BY187" s="1145"/>
    </row>
    <row r="188" spans="1:77" ht="87" customHeight="1">
      <c r="A188" s="1377"/>
      <c r="B188" s="1384"/>
      <c r="C188" s="1384"/>
      <c r="D188" s="687" t="s">
        <v>1079</v>
      </c>
      <c r="E188" s="1375" t="s">
        <v>1080</v>
      </c>
      <c r="F188" s="365"/>
      <c r="G188" s="365"/>
      <c r="H188" s="693"/>
      <c r="I188" s="1342" t="s">
        <v>1082</v>
      </c>
      <c r="J188" s="687" t="s">
        <v>1083</v>
      </c>
      <c r="K188" s="366"/>
      <c r="L188" s="690">
        <v>0.17</v>
      </c>
      <c r="M188" s="690"/>
      <c r="N188" s="770"/>
      <c r="O188" s="1340" t="s">
        <v>1668</v>
      </c>
      <c r="P188" s="1301"/>
      <c r="Q188" s="1301"/>
      <c r="R188" s="1301"/>
      <c r="S188" s="1301"/>
      <c r="T188" s="1301"/>
      <c r="U188" s="1301"/>
      <c r="V188" s="1301"/>
      <c r="W188" s="1301"/>
      <c r="X188" s="1301"/>
      <c r="Y188" s="1301">
        <f>+Y5*20%</f>
        <v>185526731.8</v>
      </c>
      <c r="Z188" s="1301"/>
      <c r="AA188" s="1301"/>
      <c r="AB188" s="1301"/>
      <c r="AC188" s="460"/>
      <c r="AD188" s="1301">
        <v>0</v>
      </c>
      <c r="AE188" s="1301"/>
      <c r="AF188" s="1301"/>
      <c r="AG188" s="1301"/>
      <c r="AH188" s="1301"/>
      <c r="AI188" s="460"/>
      <c r="AJ188" s="460"/>
      <c r="AK188" s="460"/>
      <c r="AL188" s="460"/>
      <c r="AM188" s="460"/>
      <c r="AN188" s="460"/>
      <c r="AO188" s="460"/>
      <c r="AP188" s="460"/>
      <c r="AQ188" s="460"/>
      <c r="AR188" s="1301"/>
      <c r="AS188" s="1301"/>
      <c r="AT188" s="1301"/>
      <c r="AU188" s="1301"/>
      <c r="AV188" s="1301"/>
      <c r="AW188" s="1300">
        <f t="shared" si="17"/>
        <v>185526731.8</v>
      </c>
      <c r="BA188" s="1209"/>
      <c r="BB188" s="1209"/>
      <c r="BC188" s="1209"/>
      <c r="BD188" s="1209"/>
      <c r="BE188" s="1209"/>
      <c r="BF188" s="1209"/>
      <c r="BG188" s="1209"/>
      <c r="BH188" s="1145"/>
      <c r="BI188" s="1145"/>
      <c r="BJ188" s="1145"/>
      <c r="BK188" s="1145"/>
      <c r="BL188" s="1145"/>
      <c r="BM188" s="1145"/>
      <c r="BN188" s="1145"/>
      <c r="BO188" s="1145"/>
      <c r="BP188" s="1145"/>
      <c r="BQ188" s="1145"/>
      <c r="BR188" s="1145"/>
      <c r="BS188" s="1145"/>
      <c r="BT188" s="1145"/>
      <c r="BU188" s="1145"/>
      <c r="BV188" s="1145"/>
      <c r="BW188" s="1145"/>
      <c r="BX188" s="1145"/>
      <c r="BY188" s="1145"/>
    </row>
    <row r="189" spans="1:77" ht="15">
      <c r="A189" s="1377"/>
      <c r="B189" s="1384"/>
      <c r="C189" s="1384"/>
      <c r="D189" s="719"/>
      <c r="E189" s="1375"/>
      <c r="F189" s="365"/>
      <c r="G189" s="365"/>
      <c r="H189" s="745"/>
      <c r="I189" s="1343"/>
      <c r="J189" s="719"/>
      <c r="K189" s="366"/>
      <c r="L189" s="744"/>
      <c r="M189" s="744"/>
      <c r="N189" s="770"/>
      <c r="O189" s="1340"/>
      <c r="P189" s="1301"/>
      <c r="Q189" s="1301"/>
      <c r="R189" s="1301"/>
      <c r="S189" s="1301"/>
      <c r="T189" s="1301"/>
      <c r="U189" s="1301"/>
      <c r="V189" s="1301"/>
      <c r="W189" s="1301"/>
      <c r="X189" s="1301"/>
      <c r="Y189" s="1301"/>
      <c r="Z189" s="1301"/>
      <c r="AA189" s="1301"/>
      <c r="AB189" s="1301"/>
      <c r="AC189" s="460"/>
      <c r="AD189" s="1301"/>
      <c r="AE189" s="1301"/>
      <c r="AF189" s="1301"/>
      <c r="AG189" s="1301"/>
      <c r="AH189" s="1301"/>
      <c r="AI189" s="460"/>
      <c r="AJ189" s="460"/>
      <c r="AK189" s="460"/>
      <c r="AL189" s="460"/>
      <c r="AM189" s="460"/>
      <c r="AN189" s="460"/>
      <c r="AO189" s="460"/>
      <c r="AP189" s="460"/>
      <c r="AQ189" s="460"/>
      <c r="AR189" s="1301"/>
      <c r="AS189" s="1301"/>
      <c r="AT189" s="1301"/>
      <c r="AU189" s="1301"/>
      <c r="AV189" s="1301"/>
      <c r="AW189" s="1300">
        <f t="shared" si="17"/>
        <v>0</v>
      </c>
      <c r="BA189" s="1209"/>
      <c r="BB189" s="1209"/>
      <c r="BC189" s="1209"/>
      <c r="BD189" s="1209"/>
      <c r="BE189" s="1209"/>
      <c r="BF189" s="1209"/>
      <c r="BG189" s="1209"/>
      <c r="BH189" s="1145"/>
      <c r="BI189" s="1145"/>
      <c r="BJ189" s="1145"/>
      <c r="BK189" s="1145"/>
      <c r="BL189" s="1145"/>
      <c r="BM189" s="1145"/>
      <c r="BN189" s="1145"/>
      <c r="BO189" s="1145"/>
      <c r="BP189" s="1145"/>
      <c r="BQ189" s="1145"/>
      <c r="BR189" s="1145"/>
      <c r="BS189" s="1145"/>
      <c r="BT189" s="1145"/>
      <c r="BU189" s="1145"/>
      <c r="BV189" s="1145"/>
      <c r="BW189" s="1145"/>
      <c r="BX189" s="1145"/>
      <c r="BY189" s="1145"/>
    </row>
    <row r="190" spans="1:77" ht="63.75" customHeight="1" hidden="1">
      <c r="A190" s="1377"/>
      <c r="B190" s="1384"/>
      <c r="C190" s="1384"/>
      <c r="D190" s="687" t="s">
        <v>1084</v>
      </c>
      <c r="E190" s="1375"/>
      <c r="F190" s="365"/>
      <c r="G190" s="365"/>
      <c r="H190" s="693"/>
      <c r="I190" s="750" t="s">
        <v>1085</v>
      </c>
      <c r="J190" s="687" t="s">
        <v>1086</v>
      </c>
      <c r="K190" s="367"/>
      <c r="L190" s="367"/>
      <c r="M190" s="688"/>
      <c r="N190" s="374">
        <v>1</v>
      </c>
      <c r="O190" s="847"/>
      <c r="P190" s="460"/>
      <c r="Q190" s="460"/>
      <c r="R190" s="460"/>
      <c r="S190" s="460"/>
      <c r="T190" s="460"/>
      <c r="U190" s="460"/>
      <c r="V190" s="460"/>
      <c r="W190" s="460"/>
      <c r="X190" s="460"/>
      <c r="Y190" s="460"/>
      <c r="Z190" s="460"/>
      <c r="AA190" s="460"/>
      <c r="AB190" s="460"/>
      <c r="AC190" s="460"/>
      <c r="AD190" s="460"/>
      <c r="AE190" s="460"/>
      <c r="AF190" s="460"/>
      <c r="AG190" s="460"/>
      <c r="AH190" s="460"/>
      <c r="AI190" s="460"/>
      <c r="AJ190" s="460"/>
      <c r="AK190" s="460"/>
      <c r="AL190" s="460"/>
      <c r="AM190" s="460"/>
      <c r="AN190" s="460"/>
      <c r="AO190" s="460"/>
      <c r="AP190" s="460"/>
      <c r="AQ190" s="460"/>
      <c r="AR190" s="460"/>
      <c r="AS190" s="460"/>
      <c r="AT190" s="460"/>
      <c r="AU190" s="460"/>
      <c r="AV190" s="460"/>
      <c r="AW190" s="775"/>
      <c r="BA190" s="1209"/>
      <c r="BB190" s="1209"/>
      <c r="BC190" s="1209"/>
      <c r="BD190" s="1209"/>
      <c r="BE190" s="1209"/>
      <c r="BF190" s="1209"/>
      <c r="BG190" s="1209"/>
      <c r="BH190" s="1145"/>
      <c r="BI190" s="1145"/>
      <c r="BJ190" s="1145"/>
      <c r="BK190" s="1145"/>
      <c r="BL190" s="1145"/>
      <c r="BM190" s="1145"/>
      <c r="BN190" s="1145"/>
      <c r="BO190" s="1145"/>
      <c r="BP190" s="1145"/>
      <c r="BQ190" s="1145"/>
      <c r="BR190" s="1145"/>
      <c r="BS190" s="1145"/>
      <c r="BT190" s="1145"/>
      <c r="BU190" s="1145"/>
      <c r="BV190" s="1145"/>
      <c r="BW190" s="1145"/>
      <c r="BX190" s="1145"/>
      <c r="BY190" s="1145"/>
    </row>
    <row r="191" spans="1:77" ht="67.5">
      <c r="A191" s="1377"/>
      <c r="B191" s="1384"/>
      <c r="C191" s="1384"/>
      <c r="D191" s="1375" t="s">
        <v>1087</v>
      </c>
      <c r="E191" s="1375" t="s">
        <v>1088</v>
      </c>
      <c r="F191" s="365"/>
      <c r="G191" s="365"/>
      <c r="H191" s="693"/>
      <c r="I191" s="757" t="s">
        <v>1089</v>
      </c>
      <c r="J191" s="687" t="s">
        <v>1090</v>
      </c>
      <c r="K191" s="367"/>
      <c r="L191" s="688"/>
      <c r="M191" s="688">
        <v>3</v>
      </c>
      <c r="N191" s="771"/>
      <c r="O191" s="847" t="s">
        <v>1685</v>
      </c>
      <c r="P191" s="460"/>
      <c r="Q191" s="460"/>
      <c r="R191" s="460"/>
      <c r="S191" s="460"/>
      <c r="T191" s="460"/>
      <c r="U191" s="460"/>
      <c r="V191" s="460"/>
      <c r="W191" s="460"/>
      <c r="X191" s="460"/>
      <c r="Y191" s="460"/>
      <c r="Z191" s="460"/>
      <c r="AA191" s="460"/>
      <c r="AB191" s="460">
        <v>10000000</v>
      </c>
      <c r="AC191" s="460"/>
      <c r="AD191" s="460"/>
      <c r="AE191" s="460"/>
      <c r="AF191" s="460"/>
      <c r="AG191" s="460"/>
      <c r="AH191" s="460"/>
      <c r="AI191" s="460"/>
      <c r="AJ191" s="460"/>
      <c r="AK191" s="460"/>
      <c r="AL191" s="460"/>
      <c r="AM191" s="460"/>
      <c r="AN191" s="460"/>
      <c r="AO191" s="460"/>
      <c r="AP191" s="460"/>
      <c r="AQ191" s="460"/>
      <c r="AR191" s="460"/>
      <c r="AS191" s="460"/>
      <c r="AT191" s="460"/>
      <c r="AU191" s="460"/>
      <c r="AV191" s="460"/>
      <c r="AW191" s="775">
        <f t="shared" si="17"/>
        <v>10000000</v>
      </c>
      <c r="BA191" s="1209"/>
      <c r="BB191" s="1209"/>
      <c r="BC191" s="1209"/>
      <c r="BD191" s="1209"/>
      <c r="BE191" s="1209"/>
      <c r="BF191" s="1209"/>
      <c r="BG191" s="1209"/>
      <c r="BH191" s="1145"/>
      <c r="BI191" s="1145"/>
      <c r="BJ191" s="1145"/>
      <c r="BK191" s="1145"/>
      <c r="BL191" s="1145"/>
      <c r="BM191" s="1145"/>
      <c r="BN191" s="1145"/>
      <c r="BO191" s="1145"/>
      <c r="BP191" s="1145"/>
      <c r="BQ191" s="1145"/>
      <c r="BR191" s="1145"/>
      <c r="BS191" s="1145"/>
      <c r="BT191" s="1145"/>
      <c r="BU191" s="1145"/>
      <c r="BV191" s="1145"/>
      <c r="BW191" s="1145"/>
      <c r="BX191" s="1145"/>
      <c r="BY191" s="1145"/>
    </row>
    <row r="192" spans="1:77" ht="76.5">
      <c r="A192" s="1377"/>
      <c r="B192" s="1384"/>
      <c r="C192" s="1384"/>
      <c r="D192" s="1375"/>
      <c r="E192" s="1375"/>
      <c r="F192" s="365"/>
      <c r="G192" s="365"/>
      <c r="H192" s="693"/>
      <c r="I192" s="757" t="s">
        <v>1091</v>
      </c>
      <c r="J192" s="687" t="s">
        <v>1092</v>
      </c>
      <c r="K192" s="367"/>
      <c r="L192" s="688"/>
      <c r="M192" s="688">
        <v>2</v>
      </c>
      <c r="N192" s="771"/>
      <c r="O192" s="1333" t="s">
        <v>1687</v>
      </c>
      <c r="P192" s="1294"/>
      <c r="Q192" s="1294"/>
      <c r="R192" s="1294"/>
      <c r="S192" s="1294"/>
      <c r="T192" s="1294"/>
      <c r="U192" s="1294"/>
      <c r="V192" s="1294"/>
      <c r="W192" s="1294"/>
      <c r="X192" s="1294"/>
      <c r="Y192" s="1294"/>
      <c r="Z192" s="1294"/>
      <c r="AA192" s="1294"/>
      <c r="AB192" s="1294">
        <v>10000000</v>
      </c>
      <c r="AC192" s="460"/>
      <c r="AD192" s="1294"/>
      <c r="AE192" s="1294"/>
      <c r="AF192" s="1294"/>
      <c r="AG192" s="1294"/>
      <c r="AH192" s="1294"/>
      <c r="AI192" s="460"/>
      <c r="AJ192" s="460"/>
      <c r="AK192" s="460"/>
      <c r="AL192" s="460"/>
      <c r="AM192" s="460"/>
      <c r="AN192" s="460"/>
      <c r="AO192" s="460"/>
      <c r="AP192" s="460"/>
      <c r="AQ192" s="460"/>
      <c r="AR192" s="1294"/>
      <c r="AS192" s="1294"/>
      <c r="AT192" s="1294"/>
      <c r="AU192" s="1294"/>
      <c r="AV192" s="1294"/>
      <c r="AW192" s="1295">
        <f t="shared" si="17"/>
        <v>10000000</v>
      </c>
      <c r="BA192" s="1209"/>
      <c r="BB192" s="1209"/>
      <c r="BC192" s="1209"/>
      <c r="BD192" s="1209"/>
      <c r="BE192" s="1209"/>
      <c r="BF192" s="1209"/>
      <c r="BG192" s="1209"/>
      <c r="BH192" s="1145"/>
      <c r="BI192" s="1145"/>
      <c r="BJ192" s="1145"/>
      <c r="BK192" s="1145"/>
      <c r="BL192" s="1145"/>
      <c r="BM192" s="1145"/>
      <c r="BN192" s="1145"/>
      <c r="BO192" s="1145"/>
      <c r="BP192" s="1145"/>
      <c r="BQ192" s="1145"/>
      <c r="BR192" s="1145"/>
      <c r="BS192" s="1145"/>
      <c r="BT192" s="1145"/>
      <c r="BU192" s="1145"/>
      <c r="BV192" s="1145"/>
      <c r="BW192" s="1145"/>
      <c r="BX192" s="1145"/>
      <c r="BY192" s="1145"/>
    </row>
    <row r="193" spans="1:77" ht="76.5">
      <c r="A193" s="1377"/>
      <c r="B193" s="1384"/>
      <c r="C193" s="1384"/>
      <c r="D193" s="687" t="s">
        <v>1093</v>
      </c>
      <c r="E193" s="1375"/>
      <c r="F193" s="365"/>
      <c r="G193" s="365"/>
      <c r="H193" s="693"/>
      <c r="I193" s="757" t="s">
        <v>1094</v>
      </c>
      <c r="J193" s="687" t="s">
        <v>1095</v>
      </c>
      <c r="K193" s="367"/>
      <c r="L193" s="688"/>
      <c r="M193" s="688">
        <v>1</v>
      </c>
      <c r="N193" s="771"/>
      <c r="O193" s="1333"/>
      <c r="P193" s="1294"/>
      <c r="Q193" s="1294"/>
      <c r="R193" s="1294"/>
      <c r="S193" s="1294"/>
      <c r="T193" s="1294"/>
      <c r="U193" s="1294"/>
      <c r="V193" s="1294"/>
      <c r="W193" s="1294"/>
      <c r="X193" s="1294"/>
      <c r="Y193" s="1294"/>
      <c r="Z193" s="1294"/>
      <c r="AA193" s="1294"/>
      <c r="AB193" s="1294"/>
      <c r="AC193" s="460"/>
      <c r="AD193" s="1294"/>
      <c r="AE193" s="1294"/>
      <c r="AF193" s="1294"/>
      <c r="AG193" s="1294"/>
      <c r="AH193" s="1294"/>
      <c r="AI193" s="460"/>
      <c r="AJ193" s="460"/>
      <c r="AK193" s="460"/>
      <c r="AL193" s="460"/>
      <c r="AM193" s="460"/>
      <c r="AN193" s="460"/>
      <c r="AO193" s="460"/>
      <c r="AP193" s="460"/>
      <c r="AQ193" s="460"/>
      <c r="AR193" s="1294"/>
      <c r="AS193" s="1294"/>
      <c r="AT193" s="1294"/>
      <c r="AU193" s="1294"/>
      <c r="AV193" s="1294"/>
      <c r="AW193" s="1295">
        <f t="shared" si="17"/>
        <v>0</v>
      </c>
      <c r="BA193" s="1209"/>
      <c r="BB193" s="1209"/>
      <c r="BC193" s="1209"/>
      <c r="BD193" s="1209"/>
      <c r="BE193" s="1209"/>
      <c r="BF193" s="1209"/>
      <c r="BG193" s="1209"/>
      <c r="BH193" s="1145"/>
      <c r="BI193" s="1145"/>
      <c r="BJ193" s="1145"/>
      <c r="BK193" s="1145"/>
      <c r="BL193" s="1145"/>
      <c r="BM193" s="1145"/>
      <c r="BN193" s="1145"/>
      <c r="BO193" s="1145"/>
      <c r="BP193" s="1145"/>
      <c r="BQ193" s="1145"/>
      <c r="BR193" s="1145"/>
      <c r="BS193" s="1145"/>
      <c r="BT193" s="1145"/>
      <c r="BU193" s="1145"/>
      <c r="BV193" s="1145"/>
      <c r="BW193" s="1145"/>
      <c r="BX193" s="1145"/>
      <c r="BY193" s="1145"/>
    </row>
    <row r="194" spans="1:77" ht="89.25">
      <c r="A194" s="1377"/>
      <c r="B194" s="1384"/>
      <c r="C194" s="1384"/>
      <c r="D194" s="687" t="s">
        <v>1096</v>
      </c>
      <c r="E194" s="687" t="s">
        <v>1097</v>
      </c>
      <c r="F194" s="365"/>
      <c r="G194" s="365"/>
      <c r="H194" s="693"/>
      <c r="I194" s="757" t="s">
        <v>1099</v>
      </c>
      <c r="J194" s="687" t="s">
        <v>1100</v>
      </c>
      <c r="K194" s="367"/>
      <c r="L194" s="688"/>
      <c r="M194" s="688">
        <v>1</v>
      </c>
      <c r="N194" s="771"/>
      <c r="O194" s="1333" t="s">
        <v>1660</v>
      </c>
      <c r="P194" s="1294"/>
      <c r="Q194" s="1294"/>
      <c r="R194" s="1294"/>
      <c r="S194" s="1294"/>
      <c r="T194" s="1294"/>
      <c r="U194" s="1294"/>
      <c r="V194" s="1294"/>
      <c r="W194" s="1294"/>
      <c r="X194" s="1294"/>
      <c r="Y194" s="1294"/>
      <c r="Z194" s="1294"/>
      <c r="AA194" s="1294"/>
      <c r="AB194" s="1294"/>
      <c r="AC194" s="460"/>
      <c r="AD194" s="1294">
        <v>0</v>
      </c>
      <c r="AE194" s="1294"/>
      <c r="AF194" s="1294"/>
      <c r="AG194" s="1294"/>
      <c r="AH194" s="1294"/>
      <c r="AI194" s="460"/>
      <c r="AJ194" s="460"/>
      <c r="AK194" s="460"/>
      <c r="AL194" s="460"/>
      <c r="AM194" s="460"/>
      <c r="AN194" s="460"/>
      <c r="AO194" s="460"/>
      <c r="AP194" s="460"/>
      <c r="AQ194" s="460"/>
      <c r="AR194" s="1294"/>
      <c r="AS194" s="1294"/>
      <c r="AT194" s="1294"/>
      <c r="AU194" s="1294"/>
      <c r="AV194" s="1294"/>
      <c r="AW194" s="1295">
        <f t="shared" si="17"/>
        <v>0</v>
      </c>
      <c r="BA194" s="1209"/>
      <c r="BB194" s="1209"/>
      <c r="BC194" s="1209"/>
      <c r="BD194" s="1209"/>
      <c r="BE194" s="1209"/>
      <c r="BF194" s="1209"/>
      <c r="BG194" s="1209"/>
      <c r="BH194" s="1145"/>
      <c r="BI194" s="1145"/>
      <c r="BJ194" s="1145"/>
      <c r="BK194" s="1145"/>
      <c r="BL194" s="1145"/>
      <c r="BM194" s="1145"/>
      <c r="BN194" s="1145"/>
      <c r="BO194" s="1145"/>
      <c r="BP194" s="1145"/>
      <c r="BQ194" s="1145"/>
      <c r="BR194" s="1145"/>
      <c r="BS194" s="1145"/>
      <c r="BT194" s="1145"/>
      <c r="BU194" s="1145"/>
      <c r="BV194" s="1145"/>
      <c r="BW194" s="1145"/>
      <c r="BX194" s="1145"/>
      <c r="BY194" s="1145"/>
    </row>
    <row r="195" spans="1:77" ht="63.75" customHeight="1" hidden="1">
      <c r="A195" s="1377"/>
      <c r="B195" s="1384"/>
      <c r="C195" s="1384"/>
      <c r="D195" s="687" t="s">
        <v>1101</v>
      </c>
      <c r="E195" s="687" t="s">
        <v>1102</v>
      </c>
      <c r="F195" s="365"/>
      <c r="G195" s="365"/>
      <c r="H195" s="693"/>
      <c r="I195" s="757" t="s">
        <v>1103</v>
      </c>
      <c r="J195" s="687" t="s">
        <v>1104</v>
      </c>
      <c r="K195" s="367"/>
      <c r="L195" s="688">
        <v>1</v>
      </c>
      <c r="M195" s="367"/>
      <c r="N195" s="771"/>
      <c r="O195" s="1333"/>
      <c r="P195" s="1294"/>
      <c r="Q195" s="1294"/>
      <c r="R195" s="1294"/>
      <c r="S195" s="1294"/>
      <c r="T195" s="1294"/>
      <c r="U195" s="1294"/>
      <c r="V195" s="1294"/>
      <c r="W195" s="1294"/>
      <c r="X195" s="1294"/>
      <c r="Y195" s="1294"/>
      <c r="Z195" s="1294"/>
      <c r="AA195" s="1294"/>
      <c r="AB195" s="1294"/>
      <c r="AC195" s="460"/>
      <c r="AD195" s="1294"/>
      <c r="AE195" s="1294"/>
      <c r="AF195" s="1294"/>
      <c r="AG195" s="1294"/>
      <c r="AH195" s="1294"/>
      <c r="AI195" s="460"/>
      <c r="AJ195" s="460"/>
      <c r="AK195" s="460"/>
      <c r="AL195" s="460"/>
      <c r="AM195" s="460"/>
      <c r="AN195" s="460"/>
      <c r="AO195" s="460"/>
      <c r="AP195" s="460"/>
      <c r="AQ195" s="460"/>
      <c r="AR195" s="1294"/>
      <c r="AS195" s="1294"/>
      <c r="AT195" s="1294"/>
      <c r="AU195" s="1294"/>
      <c r="AV195" s="1294"/>
      <c r="AW195" s="1295">
        <f t="shared" si="17"/>
        <v>0</v>
      </c>
      <c r="BA195" s="1209"/>
      <c r="BB195" s="1209"/>
      <c r="BC195" s="1209"/>
      <c r="BD195" s="1209"/>
      <c r="BE195" s="1209"/>
      <c r="BF195" s="1209"/>
      <c r="BG195" s="1209"/>
      <c r="BH195" s="1145"/>
      <c r="BI195" s="1145"/>
      <c r="BJ195" s="1145"/>
      <c r="BK195" s="1145"/>
      <c r="BL195" s="1145"/>
      <c r="BM195" s="1145"/>
      <c r="BN195" s="1145"/>
      <c r="BO195" s="1145"/>
      <c r="BP195" s="1145"/>
      <c r="BQ195" s="1145"/>
      <c r="BR195" s="1145"/>
      <c r="BS195" s="1145"/>
      <c r="BT195" s="1145"/>
      <c r="BU195" s="1145"/>
      <c r="BV195" s="1145"/>
      <c r="BW195" s="1145"/>
      <c r="BX195" s="1145"/>
      <c r="BY195" s="1145"/>
    </row>
    <row r="196" spans="1:77" ht="90" thickBot="1">
      <c r="A196" s="1377"/>
      <c r="B196" s="1384"/>
      <c r="C196" s="1396"/>
      <c r="D196" s="687" t="s">
        <v>1105</v>
      </c>
      <c r="E196" s="687" t="s">
        <v>1106</v>
      </c>
      <c r="F196" s="365"/>
      <c r="G196" s="365"/>
      <c r="H196" s="693"/>
      <c r="I196" s="800" t="s">
        <v>1108</v>
      </c>
      <c r="J196" s="727" t="s">
        <v>1109</v>
      </c>
      <c r="K196" s="384">
        <v>1</v>
      </c>
      <c r="L196" s="384">
        <v>1</v>
      </c>
      <c r="M196" s="384">
        <v>1</v>
      </c>
      <c r="N196" s="806">
        <v>1</v>
      </c>
      <c r="O196" s="1335"/>
      <c r="P196" s="1298"/>
      <c r="Q196" s="1298"/>
      <c r="R196" s="1298"/>
      <c r="S196" s="1298"/>
      <c r="T196" s="1298"/>
      <c r="U196" s="1298"/>
      <c r="V196" s="1298"/>
      <c r="W196" s="1298"/>
      <c r="X196" s="1298"/>
      <c r="Y196" s="1298"/>
      <c r="Z196" s="1298"/>
      <c r="AA196" s="1298"/>
      <c r="AB196" s="1298"/>
      <c r="AC196" s="835"/>
      <c r="AD196" s="1298"/>
      <c r="AE196" s="1298"/>
      <c r="AF196" s="1298"/>
      <c r="AG196" s="1298"/>
      <c r="AH196" s="1298"/>
      <c r="AI196" s="835"/>
      <c r="AJ196" s="835"/>
      <c r="AK196" s="835"/>
      <c r="AL196" s="835"/>
      <c r="AM196" s="835"/>
      <c r="AN196" s="835"/>
      <c r="AO196" s="835"/>
      <c r="AP196" s="835"/>
      <c r="AQ196" s="835"/>
      <c r="AR196" s="1298"/>
      <c r="AS196" s="1298"/>
      <c r="AT196" s="1298"/>
      <c r="AU196" s="1298"/>
      <c r="AV196" s="1298"/>
      <c r="AW196" s="1299">
        <f t="shared" si="17"/>
        <v>0</v>
      </c>
      <c r="BA196" s="1210"/>
      <c r="BB196" s="1210"/>
      <c r="BC196" s="1210"/>
      <c r="BD196" s="1210"/>
      <c r="BE196" s="1210"/>
      <c r="BF196" s="1210"/>
      <c r="BG196" s="1210"/>
      <c r="BH196" s="1145"/>
      <c r="BI196" s="1145"/>
      <c r="BJ196" s="1145"/>
      <c r="BK196" s="1145"/>
      <c r="BL196" s="1145"/>
      <c r="BM196" s="1145"/>
      <c r="BN196" s="1145"/>
      <c r="BO196" s="1145"/>
      <c r="BP196" s="1145"/>
      <c r="BQ196" s="1145"/>
      <c r="BR196" s="1145"/>
      <c r="BS196" s="1145"/>
      <c r="BT196" s="1145"/>
      <c r="BU196" s="1145"/>
      <c r="BV196" s="1145"/>
      <c r="BW196" s="1145"/>
      <c r="BX196" s="1145"/>
      <c r="BY196" s="1145"/>
    </row>
    <row r="197" spans="1:77" ht="23.25" customHeight="1" thickBot="1">
      <c r="A197" s="1377"/>
      <c r="B197" s="1384"/>
      <c r="C197" s="734"/>
      <c r="D197" s="719"/>
      <c r="E197" s="719"/>
      <c r="F197" s="365"/>
      <c r="G197" s="365"/>
      <c r="H197" s="776"/>
      <c r="I197" s="1317" t="s">
        <v>1711</v>
      </c>
      <c r="J197" s="1318"/>
      <c r="K197" s="1318"/>
      <c r="L197" s="1318"/>
      <c r="M197" s="1318"/>
      <c r="N197" s="1318"/>
      <c r="O197" s="1341"/>
      <c r="P197" s="846">
        <f>SUM(P169:P196)</f>
        <v>0</v>
      </c>
      <c r="Q197" s="850">
        <f aca="true" t="shared" si="20" ref="Q197:AW197">SUM(Q169:Q196)</f>
        <v>0</v>
      </c>
      <c r="R197" s="850">
        <f t="shared" si="20"/>
        <v>0</v>
      </c>
      <c r="S197" s="850">
        <f t="shared" si="20"/>
        <v>0</v>
      </c>
      <c r="T197" s="850">
        <f t="shared" si="20"/>
        <v>0</v>
      </c>
      <c r="U197" s="850">
        <f t="shared" si="20"/>
        <v>0</v>
      </c>
      <c r="V197" s="850">
        <f t="shared" si="20"/>
        <v>0</v>
      </c>
      <c r="W197" s="850">
        <f t="shared" si="20"/>
        <v>0</v>
      </c>
      <c r="X197" s="850">
        <f t="shared" si="20"/>
        <v>0</v>
      </c>
      <c r="Y197" s="850">
        <f t="shared" si="20"/>
        <v>927633659</v>
      </c>
      <c r="Z197" s="850">
        <f t="shared" si="20"/>
        <v>0</v>
      </c>
      <c r="AA197" s="850">
        <f t="shared" si="20"/>
        <v>0</v>
      </c>
      <c r="AB197" s="850">
        <f t="shared" si="20"/>
        <v>40000000</v>
      </c>
      <c r="AC197" s="850">
        <f t="shared" si="20"/>
        <v>0</v>
      </c>
      <c r="AD197" s="850">
        <f t="shared" si="20"/>
        <v>442000000</v>
      </c>
      <c r="AE197" s="850">
        <f t="shared" si="20"/>
        <v>0</v>
      </c>
      <c r="AF197" s="850">
        <f t="shared" si="20"/>
        <v>0</v>
      </c>
      <c r="AG197" s="850">
        <f t="shared" si="20"/>
        <v>0</v>
      </c>
      <c r="AH197" s="850">
        <f t="shared" si="20"/>
        <v>0</v>
      </c>
      <c r="AI197" s="850">
        <f t="shared" si="20"/>
        <v>0</v>
      </c>
      <c r="AJ197" s="850">
        <f t="shared" si="20"/>
        <v>0</v>
      </c>
      <c r="AK197" s="850">
        <f t="shared" si="20"/>
        <v>0</v>
      </c>
      <c r="AL197" s="850">
        <f t="shared" si="20"/>
        <v>0</v>
      </c>
      <c r="AM197" s="850">
        <f t="shared" si="20"/>
        <v>0</v>
      </c>
      <c r="AN197" s="850">
        <f t="shared" si="20"/>
        <v>0</v>
      </c>
      <c r="AO197" s="850">
        <f t="shared" si="20"/>
        <v>0</v>
      </c>
      <c r="AP197" s="850">
        <f t="shared" si="20"/>
        <v>0</v>
      </c>
      <c r="AQ197" s="850">
        <f t="shared" si="20"/>
        <v>0</v>
      </c>
      <c r="AR197" s="850">
        <f t="shared" si="20"/>
        <v>0</v>
      </c>
      <c r="AS197" s="850">
        <f t="shared" si="20"/>
        <v>0</v>
      </c>
      <c r="AT197" s="850">
        <f t="shared" si="20"/>
        <v>0</v>
      </c>
      <c r="AU197" s="850">
        <f t="shared" si="20"/>
        <v>0</v>
      </c>
      <c r="AV197" s="850">
        <f t="shared" si="20"/>
        <v>0</v>
      </c>
      <c r="AW197" s="850">
        <f t="shared" si="20"/>
        <v>1409633659</v>
      </c>
      <c r="BA197" s="1155"/>
      <c r="BB197" s="1155"/>
      <c r="BC197" s="1155"/>
      <c r="BD197" s="1155"/>
      <c r="BE197" s="1155"/>
      <c r="BF197" s="1155"/>
      <c r="BG197" s="1155"/>
      <c r="BH197" s="1145"/>
      <c r="BI197" s="1145"/>
      <c r="BJ197" s="1145"/>
      <c r="BK197" s="1145"/>
      <c r="BL197" s="1145"/>
      <c r="BM197" s="1145"/>
      <c r="BN197" s="1145"/>
      <c r="BO197" s="1145"/>
      <c r="BP197" s="1145"/>
      <c r="BQ197" s="1145"/>
      <c r="BR197" s="1145"/>
      <c r="BS197" s="1145"/>
      <c r="BT197" s="1145"/>
      <c r="BU197" s="1145"/>
      <c r="BV197" s="1145"/>
      <c r="BW197" s="1145"/>
      <c r="BX197" s="1145"/>
      <c r="BY197" s="1145"/>
    </row>
    <row r="198" spans="1:77" ht="89.25">
      <c r="A198" s="1377"/>
      <c r="B198" s="1384"/>
      <c r="C198" s="1392" t="s">
        <v>1110</v>
      </c>
      <c r="D198" s="1367" t="s">
        <v>1111</v>
      </c>
      <c r="E198" s="1367" t="s">
        <v>1112</v>
      </c>
      <c r="F198" s="1367"/>
      <c r="G198" s="1374" t="s">
        <v>1114</v>
      </c>
      <c r="H198" s="688"/>
      <c r="I198" s="765" t="s">
        <v>1115</v>
      </c>
      <c r="J198" s="739" t="s">
        <v>1116</v>
      </c>
      <c r="K198" s="739"/>
      <c r="L198" s="739">
        <v>1</v>
      </c>
      <c r="M198" s="739">
        <v>1</v>
      </c>
      <c r="N198" s="786"/>
      <c r="O198" s="1304" t="s">
        <v>1688</v>
      </c>
      <c r="P198" s="1297"/>
      <c r="Q198" s="1297"/>
      <c r="R198" s="1297"/>
      <c r="S198" s="1297"/>
      <c r="T198" s="1297"/>
      <c r="U198" s="1297"/>
      <c r="V198" s="1297"/>
      <c r="W198" s="1297"/>
      <c r="X198" s="1297"/>
      <c r="Y198" s="1297"/>
      <c r="Z198" s="1297"/>
      <c r="AA198" s="1297"/>
      <c r="AB198" s="1297"/>
      <c r="AC198" s="826"/>
      <c r="AD198" s="1297">
        <v>150000000</v>
      </c>
      <c r="AE198" s="1297"/>
      <c r="AF198" s="1297"/>
      <c r="AG198" s="1297"/>
      <c r="AH198" s="1297"/>
      <c r="AI198" s="826"/>
      <c r="AJ198" s="826"/>
      <c r="AK198" s="826"/>
      <c r="AL198" s="826"/>
      <c r="AM198" s="826"/>
      <c r="AN198" s="826"/>
      <c r="AO198" s="826"/>
      <c r="AP198" s="826"/>
      <c r="AQ198" s="826"/>
      <c r="AR198" s="1297"/>
      <c r="AS198" s="1297"/>
      <c r="AT198" s="1297"/>
      <c r="AU198" s="1297">
        <v>200000000</v>
      </c>
      <c r="AV198" s="1297"/>
      <c r="AW198" s="1296">
        <f t="shared" si="17"/>
        <v>350000000</v>
      </c>
      <c r="BA198" s="1208" t="s">
        <v>1834</v>
      </c>
      <c r="BB198" s="1208" t="s">
        <v>1850</v>
      </c>
      <c r="BC198" s="1208" t="s">
        <v>1850</v>
      </c>
      <c r="BD198" s="1208" t="s">
        <v>1850</v>
      </c>
      <c r="BE198" s="1208" t="s">
        <v>1850</v>
      </c>
      <c r="BF198" s="1208" t="s">
        <v>1851</v>
      </c>
      <c r="BG198" s="1208">
        <v>4</v>
      </c>
      <c r="BH198" s="1145"/>
      <c r="BI198" s="1145"/>
      <c r="BJ198" s="1145"/>
      <c r="BK198" s="1145"/>
      <c r="BL198" s="1145"/>
      <c r="BM198" s="1145"/>
      <c r="BN198" s="1145"/>
      <c r="BO198" s="1145"/>
      <c r="BP198" s="1145"/>
      <c r="BQ198" s="1145"/>
      <c r="BR198" s="1145"/>
      <c r="BS198" s="1145"/>
      <c r="BT198" s="1145"/>
      <c r="BU198" s="1145"/>
      <c r="BV198" s="1145"/>
      <c r="BW198" s="1145"/>
      <c r="BX198" s="1145"/>
      <c r="BY198" s="1145"/>
    </row>
    <row r="199" spans="1:77" ht="33.75" customHeight="1" hidden="1">
      <c r="A199" s="1377"/>
      <c r="B199" s="1384"/>
      <c r="C199" s="1393"/>
      <c r="D199" s="1367"/>
      <c r="E199" s="1367"/>
      <c r="F199" s="1367"/>
      <c r="G199" s="1374"/>
      <c r="H199" s="688"/>
      <c r="I199" s="756" t="s">
        <v>1117</v>
      </c>
      <c r="J199" s="688" t="s">
        <v>1118</v>
      </c>
      <c r="K199" s="688">
        <v>1</v>
      </c>
      <c r="L199" s="688">
        <v>1</v>
      </c>
      <c r="M199" s="688"/>
      <c r="N199" s="374"/>
      <c r="O199" s="1333"/>
      <c r="P199" s="1294"/>
      <c r="Q199" s="1294"/>
      <c r="R199" s="1294"/>
      <c r="S199" s="1294"/>
      <c r="T199" s="1294"/>
      <c r="U199" s="1294"/>
      <c r="V199" s="1294"/>
      <c r="W199" s="1294"/>
      <c r="X199" s="1294"/>
      <c r="Y199" s="1294"/>
      <c r="Z199" s="1294"/>
      <c r="AA199" s="1294"/>
      <c r="AB199" s="1294"/>
      <c r="AC199" s="460"/>
      <c r="AD199" s="1294"/>
      <c r="AE199" s="1294"/>
      <c r="AF199" s="1294"/>
      <c r="AG199" s="1294"/>
      <c r="AH199" s="1294"/>
      <c r="AI199" s="460"/>
      <c r="AJ199" s="460"/>
      <c r="AK199" s="460"/>
      <c r="AL199" s="460"/>
      <c r="AM199" s="460"/>
      <c r="AN199" s="460"/>
      <c r="AO199" s="460"/>
      <c r="AP199" s="460"/>
      <c r="AQ199" s="460"/>
      <c r="AR199" s="1294"/>
      <c r="AS199" s="1294"/>
      <c r="AT199" s="1294"/>
      <c r="AU199" s="1294"/>
      <c r="AV199" s="1294"/>
      <c r="AW199" s="1295">
        <f t="shared" si="17"/>
        <v>0</v>
      </c>
      <c r="BA199" s="1209"/>
      <c r="BB199" s="1209"/>
      <c r="BC199" s="1209"/>
      <c r="BD199" s="1209"/>
      <c r="BE199" s="1209"/>
      <c r="BF199" s="1209"/>
      <c r="BG199" s="1209"/>
      <c r="BH199" s="1145"/>
      <c r="BI199" s="1145"/>
      <c r="BJ199" s="1145"/>
      <c r="BK199" s="1145"/>
      <c r="BL199" s="1145"/>
      <c r="BM199" s="1145"/>
      <c r="BN199" s="1145"/>
      <c r="BO199" s="1145"/>
      <c r="BP199" s="1145"/>
      <c r="BQ199" s="1145"/>
      <c r="BR199" s="1145"/>
      <c r="BS199" s="1145"/>
      <c r="BT199" s="1145"/>
      <c r="BU199" s="1145"/>
      <c r="BV199" s="1145"/>
      <c r="BW199" s="1145"/>
      <c r="BX199" s="1145"/>
      <c r="BY199" s="1145"/>
    </row>
    <row r="200" spans="1:77" ht="63.75">
      <c r="A200" s="1377"/>
      <c r="B200" s="1384"/>
      <c r="C200" s="1393"/>
      <c r="D200" s="1367"/>
      <c r="E200" s="1367"/>
      <c r="F200" s="1367"/>
      <c r="G200" s="1374"/>
      <c r="H200" s="688"/>
      <c r="I200" s="750" t="s">
        <v>1119</v>
      </c>
      <c r="J200" s="688" t="s">
        <v>1120</v>
      </c>
      <c r="K200" s="688">
        <v>1</v>
      </c>
      <c r="L200" s="688">
        <v>1</v>
      </c>
      <c r="M200" s="688">
        <v>1</v>
      </c>
      <c r="N200" s="374">
        <v>1</v>
      </c>
      <c r="O200" s="1333"/>
      <c r="P200" s="1294"/>
      <c r="Q200" s="1294"/>
      <c r="R200" s="1294"/>
      <c r="S200" s="1294"/>
      <c r="T200" s="1294"/>
      <c r="U200" s="1294"/>
      <c r="V200" s="1294"/>
      <c r="W200" s="1294"/>
      <c r="X200" s="1294"/>
      <c r="Y200" s="1294"/>
      <c r="Z200" s="1294"/>
      <c r="AA200" s="1294"/>
      <c r="AB200" s="1294"/>
      <c r="AC200" s="460"/>
      <c r="AD200" s="1294"/>
      <c r="AE200" s="1294"/>
      <c r="AF200" s="1294"/>
      <c r="AG200" s="1294"/>
      <c r="AH200" s="1294"/>
      <c r="AI200" s="460"/>
      <c r="AJ200" s="460"/>
      <c r="AK200" s="460"/>
      <c r="AL200" s="460"/>
      <c r="AM200" s="460"/>
      <c r="AN200" s="460"/>
      <c r="AO200" s="460"/>
      <c r="AP200" s="460"/>
      <c r="AQ200" s="460"/>
      <c r="AR200" s="1294"/>
      <c r="AS200" s="1294"/>
      <c r="AT200" s="1294"/>
      <c r="AU200" s="1294"/>
      <c r="AV200" s="1294"/>
      <c r="AW200" s="1295">
        <f t="shared" si="17"/>
        <v>0</v>
      </c>
      <c r="BA200" s="1209"/>
      <c r="BB200" s="1209"/>
      <c r="BC200" s="1209"/>
      <c r="BD200" s="1209"/>
      <c r="BE200" s="1209"/>
      <c r="BF200" s="1209"/>
      <c r="BG200" s="1209"/>
      <c r="BH200" s="1145"/>
      <c r="BI200" s="1145"/>
      <c r="BJ200" s="1145"/>
      <c r="BK200" s="1145"/>
      <c r="BL200" s="1145"/>
      <c r="BM200" s="1145"/>
      <c r="BN200" s="1145"/>
      <c r="BO200" s="1145"/>
      <c r="BP200" s="1145"/>
      <c r="BQ200" s="1145"/>
      <c r="BR200" s="1145"/>
      <c r="BS200" s="1145"/>
      <c r="BT200" s="1145"/>
      <c r="BU200" s="1145"/>
      <c r="BV200" s="1145"/>
      <c r="BW200" s="1145"/>
      <c r="BX200" s="1145"/>
      <c r="BY200" s="1145"/>
    </row>
    <row r="201" spans="1:77" ht="114.75">
      <c r="A201" s="1377"/>
      <c r="B201" s="1384"/>
      <c r="C201" s="1393"/>
      <c r="D201" s="1367"/>
      <c r="E201" s="1367"/>
      <c r="F201" s="1367"/>
      <c r="G201" s="1374"/>
      <c r="H201" s="688"/>
      <c r="I201" s="750" t="s">
        <v>1121</v>
      </c>
      <c r="J201" s="689" t="s">
        <v>1122</v>
      </c>
      <c r="K201" s="688"/>
      <c r="L201" s="688">
        <v>1</v>
      </c>
      <c r="M201" s="688">
        <v>1</v>
      </c>
      <c r="N201" s="374"/>
      <c r="O201" s="1333" t="s">
        <v>1689</v>
      </c>
      <c r="P201" s="1294"/>
      <c r="Q201" s="1294"/>
      <c r="R201" s="1294"/>
      <c r="S201" s="1294"/>
      <c r="T201" s="1294"/>
      <c r="U201" s="1294"/>
      <c r="V201" s="1294"/>
      <c r="W201" s="1294"/>
      <c r="X201" s="1294"/>
      <c r="Y201" s="1294"/>
      <c r="Z201" s="1294"/>
      <c r="AA201" s="1294"/>
      <c r="AB201" s="1294"/>
      <c r="AC201" s="460"/>
      <c r="AD201" s="1294"/>
      <c r="AE201" s="1294"/>
      <c r="AF201" s="1294"/>
      <c r="AG201" s="1294"/>
      <c r="AH201" s="1294"/>
      <c r="AI201" s="460"/>
      <c r="AJ201" s="460"/>
      <c r="AK201" s="460"/>
      <c r="AL201" s="460"/>
      <c r="AM201" s="460"/>
      <c r="AN201" s="460"/>
      <c r="AO201" s="460"/>
      <c r="AP201" s="460"/>
      <c r="AQ201" s="460"/>
      <c r="AR201" s="1294"/>
      <c r="AS201" s="1294">
        <v>500000</v>
      </c>
      <c r="AT201" s="1294"/>
      <c r="AU201" s="1294">
        <v>148000000</v>
      </c>
      <c r="AV201" s="1294"/>
      <c r="AW201" s="1295">
        <f t="shared" si="17"/>
        <v>148500000</v>
      </c>
      <c r="BA201" s="1209"/>
      <c r="BB201" s="1209"/>
      <c r="BC201" s="1209"/>
      <c r="BD201" s="1209"/>
      <c r="BE201" s="1209"/>
      <c r="BF201" s="1209"/>
      <c r="BG201" s="1209"/>
      <c r="BH201" s="1145"/>
      <c r="BI201" s="1145"/>
      <c r="BJ201" s="1145"/>
      <c r="BK201" s="1145"/>
      <c r="BL201" s="1145"/>
      <c r="BM201" s="1145"/>
      <c r="BN201" s="1145"/>
      <c r="BO201" s="1145"/>
      <c r="BP201" s="1145"/>
      <c r="BQ201" s="1145"/>
      <c r="BR201" s="1145"/>
      <c r="BS201" s="1145"/>
      <c r="BT201" s="1145"/>
      <c r="BU201" s="1145"/>
      <c r="BV201" s="1145"/>
      <c r="BW201" s="1145"/>
      <c r="BX201" s="1145"/>
      <c r="BY201" s="1145"/>
    </row>
    <row r="202" spans="1:77" ht="76.5">
      <c r="A202" s="1377"/>
      <c r="B202" s="1384"/>
      <c r="C202" s="1393"/>
      <c r="D202" s="1367"/>
      <c r="E202" s="1367"/>
      <c r="F202" s="1367"/>
      <c r="G202" s="1374"/>
      <c r="H202" s="688"/>
      <c r="I202" s="755" t="s">
        <v>1123</v>
      </c>
      <c r="J202" s="688" t="s">
        <v>1124</v>
      </c>
      <c r="K202" s="688">
        <v>1</v>
      </c>
      <c r="L202" s="688">
        <v>1</v>
      </c>
      <c r="M202" s="688">
        <v>1</v>
      </c>
      <c r="N202" s="374"/>
      <c r="O202" s="1333"/>
      <c r="P202" s="1294"/>
      <c r="Q202" s="1294"/>
      <c r="R202" s="1294"/>
      <c r="S202" s="1294"/>
      <c r="T202" s="1294"/>
      <c r="U202" s="1294"/>
      <c r="V202" s="1294"/>
      <c r="W202" s="1294"/>
      <c r="X202" s="1294"/>
      <c r="Y202" s="1294"/>
      <c r="Z202" s="1294"/>
      <c r="AA202" s="1294"/>
      <c r="AB202" s="1294"/>
      <c r="AC202" s="460"/>
      <c r="AD202" s="1294"/>
      <c r="AE202" s="1294"/>
      <c r="AF202" s="1294"/>
      <c r="AG202" s="1294"/>
      <c r="AH202" s="1294"/>
      <c r="AI202" s="460"/>
      <c r="AJ202" s="460"/>
      <c r="AK202" s="460"/>
      <c r="AL202" s="460"/>
      <c r="AM202" s="460"/>
      <c r="AN202" s="460"/>
      <c r="AO202" s="460"/>
      <c r="AP202" s="460"/>
      <c r="AQ202" s="460"/>
      <c r="AR202" s="1294"/>
      <c r="AS202" s="1294"/>
      <c r="AT202" s="1294"/>
      <c r="AU202" s="1294"/>
      <c r="AV202" s="1294"/>
      <c r="AW202" s="1295">
        <f t="shared" si="17"/>
        <v>0</v>
      </c>
      <c r="BA202" s="1209"/>
      <c r="BB202" s="1209"/>
      <c r="BC202" s="1209"/>
      <c r="BD202" s="1209"/>
      <c r="BE202" s="1209"/>
      <c r="BF202" s="1209"/>
      <c r="BG202" s="1209"/>
      <c r="BH202" s="1145"/>
      <c r="BI202" s="1145"/>
      <c r="BJ202" s="1145"/>
      <c r="BK202" s="1145"/>
      <c r="BL202" s="1145"/>
      <c r="BM202" s="1145"/>
      <c r="BN202" s="1145"/>
      <c r="BO202" s="1145"/>
      <c r="BP202" s="1145"/>
      <c r="BQ202" s="1145"/>
      <c r="BR202" s="1145"/>
      <c r="BS202" s="1145"/>
      <c r="BT202" s="1145"/>
      <c r="BU202" s="1145"/>
      <c r="BV202" s="1145"/>
      <c r="BW202" s="1145"/>
      <c r="BX202" s="1145"/>
      <c r="BY202" s="1145"/>
    </row>
    <row r="203" spans="1:77" ht="51">
      <c r="A203" s="1377"/>
      <c r="B203" s="1384"/>
      <c r="C203" s="1393"/>
      <c r="D203" s="1367"/>
      <c r="E203" s="1367"/>
      <c r="F203" s="1367"/>
      <c r="G203" s="1374"/>
      <c r="H203" s="688"/>
      <c r="I203" s="750" t="s">
        <v>1125</v>
      </c>
      <c r="J203" s="688" t="s">
        <v>1126</v>
      </c>
      <c r="K203" s="688">
        <v>1</v>
      </c>
      <c r="L203" s="688">
        <v>1</v>
      </c>
      <c r="M203" s="688">
        <v>1</v>
      </c>
      <c r="N203" s="374">
        <v>1</v>
      </c>
      <c r="O203" s="1333"/>
      <c r="P203" s="1294"/>
      <c r="Q203" s="1294"/>
      <c r="R203" s="1294"/>
      <c r="S203" s="1294"/>
      <c r="T203" s="1294"/>
      <c r="U203" s="1294"/>
      <c r="V203" s="1294"/>
      <c r="W203" s="1294"/>
      <c r="X203" s="1294"/>
      <c r="Y203" s="1294"/>
      <c r="Z203" s="1294"/>
      <c r="AA203" s="1294"/>
      <c r="AB203" s="1294"/>
      <c r="AC203" s="460"/>
      <c r="AD203" s="1294"/>
      <c r="AE203" s="1294"/>
      <c r="AF203" s="1294"/>
      <c r="AG203" s="1294"/>
      <c r="AH203" s="1294"/>
      <c r="AI203" s="460"/>
      <c r="AJ203" s="460"/>
      <c r="AK203" s="460"/>
      <c r="AL203" s="460"/>
      <c r="AM203" s="460"/>
      <c r="AN203" s="460"/>
      <c r="AO203" s="460"/>
      <c r="AP203" s="460"/>
      <c r="AQ203" s="460"/>
      <c r="AR203" s="1294"/>
      <c r="AS203" s="1294"/>
      <c r="AT203" s="1294"/>
      <c r="AU203" s="1294"/>
      <c r="AV203" s="1294"/>
      <c r="AW203" s="1295">
        <f t="shared" si="17"/>
        <v>0</v>
      </c>
      <c r="BA203" s="1209"/>
      <c r="BB203" s="1209"/>
      <c r="BC203" s="1209"/>
      <c r="BD203" s="1209"/>
      <c r="BE203" s="1209"/>
      <c r="BF203" s="1209"/>
      <c r="BG203" s="1209"/>
      <c r="BH203" s="1145"/>
      <c r="BI203" s="1145"/>
      <c r="BJ203" s="1145"/>
      <c r="BK203" s="1145"/>
      <c r="BL203" s="1145"/>
      <c r="BM203" s="1145"/>
      <c r="BN203" s="1145"/>
      <c r="BO203" s="1145"/>
      <c r="BP203" s="1145"/>
      <c r="BQ203" s="1145"/>
      <c r="BR203" s="1145"/>
      <c r="BS203" s="1145"/>
      <c r="BT203" s="1145"/>
      <c r="BU203" s="1145"/>
      <c r="BV203" s="1145"/>
      <c r="BW203" s="1145"/>
      <c r="BX203" s="1145"/>
      <c r="BY203" s="1145"/>
    </row>
    <row r="204" spans="1:77" ht="127.5">
      <c r="A204" s="1377"/>
      <c r="B204" s="1384"/>
      <c r="C204" s="1393"/>
      <c r="D204" s="1367"/>
      <c r="E204" s="1367"/>
      <c r="F204" s="1367"/>
      <c r="G204" s="1374"/>
      <c r="H204" s="688"/>
      <c r="I204" s="750" t="s">
        <v>1127</v>
      </c>
      <c r="J204" s="688" t="s">
        <v>1128</v>
      </c>
      <c r="K204" s="688"/>
      <c r="L204" s="688">
        <v>1</v>
      </c>
      <c r="M204" s="688">
        <v>1</v>
      </c>
      <c r="N204" s="374"/>
      <c r="O204" s="1333"/>
      <c r="P204" s="1294"/>
      <c r="Q204" s="1294"/>
      <c r="R204" s="1294"/>
      <c r="S204" s="1294"/>
      <c r="T204" s="1294"/>
      <c r="U204" s="1294"/>
      <c r="V204" s="1294"/>
      <c r="W204" s="1294"/>
      <c r="X204" s="1294"/>
      <c r="Y204" s="1294"/>
      <c r="Z204" s="1294"/>
      <c r="AA204" s="1294"/>
      <c r="AB204" s="1294"/>
      <c r="AC204" s="460"/>
      <c r="AD204" s="1294"/>
      <c r="AE204" s="1294"/>
      <c r="AF204" s="1294"/>
      <c r="AG204" s="1294"/>
      <c r="AH204" s="1294"/>
      <c r="AI204" s="460"/>
      <c r="AJ204" s="460"/>
      <c r="AK204" s="460"/>
      <c r="AL204" s="460"/>
      <c r="AM204" s="460"/>
      <c r="AN204" s="460"/>
      <c r="AO204" s="460"/>
      <c r="AP204" s="460"/>
      <c r="AQ204" s="460"/>
      <c r="AR204" s="1294"/>
      <c r="AS204" s="1294"/>
      <c r="AT204" s="1294"/>
      <c r="AU204" s="1294"/>
      <c r="AV204" s="1294"/>
      <c r="AW204" s="1295">
        <f t="shared" si="17"/>
        <v>0</v>
      </c>
      <c r="BA204" s="1209"/>
      <c r="BB204" s="1209"/>
      <c r="BC204" s="1209"/>
      <c r="BD204" s="1209"/>
      <c r="BE204" s="1209"/>
      <c r="BF204" s="1209"/>
      <c r="BG204" s="1209"/>
      <c r="BH204" s="1145"/>
      <c r="BI204" s="1145"/>
      <c r="BJ204" s="1145"/>
      <c r="BK204" s="1145"/>
      <c r="BL204" s="1145"/>
      <c r="BM204" s="1145"/>
      <c r="BN204" s="1145"/>
      <c r="BO204" s="1145"/>
      <c r="BP204" s="1145"/>
      <c r="BQ204" s="1145"/>
      <c r="BR204" s="1145"/>
      <c r="BS204" s="1145"/>
      <c r="BT204" s="1145"/>
      <c r="BU204" s="1145"/>
      <c r="BV204" s="1145"/>
      <c r="BW204" s="1145"/>
      <c r="BX204" s="1145"/>
      <c r="BY204" s="1145"/>
    </row>
    <row r="205" spans="1:77" ht="76.5">
      <c r="A205" s="1377"/>
      <c r="B205" s="1384"/>
      <c r="C205" s="1393"/>
      <c r="D205" s="1367"/>
      <c r="E205" s="1367"/>
      <c r="F205" s="1367"/>
      <c r="G205" s="1374"/>
      <c r="H205" s="693"/>
      <c r="I205" s="750" t="s">
        <v>1131</v>
      </c>
      <c r="J205" s="688" t="s">
        <v>1132</v>
      </c>
      <c r="K205" s="688"/>
      <c r="L205" s="688">
        <v>2</v>
      </c>
      <c r="M205" s="688">
        <v>1</v>
      </c>
      <c r="N205" s="374">
        <v>1</v>
      </c>
      <c r="O205" s="1333"/>
      <c r="P205" s="1294"/>
      <c r="Q205" s="1294"/>
      <c r="R205" s="1294"/>
      <c r="S205" s="1294"/>
      <c r="T205" s="1294"/>
      <c r="U205" s="1294"/>
      <c r="V205" s="1294"/>
      <c r="W205" s="1294"/>
      <c r="X205" s="1294"/>
      <c r="Y205" s="1294"/>
      <c r="Z205" s="1294"/>
      <c r="AA205" s="1294"/>
      <c r="AB205" s="1294"/>
      <c r="AC205" s="460"/>
      <c r="AD205" s="1294"/>
      <c r="AE205" s="1294"/>
      <c r="AF205" s="1294"/>
      <c r="AG205" s="1294"/>
      <c r="AH205" s="1294"/>
      <c r="AI205" s="460"/>
      <c r="AJ205" s="460"/>
      <c r="AK205" s="460"/>
      <c r="AL205" s="460"/>
      <c r="AM205" s="460"/>
      <c r="AN205" s="460"/>
      <c r="AO205" s="460"/>
      <c r="AP205" s="460"/>
      <c r="AQ205" s="460"/>
      <c r="AR205" s="1294"/>
      <c r="AS205" s="1294"/>
      <c r="AT205" s="1294"/>
      <c r="AU205" s="1294"/>
      <c r="AV205" s="1294"/>
      <c r="AW205" s="1295">
        <f t="shared" si="17"/>
        <v>0</v>
      </c>
      <c r="BA205" s="1209"/>
      <c r="BB205" s="1209"/>
      <c r="BC205" s="1209"/>
      <c r="BD205" s="1209"/>
      <c r="BE205" s="1209"/>
      <c r="BF205" s="1209"/>
      <c r="BG205" s="1209"/>
      <c r="BH205" s="1145"/>
      <c r="BI205" s="1145"/>
      <c r="BJ205" s="1145"/>
      <c r="BK205" s="1145"/>
      <c r="BL205" s="1145"/>
      <c r="BM205" s="1145"/>
      <c r="BN205" s="1145"/>
      <c r="BO205" s="1145"/>
      <c r="BP205" s="1145"/>
      <c r="BQ205" s="1145"/>
      <c r="BR205" s="1145"/>
      <c r="BS205" s="1145"/>
      <c r="BT205" s="1145"/>
      <c r="BU205" s="1145"/>
      <c r="BV205" s="1145"/>
      <c r="BW205" s="1145"/>
      <c r="BX205" s="1145"/>
      <c r="BY205" s="1145"/>
    </row>
    <row r="206" spans="1:77" ht="63.75">
      <c r="A206" s="1377"/>
      <c r="B206" s="1384"/>
      <c r="C206" s="1393"/>
      <c r="D206" s="1367"/>
      <c r="E206" s="1367"/>
      <c r="F206" s="1367"/>
      <c r="G206" s="1374"/>
      <c r="H206" s="693"/>
      <c r="I206" s="750" t="s">
        <v>1133</v>
      </c>
      <c r="J206" s="688" t="s">
        <v>1134</v>
      </c>
      <c r="K206" s="688"/>
      <c r="L206" s="690">
        <v>0.1</v>
      </c>
      <c r="M206" s="690">
        <v>0.05</v>
      </c>
      <c r="N206" s="770">
        <v>0.05</v>
      </c>
      <c r="O206" s="1333"/>
      <c r="P206" s="1294"/>
      <c r="Q206" s="1294"/>
      <c r="R206" s="1294"/>
      <c r="S206" s="1294"/>
      <c r="T206" s="1294"/>
      <c r="U206" s="1294"/>
      <c r="V206" s="1294"/>
      <c r="W206" s="1294"/>
      <c r="X206" s="1294"/>
      <c r="Y206" s="1294"/>
      <c r="Z206" s="1294"/>
      <c r="AA206" s="1294"/>
      <c r="AB206" s="1294"/>
      <c r="AC206" s="460"/>
      <c r="AD206" s="1294"/>
      <c r="AE206" s="1294"/>
      <c r="AF206" s="1294"/>
      <c r="AG206" s="1294"/>
      <c r="AH206" s="1294"/>
      <c r="AI206" s="460"/>
      <c r="AJ206" s="460"/>
      <c r="AK206" s="460"/>
      <c r="AL206" s="460"/>
      <c r="AM206" s="460"/>
      <c r="AN206" s="460"/>
      <c r="AO206" s="460"/>
      <c r="AP206" s="460"/>
      <c r="AQ206" s="460"/>
      <c r="AR206" s="1294"/>
      <c r="AS206" s="1294"/>
      <c r="AT206" s="1294"/>
      <c r="AU206" s="1294"/>
      <c r="AV206" s="1294"/>
      <c r="AW206" s="1295">
        <f t="shared" si="17"/>
        <v>0</v>
      </c>
      <c r="BA206" s="1209"/>
      <c r="BB206" s="1209"/>
      <c r="BC206" s="1209"/>
      <c r="BD206" s="1209"/>
      <c r="BE206" s="1209"/>
      <c r="BF206" s="1209"/>
      <c r="BG206" s="1209"/>
      <c r="BH206" s="1145"/>
      <c r="BI206" s="1145"/>
      <c r="BJ206" s="1145"/>
      <c r="BK206" s="1145"/>
      <c r="BL206" s="1145"/>
      <c r="BM206" s="1145"/>
      <c r="BN206" s="1145"/>
      <c r="BO206" s="1145"/>
      <c r="BP206" s="1145"/>
      <c r="BQ206" s="1145"/>
      <c r="BR206" s="1145"/>
      <c r="BS206" s="1145"/>
      <c r="BT206" s="1145"/>
      <c r="BU206" s="1145"/>
      <c r="BV206" s="1145"/>
      <c r="BW206" s="1145"/>
      <c r="BX206" s="1145"/>
      <c r="BY206" s="1145"/>
    </row>
    <row r="207" spans="1:77" ht="76.5">
      <c r="A207" s="1377"/>
      <c r="B207" s="1384"/>
      <c r="C207" s="1393"/>
      <c r="D207" s="1367"/>
      <c r="E207" s="1367"/>
      <c r="F207" s="1367"/>
      <c r="G207" s="1374"/>
      <c r="H207" s="693"/>
      <c r="I207" s="750" t="s">
        <v>1137</v>
      </c>
      <c r="J207" s="689" t="s">
        <v>1138</v>
      </c>
      <c r="K207" s="688"/>
      <c r="L207" s="690">
        <v>0.05</v>
      </c>
      <c r="M207" s="690">
        <v>0.05</v>
      </c>
      <c r="N207" s="770">
        <v>0.05</v>
      </c>
      <c r="O207" s="1333"/>
      <c r="P207" s="1294"/>
      <c r="Q207" s="1294"/>
      <c r="R207" s="1294"/>
      <c r="S207" s="1294"/>
      <c r="T207" s="1294"/>
      <c r="U207" s="1294"/>
      <c r="V207" s="1294"/>
      <c r="W207" s="1294"/>
      <c r="X207" s="1294"/>
      <c r="Y207" s="1294"/>
      <c r="Z207" s="1294"/>
      <c r="AA207" s="1294"/>
      <c r="AB207" s="1294"/>
      <c r="AC207" s="460"/>
      <c r="AD207" s="1294"/>
      <c r="AE207" s="1294"/>
      <c r="AF207" s="1294"/>
      <c r="AG207" s="1294"/>
      <c r="AH207" s="1294"/>
      <c r="AI207" s="460"/>
      <c r="AJ207" s="460"/>
      <c r="AK207" s="460"/>
      <c r="AL207" s="460"/>
      <c r="AM207" s="460"/>
      <c r="AN207" s="460"/>
      <c r="AO207" s="460"/>
      <c r="AP207" s="460"/>
      <c r="AQ207" s="460"/>
      <c r="AR207" s="1294"/>
      <c r="AS207" s="1294"/>
      <c r="AT207" s="1294"/>
      <c r="AU207" s="1294"/>
      <c r="AV207" s="1294"/>
      <c r="AW207" s="1295">
        <f t="shared" si="17"/>
        <v>0</v>
      </c>
      <c r="BA207" s="1209"/>
      <c r="BB207" s="1209"/>
      <c r="BC207" s="1209"/>
      <c r="BD207" s="1209"/>
      <c r="BE207" s="1209"/>
      <c r="BF207" s="1209"/>
      <c r="BG207" s="1209"/>
      <c r="BH207" s="1145"/>
      <c r="BI207" s="1145"/>
      <c r="BJ207" s="1145"/>
      <c r="BK207" s="1145"/>
      <c r="BL207" s="1145"/>
      <c r="BM207" s="1145"/>
      <c r="BN207" s="1145"/>
      <c r="BO207" s="1145"/>
      <c r="BP207" s="1145"/>
      <c r="BQ207" s="1145"/>
      <c r="BR207" s="1145"/>
      <c r="BS207" s="1145"/>
      <c r="BT207" s="1145"/>
      <c r="BU207" s="1145"/>
      <c r="BV207" s="1145"/>
      <c r="BW207" s="1145"/>
      <c r="BX207" s="1145"/>
      <c r="BY207" s="1145"/>
    </row>
    <row r="208" spans="1:77" ht="76.5">
      <c r="A208" s="1377"/>
      <c r="B208" s="1384"/>
      <c r="C208" s="1393"/>
      <c r="D208" s="1367"/>
      <c r="E208" s="1367"/>
      <c r="F208" s="1367"/>
      <c r="G208" s="1374"/>
      <c r="H208" s="693"/>
      <c r="I208" s="750" t="s">
        <v>1139</v>
      </c>
      <c r="J208" s="688" t="s">
        <v>1140</v>
      </c>
      <c r="K208" s="688"/>
      <c r="L208" s="688"/>
      <c r="M208" s="688">
        <v>1</v>
      </c>
      <c r="N208" s="374"/>
      <c r="O208" s="1333"/>
      <c r="P208" s="1294"/>
      <c r="Q208" s="1294"/>
      <c r="R208" s="1294"/>
      <c r="S208" s="1294"/>
      <c r="T208" s="1294"/>
      <c r="U208" s="1294"/>
      <c r="V208" s="1294"/>
      <c r="W208" s="1294"/>
      <c r="X208" s="1294"/>
      <c r="Y208" s="1294"/>
      <c r="Z208" s="1294"/>
      <c r="AA208" s="1294"/>
      <c r="AB208" s="1294"/>
      <c r="AC208" s="460"/>
      <c r="AD208" s="1294"/>
      <c r="AE208" s="1294"/>
      <c r="AF208" s="1294"/>
      <c r="AG208" s="1294"/>
      <c r="AH208" s="1294"/>
      <c r="AI208" s="460"/>
      <c r="AJ208" s="460"/>
      <c r="AK208" s="460"/>
      <c r="AL208" s="460"/>
      <c r="AM208" s="460"/>
      <c r="AN208" s="460"/>
      <c r="AO208" s="460"/>
      <c r="AP208" s="460"/>
      <c r="AQ208" s="460"/>
      <c r="AR208" s="1294"/>
      <c r="AS208" s="1294"/>
      <c r="AT208" s="1294"/>
      <c r="AU208" s="1294"/>
      <c r="AV208" s="1294"/>
      <c r="AW208" s="1295">
        <f t="shared" si="17"/>
        <v>0</v>
      </c>
      <c r="BA208" s="1209"/>
      <c r="BB208" s="1209"/>
      <c r="BC208" s="1209"/>
      <c r="BD208" s="1209"/>
      <c r="BE208" s="1209"/>
      <c r="BF208" s="1209"/>
      <c r="BG208" s="1209"/>
      <c r="BH208" s="1145"/>
      <c r="BI208" s="1145"/>
      <c r="BJ208" s="1145"/>
      <c r="BK208" s="1145"/>
      <c r="BL208" s="1145"/>
      <c r="BM208" s="1145"/>
      <c r="BN208" s="1145"/>
      <c r="BO208" s="1145"/>
      <c r="BP208" s="1145"/>
      <c r="BQ208" s="1145"/>
      <c r="BR208" s="1145"/>
      <c r="BS208" s="1145"/>
      <c r="BT208" s="1145"/>
      <c r="BU208" s="1145"/>
      <c r="BV208" s="1145"/>
      <c r="BW208" s="1145"/>
      <c r="BX208" s="1145"/>
      <c r="BY208" s="1145"/>
    </row>
    <row r="209" spans="1:77" ht="76.5">
      <c r="A209" s="1377"/>
      <c r="B209" s="1384"/>
      <c r="C209" s="1393"/>
      <c r="D209" s="1367"/>
      <c r="E209" s="1367"/>
      <c r="F209" s="1367"/>
      <c r="G209" s="1374"/>
      <c r="H209" s="693"/>
      <c r="I209" s="750" t="s">
        <v>1141</v>
      </c>
      <c r="J209" s="688" t="s">
        <v>1142</v>
      </c>
      <c r="K209" s="688"/>
      <c r="L209" s="688">
        <v>1</v>
      </c>
      <c r="M209" s="688">
        <v>1</v>
      </c>
      <c r="N209" s="374"/>
      <c r="O209" s="1333"/>
      <c r="P209" s="1294"/>
      <c r="Q209" s="1294"/>
      <c r="R209" s="1294"/>
      <c r="S209" s="1294"/>
      <c r="T209" s="1294"/>
      <c r="U209" s="1294"/>
      <c r="V209" s="1294"/>
      <c r="W209" s="1294"/>
      <c r="X209" s="1294"/>
      <c r="Y209" s="1294"/>
      <c r="Z209" s="1294"/>
      <c r="AA209" s="1294"/>
      <c r="AB209" s="1294"/>
      <c r="AC209" s="460"/>
      <c r="AD209" s="1294"/>
      <c r="AE209" s="1294"/>
      <c r="AF209" s="1294"/>
      <c r="AG209" s="1294"/>
      <c r="AH209" s="1294"/>
      <c r="AI209" s="460"/>
      <c r="AJ209" s="460"/>
      <c r="AK209" s="460"/>
      <c r="AL209" s="460"/>
      <c r="AM209" s="460"/>
      <c r="AN209" s="460"/>
      <c r="AO209" s="460"/>
      <c r="AP209" s="460"/>
      <c r="AQ209" s="460"/>
      <c r="AR209" s="1294"/>
      <c r="AS209" s="1294"/>
      <c r="AT209" s="1294"/>
      <c r="AU209" s="1294"/>
      <c r="AV209" s="1294"/>
      <c r="AW209" s="1295">
        <f t="shared" si="17"/>
        <v>0</v>
      </c>
      <c r="BA209" s="1209"/>
      <c r="BB209" s="1209"/>
      <c r="BC209" s="1209"/>
      <c r="BD209" s="1209"/>
      <c r="BE209" s="1209"/>
      <c r="BF209" s="1209"/>
      <c r="BG209" s="1209"/>
      <c r="BH209" s="1145"/>
      <c r="BI209" s="1145"/>
      <c r="BJ209" s="1145"/>
      <c r="BK209" s="1145"/>
      <c r="BL209" s="1145"/>
      <c r="BM209" s="1145"/>
      <c r="BN209" s="1145"/>
      <c r="BO209" s="1145"/>
      <c r="BP209" s="1145"/>
      <c r="BQ209" s="1145"/>
      <c r="BR209" s="1145"/>
      <c r="BS209" s="1145"/>
      <c r="BT209" s="1145"/>
      <c r="BU209" s="1145"/>
      <c r="BV209" s="1145"/>
      <c r="BW209" s="1145"/>
      <c r="BX209" s="1145"/>
      <c r="BY209" s="1145"/>
    </row>
    <row r="210" spans="1:77" ht="76.5">
      <c r="A210" s="1377"/>
      <c r="B210" s="1384"/>
      <c r="C210" s="1393"/>
      <c r="D210" s="1367"/>
      <c r="E210" s="1367"/>
      <c r="F210" s="1367"/>
      <c r="G210" s="1374"/>
      <c r="H210" s="693"/>
      <c r="I210" s="750" t="s">
        <v>1143</v>
      </c>
      <c r="J210" s="688" t="s">
        <v>1144</v>
      </c>
      <c r="K210" s="688"/>
      <c r="L210" s="688">
        <v>1</v>
      </c>
      <c r="M210" s="688">
        <v>1</v>
      </c>
      <c r="N210" s="374"/>
      <c r="O210" s="1333"/>
      <c r="P210" s="1294"/>
      <c r="Q210" s="1294"/>
      <c r="R210" s="1294"/>
      <c r="S210" s="1294"/>
      <c r="T210" s="1294"/>
      <c r="U210" s="1294"/>
      <c r="V210" s="1294"/>
      <c r="W210" s="1294"/>
      <c r="X210" s="1294"/>
      <c r="Y210" s="1294"/>
      <c r="Z210" s="1294"/>
      <c r="AA210" s="1294"/>
      <c r="AB210" s="1294"/>
      <c r="AC210" s="460"/>
      <c r="AD210" s="1294"/>
      <c r="AE210" s="1294"/>
      <c r="AF210" s="1294"/>
      <c r="AG210" s="1294"/>
      <c r="AH210" s="1294"/>
      <c r="AI210" s="460"/>
      <c r="AJ210" s="460"/>
      <c r="AK210" s="460"/>
      <c r="AL210" s="460"/>
      <c r="AM210" s="460"/>
      <c r="AN210" s="460"/>
      <c r="AO210" s="460"/>
      <c r="AP210" s="460"/>
      <c r="AQ210" s="460"/>
      <c r="AR210" s="1294"/>
      <c r="AS210" s="1294"/>
      <c r="AT210" s="1294"/>
      <c r="AU210" s="1294"/>
      <c r="AV210" s="1294"/>
      <c r="AW210" s="1295">
        <f t="shared" si="17"/>
        <v>0</v>
      </c>
      <c r="BA210" s="1209"/>
      <c r="BB210" s="1209"/>
      <c r="BC210" s="1209"/>
      <c r="BD210" s="1209"/>
      <c r="BE210" s="1209"/>
      <c r="BF210" s="1209"/>
      <c r="BG210" s="1209"/>
      <c r="BH210" s="1145"/>
      <c r="BI210" s="1145"/>
      <c r="BJ210" s="1145"/>
      <c r="BK210" s="1145"/>
      <c r="BL210" s="1145"/>
      <c r="BM210" s="1145"/>
      <c r="BN210" s="1145"/>
      <c r="BO210" s="1145"/>
      <c r="BP210" s="1145"/>
      <c r="BQ210" s="1145"/>
      <c r="BR210" s="1145"/>
      <c r="BS210" s="1145"/>
      <c r="BT210" s="1145"/>
      <c r="BU210" s="1145"/>
      <c r="BV210" s="1145"/>
      <c r="BW210" s="1145"/>
      <c r="BX210" s="1145"/>
      <c r="BY210" s="1145"/>
    </row>
    <row r="211" spans="1:77" ht="127.5">
      <c r="A211" s="1377"/>
      <c r="B211" s="1384"/>
      <c r="C211" s="1393"/>
      <c r="D211" s="1367"/>
      <c r="E211" s="1367"/>
      <c r="F211" s="1367"/>
      <c r="G211" s="1374"/>
      <c r="H211" s="693"/>
      <c r="I211" s="750" t="s">
        <v>1145</v>
      </c>
      <c r="J211" s="689" t="s">
        <v>1146</v>
      </c>
      <c r="K211" s="688"/>
      <c r="L211" s="688">
        <v>1</v>
      </c>
      <c r="M211" s="688">
        <v>1</v>
      </c>
      <c r="N211" s="374"/>
      <c r="O211" s="1333"/>
      <c r="P211" s="1294"/>
      <c r="Q211" s="1294"/>
      <c r="R211" s="1294"/>
      <c r="S211" s="1294"/>
      <c r="T211" s="1294"/>
      <c r="U211" s="1294"/>
      <c r="V211" s="1294"/>
      <c r="W211" s="1294"/>
      <c r="X211" s="1294"/>
      <c r="Y211" s="1294"/>
      <c r="Z211" s="1294"/>
      <c r="AA211" s="1294"/>
      <c r="AB211" s="1294"/>
      <c r="AC211" s="460"/>
      <c r="AD211" s="1294"/>
      <c r="AE211" s="1294"/>
      <c r="AF211" s="1294"/>
      <c r="AG211" s="1294"/>
      <c r="AH211" s="1294"/>
      <c r="AI211" s="460"/>
      <c r="AJ211" s="460"/>
      <c r="AK211" s="460"/>
      <c r="AL211" s="460"/>
      <c r="AM211" s="460"/>
      <c r="AN211" s="460"/>
      <c r="AO211" s="460"/>
      <c r="AP211" s="460"/>
      <c r="AQ211" s="460"/>
      <c r="AR211" s="1294"/>
      <c r="AS211" s="1294"/>
      <c r="AT211" s="1294"/>
      <c r="AU211" s="1294"/>
      <c r="AV211" s="1294"/>
      <c r="AW211" s="1295">
        <f t="shared" si="17"/>
        <v>0</v>
      </c>
      <c r="BA211" s="1209"/>
      <c r="BB211" s="1209"/>
      <c r="BC211" s="1209"/>
      <c r="BD211" s="1209"/>
      <c r="BE211" s="1209"/>
      <c r="BF211" s="1209"/>
      <c r="BG211" s="1209"/>
      <c r="BH211" s="1145"/>
      <c r="BI211" s="1145"/>
      <c r="BJ211" s="1145"/>
      <c r="BK211" s="1145"/>
      <c r="BL211" s="1145"/>
      <c r="BM211" s="1145"/>
      <c r="BN211" s="1145"/>
      <c r="BO211" s="1145"/>
      <c r="BP211" s="1145"/>
      <c r="BQ211" s="1145"/>
      <c r="BR211" s="1145"/>
      <c r="BS211" s="1145"/>
      <c r="BT211" s="1145"/>
      <c r="BU211" s="1145"/>
      <c r="BV211" s="1145"/>
      <c r="BW211" s="1145"/>
      <c r="BX211" s="1145"/>
      <c r="BY211" s="1145"/>
    </row>
    <row r="212" spans="1:77" ht="76.5">
      <c r="A212" s="1377"/>
      <c r="B212" s="1384"/>
      <c r="C212" s="1393"/>
      <c r="D212" s="1367"/>
      <c r="E212" s="1367"/>
      <c r="F212" s="1367"/>
      <c r="G212" s="1374"/>
      <c r="H212" s="745"/>
      <c r="I212" s="750" t="s">
        <v>1147</v>
      </c>
      <c r="J212" s="718" t="s">
        <v>1148</v>
      </c>
      <c r="K212" s="718">
        <v>1</v>
      </c>
      <c r="L212" s="718">
        <v>1</v>
      </c>
      <c r="M212" s="718">
        <v>1</v>
      </c>
      <c r="N212" s="374">
        <v>1</v>
      </c>
      <c r="O212" s="1333"/>
      <c r="P212" s="1294"/>
      <c r="Q212" s="1294"/>
      <c r="R212" s="1294"/>
      <c r="S212" s="1294"/>
      <c r="T212" s="1294"/>
      <c r="U212" s="1294"/>
      <c r="V212" s="1294"/>
      <c r="W212" s="1294"/>
      <c r="X212" s="1294"/>
      <c r="Y212" s="1294"/>
      <c r="Z212" s="1294"/>
      <c r="AA212" s="1294"/>
      <c r="AB212" s="1294"/>
      <c r="AC212" s="460"/>
      <c r="AD212" s="1294"/>
      <c r="AE212" s="1294"/>
      <c r="AF212" s="1294"/>
      <c r="AG212" s="1294"/>
      <c r="AH212" s="1294"/>
      <c r="AI212" s="460"/>
      <c r="AJ212" s="460"/>
      <c r="AK212" s="460"/>
      <c r="AL212" s="460"/>
      <c r="AM212" s="460"/>
      <c r="AN212" s="460"/>
      <c r="AO212" s="460"/>
      <c r="AP212" s="460"/>
      <c r="AQ212" s="460"/>
      <c r="AR212" s="1294"/>
      <c r="AS212" s="1294"/>
      <c r="AT212" s="1294"/>
      <c r="AU212" s="1294"/>
      <c r="AV212" s="1294"/>
      <c r="AW212" s="1295">
        <f t="shared" si="17"/>
        <v>0</v>
      </c>
      <c r="BA212" s="1209"/>
      <c r="BB212" s="1209"/>
      <c r="BC212" s="1209"/>
      <c r="BD212" s="1209"/>
      <c r="BE212" s="1209"/>
      <c r="BF212" s="1209"/>
      <c r="BG212" s="1209"/>
      <c r="BH212" s="1145"/>
      <c r="BI212" s="1145"/>
      <c r="BJ212" s="1145"/>
      <c r="BK212" s="1145"/>
      <c r="BL212" s="1145"/>
      <c r="BM212" s="1145"/>
      <c r="BN212" s="1145"/>
      <c r="BO212" s="1145"/>
      <c r="BP212" s="1145"/>
      <c r="BQ212" s="1145"/>
      <c r="BR212" s="1145"/>
      <c r="BS212" s="1145"/>
      <c r="BT212" s="1145"/>
      <c r="BU212" s="1145"/>
      <c r="BV212" s="1145"/>
      <c r="BW212" s="1145"/>
      <c r="BX212" s="1145"/>
      <c r="BY212" s="1145"/>
    </row>
    <row r="213" spans="1:77" ht="141" thickBot="1">
      <c r="A213" s="1377"/>
      <c r="B213" s="1384"/>
      <c r="C213" s="1394"/>
      <c r="D213" s="1367"/>
      <c r="E213" s="1367"/>
      <c r="F213" s="1367"/>
      <c r="G213" s="1374"/>
      <c r="H213" s="693"/>
      <c r="I213" s="750" t="s">
        <v>1129</v>
      </c>
      <c r="J213" s="732" t="s">
        <v>1130</v>
      </c>
      <c r="K213" s="718">
        <v>1</v>
      </c>
      <c r="L213" s="718">
        <v>1</v>
      </c>
      <c r="M213" s="718">
        <v>1</v>
      </c>
      <c r="N213" s="374">
        <v>1</v>
      </c>
      <c r="O213" s="853" t="s">
        <v>1661</v>
      </c>
      <c r="P213" s="835"/>
      <c r="Q213" s="835"/>
      <c r="R213" s="835"/>
      <c r="S213" s="835"/>
      <c r="T213" s="835"/>
      <c r="U213" s="835"/>
      <c r="V213" s="835"/>
      <c r="W213" s="835"/>
      <c r="X213" s="835"/>
      <c r="Y213" s="835"/>
      <c r="Z213" s="835"/>
      <c r="AA213" s="835"/>
      <c r="AB213" s="835"/>
      <c r="AC213" s="835"/>
      <c r="AD213" s="835">
        <f>+'ICLD 2014'!E8*1%</f>
        <v>163628012.6</v>
      </c>
      <c r="AE213" s="835"/>
      <c r="AF213" s="835"/>
      <c r="AG213" s="835"/>
      <c r="AH213" s="835"/>
      <c r="AI213" s="835"/>
      <c r="AJ213" s="835"/>
      <c r="AK213" s="835"/>
      <c r="AL213" s="835"/>
      <c r="AM213" s="835"/>
      <c r="AN213" s="835"/>
      <c r="AO213" s="835"/>
      <c r="AP213" s="835"/>
      <c r="AQ213" s="835"/>
      <c r="AR213" s="835"/>
      <c r="AS213" s="835"/>
      <c r="AT213" s="835"/>
      <c r="AU213" s="835"/>
      <c r="AV213" s="835"/>
      <c r="AW213" s="842">
        <f t="shared" si="17"/>
        <v>163628012.6</v>
      </c>
      <c r="BA213" s="1210"/>
      <c r="BB213" s="1210"/>
      <c r="BC213" s="1210"/>
      <c r="BD213" s="1210"/>
      <c r="BE213" s="1210"/>
      <c r="BF213" s="1210"/>
      <c r="BG213" s="1210"/>
      <c r="BH213" s="1145"/>
      <c r="BI213" s="1145"/>
      <c r="BJ213" s="1145"/>
      <c r="BK213" s="1145"/>
      <c r="BL213" s="1145"/>
      <c r="BM213" s="1145"/>
      <c r="BN213" s="1145"/>
      <c r="BO213" s="1145"/>
      <c r="BP213" s="1145"/>
      <c r="BQ213" s="1145"/>
      <c r="BR213" s="1145"/>
      <c r="BS213" s="1145"/>
      <c r="BT213" s="1145"/>
      <c r="BU213" s="1145"/>
      <c r="BV213" s="1145"/>
      <c r="BW213" s="1145"/>
      <c r="BX213" s="1145"/>
      <c r="BY213" s="1145"/>
    </row>
    <row r="214" spans="1:77" ht="51" customHeight="1" hidden="1">
      <c r="A214" s="1377"/>
      <c r="B214" s="1384"/>
      <c r="C214" s="1362" t="s">
        <v>1149</v>
      </c>
      <c r="D214" s="1383" t="s">
        <v>1150</v>
      </c>
      <c r="E214" s="1383" t="s">
        <v>1151</v>
      </c>
      <c r="F214" s="1376">
        <v>8</v>
      </c>
      <c r="G214" s="808" t="s">
        <v>1153</v>
      </c>
      <c r="H214" s="693"/>
      <c r="I214" s="757" t="s">
        <v>1154</v>
      </c>
      <c r="J214" s="687" t="s">
        <v>1155</v>
      </c>
      <c r="K214" s="367"/>
      <c r="L214" s="381">
        <v>1000</v>
      </c>
      <c r="M214" s="687">
        <v>500</v>
      </c>
      <c r="N214" s="367">
        <v>300</v>
      </c>
      <c r="O214" s="854"/>
      <c r="BA214" s="1155"/>
      <c r="BB214" s="1155"/>
      <c r="BC214" s="1155"/>
      <c r="BD214" s="1155"/>
      <c r="BE214" s="1155"/>
      <c r="BF214" s="1155"/>
      <c r="BG214" s="1155"/>
      <c r="BH214" s="1145"/>
      <c r="BI214" s="1145"/>
      <c r="BJ214" s="1145"/>
      <c r="BK214" s="1145"/>
      <c r="BL214" s="1145"/>
      <c r="BM214" s="1145"/>
      <c r="BN214" s="1145"/>
      <c r="BO214" s="1145"/>
      <c r="BP214" s="1145"/>
      <c r="BQ214" s="1145"/>
      <c r="BR214" s="1145"/>
      <c r="BS214" s="1145"/>
      <c r="BT214" s="1145"/>
      <c r="BU214" s="1145"/>
      <c r="BV214" s="1145"/>
      <c r="BW214" s="1145"/>
      <c r="BX214" s="1145"/>
      <c r="BY214" s="1145"/>
    </row>
    <row r="215" spans="1:77" ht="51" customHeight="1" hidden="1">
      <c r="A215" s="1377"/>
      <c r="B215" s="1384"/>
      <c r="C215" s="1395"/>
      <c r="D215" s="1384"/>
      <c r="E215" s="1384"/>
      <c r="F215" s="1377"/>
      <c r="G215" s="809"/>
      <c r="H215" s="693"/>
      <c r="I215" s="757" t="s">
        <v>1156</v>
      </c>
      <c r="J215" s="687" t="s">
        <v>1157</v>
      </c>
      <c r="K215" s="690">
        <v>0.1</v>
      </c>
      <c r="L215" s="690">
        <v>0.1</v>
      </c>
      <c r="M215" s="367"/>
      <c r="N215" s="382"/>
      <c r="O215" s="855"/>
      <c r="BA215" s="1155"/>
      <c r="BB215" s="1155"/>
      <c r="BC215" s="1155"/>
      <c r="BD215" s="1155"/>
      <c r="BE215" s="1155"/>
      <c r="BF215" s="1155"/>
      <c r="BG215" s="1155"/>
      <c r="BH215" s="1145"/>
      <c r="BI215" s="1145"/>
      <c r="BJ215" s="1145"/>
      <c r="BK215" s="1145"/>
      <c r="BL215" s="1145"/>
      <c r="BM215" s="1145"/>
      <c r="BN215" s="1145"/>
      <c r="BO215" s="1145"/>
      <c r="BP215" s="1145"/>
      <c r="BQ215" s="1145"/>
      <c r="BR215" s="1145"/>
      <c r="BS215" s="1145"/>
      <c r="BT215" s="1145"/>
      <c r="BU215" s="1145"/>
      <c r="BV215" s="1145"/>
      <c r="BW215" s="1145"/>
      <c r="BX215" s="1145"/>
      <c r="BY215" s="1145"/>
    </row>
    <row r="216" spans="1:77" ht="15.75" customHeight="1">
      <c r="A216" s="1377"/>
      <c r="B216" s="1384"/>
      <c r="C216" s="1395"/>
      <c r="D216" s="1384"/>
      <c r="E216" s="1384"/>
      <c r="F216" s="1377"/>
      <c r="G216" s="1171"/>
      <c r="H216" s="745"/>
      <c r="I216" s="1281" t="s">
        <v>1712</v>
      </c>
      <c r="J216" s="1282"/>
      <c r="K216" s="1282"/>
      <c r="L216" s="1282"/>
      <c r="M216" s="1282"/>
      <c r="N216" s="1282"/>
      <c r="O216" s="1283"/>
      <c r="P216" s="856">
        <f>SUM(P198:P213)</f>
        <v>0</v>
      </c>
      <c r="Q216" s="856">
        <f aca="true" t="shared" si="21" ref="Q216:AW216">SUM(Q198:Q213)</f>
        <v>0</v>
      </c>
      <c r="R216" s="856">
        <f t="shared" si="21"/>
        <v>0</v>
      </c>
      <c r="S216" s="856">
        <f t="shared" si="21"/>
        <v>0</v>
      </c>
      <c r="T216" s="856">
        <f t="shared" si="21"/>
        <v>0</v>
      </c>
      <c r="U216" s="856">
        <f t="shared" si="21"/>
        <v>0</v>
      </c>
      <c r="V216" s="856">
        <f t="shared" si="21"/>
        <v>0</v>
      </c>
      <c r="W216" s="856">
        <f t="shared" si="21"/>
        <v>0</v>
      </c>
      <c r="X216" s="856">
        <f t="shared" si="21"/>
        <v>0</v>
      </c>
      <c r="Y216" s="856">
        <f t="shared" si="21"/>
        <v>0</v>
      </c>
      <c r="Z216" s="856">
        <f t="shared" si="21"/>
        <v>0</v>
      </c>
      <c r="AA216" s="856">
        <f t="shared" si="21"/>
        <v>0</v>
      </c>
      <c r="AB216" s="856">
        <f t="shared" si="21"/>
        <v>0</v>
      </c>
      <c r="AC216" s="856">
        <f t="shared" si="21"/>
        <v>0</v>
      </c>
      <c r="AD216" s="856">
        <f t="shared" si="21"/>
        <v>313628012.6</v>
      </c>
      <c r="AE216" s="856">
        <f t="shared" si="21"/>
        <v>0</v>
      </c>
      <c r="AF216" s="856">
        <f t="shared" si="21"/>
        <v>0</v>
      </c>
      <c r="AG216" s="856">
        <f t="shared" si="21"/>
        <v>0</v>
      </c>
      <c r="AH216" s="856">
        <f t="shared" si="21"/>
        <v>0</v>
      </c>
      <c r="AI216" s="856">
        <f t="shared" si="21"/>
        <v>0</v>
      </c>
      <c r="AJ216" s="856">
        <f t="shared" si="21"/>
        <v>0</v>
      </c>
      <c r="AK216" s="856">
        <f t="shared" si="21"/>
        <v>0</v>
      </c>
      <c r="AL216" s="856">
        <f t="shared" si="21"/>
        <v>0</v>
      </c>
      <c r="AM216" s="856">
        <f t="shared" si="21"/>
        <v>0</v>
      </c>
      <c r="AN216" s="856">
        <f t="shared" si="21"/>
        <v>0</v>
      </c>
      <c r="AO216" s="856">
        <f t="shared" si="21"/>
        <v>0</v>
      </c>
      <c r="AP216" s="856">
        <f t="shared" si="21"/>
        <v>0</v>
      </c>
      <c r="AQ216" s="856">
        <f t="shared" si="21"/>
        <v>0</v>
      </c>
      <c r="AR216" s="856">
        <f t="shared" si="21"/>
        <v>0</v>
      </c>
      <c r="AS216" s="856">
        <f t="shared" si="21"/>
        <v>500000</v>
      </c>
      <c r="AT216" s="856">
        <f t="shared" si="21"/>
        <v>0</v>
      </c>
      <c r="AU216" s="856">
        <f t="shared" si="21"/>
        <v>348000000</v>
      </c>
      <c r="AV216" s="856">
        <f t="shared" si="21"/>
        <v>0</v>
      </c>
      <c r="AW216" s="856">
        <f t="shared" si="21"/>
        <v>662128012.6</v>
      </c>
      <c r="BA216" s="1155"/>
      <c r="BB216" s="1155"/>
      <c r="BC216" s="1155"/>
      <c r="BD216" s="1155"/>
      <c r="BE216" s="1155"/>
      <c r="BF216" s="1155"/>
      <c r="BG216" s="1155"/>
      <c r="BH216" s="1145"/>
      <c r="BI216" s="1145"/>
      <c r="BJ216" s="1145"/>
      <c r="BK216" s="1145"/>
      <c r="BL216" s="1145"/>
      <c r="BM216" s="1145"/>
      <c r="BN216" s="1145"/>
      <c r="BO216" s="1145"/>
      <c r="BP216" s="1145"/>
      <c r="BQ216" s="1145"/>
      <c r="BR216" s="1145"/>
      <c r="BS216" s="1145"/>
      <c r="BT216" s="1145"/>
      <c r="BU216" s="1145"/>
      <c r="BV216" s="1145"/>
      <c r="BW216" s="1145"/>
      <c r="BX216" s="1145"/>
      <c r="BY216" s="1145"/>
    </row>
    <row r="217" spans="1:77" ht="79.5" thickBot="1">
      <c r="A217" s="1377"/>
      <c r="B217" s="1384"/>
      <c r="C217" s="1395"/>
      <c r="D217" s="1384"/>
      <c r="E217" s="1384"/>
      <c r="F217" s="1377"/>
      <c r="G217" s="367" t="s">
        <v>1153</v>
      </c>
      <c r="H217" s="693"/>
      <c r="I217" s="750" t="s">
        <v>1158</v>
      </c>
      <c r="J217" s="687" t="s">
        <v>1159</v>
      </c>
      <c r="K217" s="688"/>
      <c r="L217" s="688">
        <v>1</v>
      </c>
      <c r="M217" s="688">
        <v>1</v>
      </c>
      <c r="N217" s="367"/>
      <c r="O217" s="855" t="s">
        <v>1745</v>
      </c>
      <c r="P217" s="460"/>
      <c r="Q217" s="460"/>
      <c r="R217" s="460"/>
      <c r="S217" s="460"/>
      <c r="T217" s="460"/>
      <c r="U217" s="460"/>
      <c r="V217" s="460"/>
      <c r="W217" s="460"/>
      <c r="X217" s="460"/>
      <c r="Y217" s="460"/>
      <c r="Z217" s="460"/>
      <c r="AA217" s="460"/>
      <c r="AB217" s="460"/>
      <c r="AC217" s="460"/>
      <c r="AD217" s="460">
        <v>50000000</v>
      </c>
      <c r="AE217" s="460"/>
      <c r="AF217" s="460"/>
      <c r="AG217" s="460"/>
      <c r="AH217" s="460"/>
      <c r="AI217" s="460"/>
      <c r="AJ217" s="460"/>
      <c r="AK217" s="460"/>
      <c r="AL217" s="460"/>
      <c r="AM217" s="460"/>
      <c r="AN217" s="460"/>
      <c r="AO217" s="460"/>
      <c r="AP217" s="460"/>
      <c r="AQ217" s="460"/>
      <c r="AR217" s="460"/>
      <c r="AS217" s="460"/>
      <c r="AT217" s="460"/>
      <c r="AU217" s="460"/>
      <c r="AV217" s="460"/>
      <c r="AW217" s="460">
        <f>SUM(P217:AV217)</f>
        <v>50000000</v>
      </c>
      <c r="BA217" s="1155" t="s">
        <v>1835</v>
      </c>
      <c r="BB217" s="1155" t="s">
        <v>1850</v>
      </c>
      <c r="BC217" s="1155" t="s">
        <v>1850</v>
      </c>
      <c r="BD217" s="1155" t="s">
        <v>1850</v>
      </c>
      <c r="BE217" s="1155" t="s">
        <v>1850</v>
      </c>
      <c r="BF217" s="1155" t="s">
        <v>1851</v>
      </c>
      <c r="BG217" s="1155">
        <v>4</v>
      </c>
      <c r="BH217" s="1145"/>
      <c r="BI217" s="1145"/>
      <c r="BJ217" s="1145"/>
      <c r="BK217" s="1145"/>
      <c r="BL217" s="1145"/>
      <c r="BM217" s="1145"/>
      <c r="BN217" s="1145"/>
      <c r="BO217" s="1145"/>
      <c r="BP217" s="1145"/>
      <c r="BQ217" s="1145"/>
      <c r="BR217" s="1145"/>
      <c r="BS217" s="1145"/>
      <c r="BT217" s="1145"/>
      <c r="BU217" s="1145"/>
      <c r="BV217" s="1145"/>
      <c r="BW217" s="1145"/>
      <c r="BX217" s="1145"/>
      <c r="BY217" s="1145"/>
    </row>
    <row r="218" spans="1:77" ht="38.25" customHeight="1" hidden="1" thickBot="1">
      <c r="A218" s="1377"/>
      <c r="B218" s="1384"/>
      <c r="C218" s="1395"/>
      <c r="D218" s="1396"/>
      <c r="E218" s="1396"/>
      <c r="F218" s="1378"/>
      <c r="G218" s="1171"/>
      <c r="H218" s="693"/>
      <c r="I218" s="757" t="s">
        <v>1160</v>
      </c>
      <c r="J218" s="687" t="s">
        <v>1161</v>
      </c>
      <c r="K218" s="367"/>
      <c r="L218" s="688">
        <v>1</v>
      </c>
      <c r="M218" s="367"/>
      <c r="N218" s="687"/>
      <c r="O218" s="854"/>
      <c r="BA218" s="1155"/>
      <c r="BB218" s="1155"/>
      <c r="BC218" s="1155"/>
      <c r="BD218" s="1155"/>
      <c r="BE218" s="1155"/>
      <c r="BF218" s="1155"/>
      <c r="BG218" s="1155"/>
      <c r="BH218" s="1145"/>
      <c r="BI218" s="1145"/>
      <c r="BJ218" s="1145"/>
      <c r="BK218" s="1145"/>
      <c r="BL218" s="1145"/>
      <c r="BM218" s="1145"/>
      <c r="BN218" s="1145"/>
      <c r="BO218" s="1145"/>
      <c r="BP218" s="1145"/>
      <c r="BQ218" s="1145"/>
      <c r="BR218" s="1145"/>
      <c r="BS218" s="1145"/>
      <c r="BT218" s="1145"/>
      <c r="BU218" s="1145"/>
      <c r="BV218" s="1145"/>
      <c r="BW218" s="1145"/>
      <c r="BX218" s="1145"/>
      <c r="BY218" s="1145"/>
    </row>
    <row r="219" spans="1:77" ht="27" thickBot="1">
      <c r="A219" s="1377"/>
      <c r="B219" s="1384"/>
      <c r="C219" s="1395"/>
      <c r="D219" s="735"/>
      <c r="E219" s="735"/>
      <c r="F219" s="721"/>
      <c r="G219" s="367"/>
      <c r="H219" s="745"/>
      <c r="I219" s="1281" t="s">
        <v>1713</v>
      </c>
      <c r="J219" s="1282"/>
      <c r="K219" s="1282"/>
      <c r="L219" s="1282"/>
      <c r="M219" s="1282"/>
      <c r="N219" s="1282"/>
      <c r="O219" s="1282"/>
      <c r="P219" s="857">
        <f>SUM(P217)</f>
        <v>0</v>
      </c>
      <c r="Q219" s="858">
        <f aca="true" t="shared" si="22" ref="Q219:AW219">SUM(Q217)</f>
        <v>0</v>
      </c>
      <c r="R219" s="858">
        <f t="shared" si="22"/>
        <v>0</v>
      </c>
      <c r="S219" s="858">
        <f t="shared" si="22"/>
        <v>0</v>
      </c>
      <c r="T219" s="858">
        <f t="shared" si="22"/>
        <v>0</v>
      </c>
      <c r="U219" s="858">
        <f t="shared" si="22"/>
        <v>0</v>
      </c>
      <c r="V219" s="858">
        <f t="shared" si="22"/>
        <v>0</v>
      </c>
      <c r="W219" s="858">
        <f t="shared" si="22"/>
        <v>0</v>
      </c>
      <c r="X219" s="858">
        <f t="shared" si="22"/>
        <v>0</v>
      </c>
      <c r="Y219" s="858">
        <f t="shared" si="22"/>
        <v>0</v>
      </c>
      <c r="Z219" s="858">
        <f t="shared" si="22"/>
        <v>0</v>
      </c>
      <c r="AA219" s="858">
        <f t="shared" si="22"/>
        <v>0</v>
      </c>
      <c r="AB219" s="858">
        <f t="shared" si="22"/>
        <v>0</v>
      </c>
      <c r="AC219" s="858">
        <f t="shared" si="22"/>
        <v>0</v>
      </c>
      <c r="AD219" s="858">
        <f t="shared" si="22"/>
        <v>50000000</v>
      </c>
      <c r="AE219" s="858">
        <f t="shared" si="22"/>
        <v>0</v>
      </c>
      <c r="AF219" s="858">
        <f t="shared" si="22"/>
        <v>0</v>
      </c>
      <c r="AG219" s="858">
        <f t="shared" si="22"/>
        <v>0</v>
      </c>
      <c r="AH219" s="858">
        <f t="shared" si="22"/>
        <v>0</v>
      </c>
      <c r="AI219" s="858">
        <f t="shared" si="22"/>
        <v>0</v>
      </c>
      <c r="AJ219" s="858">
        <f t="shared" si="22"/>
        <v>0</v>
      </c>
      <c r="AK219" s="858">
        <f t="shared" si="22"/>
        <v>0</v>
      </c>
      <c r="AL219" s="858">
        <f t="shared" si="22"/>
        <v>0</v>
      </c>
      <c r="AM219" s="858">
        <f t="shared" si="22"/>
        <v>0</v>
      </c>
      <c r="AN219" s="858">
        <f t="shared" si="22"/>
        <v>0</v>
      </c>
      <c r="AO219" s="858">
        <f t="shared" si="22"/>
        <v>0</v>
      </c>
      <c r="AP219" s="858">
        <f t="shared" si="22"/>
        <v>0</v>
      </c>
      <c r="AQ219" s="858">
        <f t="shared" si="22"/>
        <v>0</v>
      </c>
      <c r="AR219" s="858">
        <f t="shared" si="22"/>
        <v>0</v>
      </c>
      <c r="AS219" s="858">
        <f t="shared" si="22"/>
        <v>0</v>
      </c>
      <c r="AT219" s="858">
        <f t="shared" si="22"/>
        <v>0</v>
      </c>
      <c r="AU219" s="858">
        <f t="shared" si="22"/>
        <v>0</v>
      </c>
      <c r="AV219" s="858">
        <f t="shared" si="22"/>
        <v>0</v>
      </c>
      <c r="AW219" s="777">
        <f t="shared" si="22"/>
        <v>50000000</v>
      </c>
      <c r="BA219" s="1155"/>
      <c r="BB219" s="1155"/>
      <c r="BC219" s="1155"/>
      <c r="BD219" s="1155"/>
      <c r="BE219" s="1155"/>
      <c r="BF219" s="1155"/>
      <c r="BG219" s="1155"/>
      <c r="BH219" s="1145"/>
      <c r="BI219" s="1145"/>
      <c r="BJ219" s="1145"/>
      <c r="BK219" s="1145"/>
      <c r="BL219" s="1145"/>
      <c r="BM219" s="1145"/>
      <c r="BN219" s="1145"/>
      <c r="BO219" s="1145"/>
      <c r="BP219" s="1145"/>
      <c r="BQ219" s="1145"/>
      <c r="BR219" s="1145"/>
      <c r="BS219" s="1145"/>
      <c r="BT219" s="1145"/>
      <c r="BU219" s="1145"/>
      <c r="BV219" s="1145"/>
      <c r="BW219" s="1145"/>
      <c r="BX219" s="1145"/>
      <c r="BY219" s="1145"/>
    </row>
    <row r="220" spans="1:77" ht="63.75">
      <c r="A220" s="1377"/>
      <c r="B220" s="1384"/>
      <c r="C220" s="1395"/>
      <c r="D220" s="1367" t="s">
        <v>1162</v>
      </c>
      <c r="E220" s="1367" t="s">
        <v>1163</v>
      </c>
      <c r="F220" s="1389">
        <v>2</v>
      </c>
      <c r="G220" s="1388" t="s">
        <v>1166</v>
      </c>
      <c r="H220" s="389"/>
      <c r="I220" s="750" t="s">
        <v>1167</v>
      </c>
      <c r="J220" s="688" t="s">
        <v>1168</v>
      </c>
      <c r="K220" s="388"/>
      <c r="L220" s="378">
        <v>1</v>
      </c>
      <c r="M220" s="688">
        <v>1</v>
      </c>
      <c r="N220" s="388"/>
      <c r="O220" s="1334" t="s">
        <v>1690</v>
      </c>
      <c r="P220" s="1293"/>
      <c r="Q220" s="1293"/>
      <c r="R220" s="1293"/>
      <c r="S220" s="1293"/>
      <c r="T220" s="1293"/>
      <c r="U220" s="1293"/>
      <c r="V220" s="1293"/>
      <c r="W220" s="1293"/>
      <c r="X220" s="1293"/>
      <c r="Y220" s="1293"/>
      <c r="Z220" s="1293"/>
      <c r="AA220" s="1293"/>
      <c r="AB220" s="1293">
        <v>180000000</v>
      </c>
      <c r="AD220" s="1293"/>
      <c r="AE220" s="1293"/>
      <c r="AF220" s="1293"/>
      <c r="AG220" s="1293"/>
      <c r="AH220" s="1293"/>
      <c r="AR220" s="1293"/>
      <c r="AS220" s="1293"/>
      <c r="AT220" s="1293"/>
      <c r="AU220" s="1293"/>
      <c r="AV220" s="1293"/>
      <c r="AW220" s="1293">
        <f>SUM(P220:AV220)</f>
        <v>180000000</v>
      </c>
      <c r="BA220" s="1208" t="s">
        <v>1836</v>
      </c>
      <c r="BB220" s="1208" t="s">
        <v>1850</v>
      </c>
      <c r="BC220" s="1208" t="s">
        <v>1850</v>
      </c>
      <c r="BD220" s="1208" t="s">
        <v>1850</v>
      </c>
      <c r="BE220" s="1208" t="s">
        <v>1850</v>
      </c>
      <c r="BF220" s="1208" t="s">
        <v>1851</v>
      </c>
      <c r="BG220" s="1208">
        <v>4</v>
      </c>
      <c r="BH220" s="1145"/>
      <c r="BI220" s="1145"/>
      <c r="BJ220" s="1145"/>
      <c r="BK220" s="1145"/>
      <c r="BL220" s="1145"/>
      <c r="BM220" s="1145"/>
      <c r="BN220" s="1145"/>
      <c r="BO220" s="1145"/>
      <c r="BP220" s="1145"/>
      <c r="BQ220" s="1145"/>
      <c r="BR220" s="1145"/>
      <c r="BS220" s="1145"/>
      <c r="BT220" s="1145"/>
      <c r="BU220" s="1145"/>
      <c r="BV220" s="1145"/>
      <c r="BW220" s="1145"/>
      <c r="BX220" s="1145"/>
      <c r="BY220" s="1145"/>
    </row>
    <row r="221" spans="1:77" ht="51">
      <c r="A221" s="1377"/>
      <c r="B221" s="1384"/>
      <c r="C221" s="1395"/>
      <c r="D221" s="1367"/>
      <c r="E221" s="1367"/>
      <c r="F221" s="1390"/>
      <c r="G221" s="1388"/>
      <c r="H221" s="389"/>
      <c r="I221" s="750" t="s">
        <v>1169</v>
      </c>
      <c r="J221" s="688" t="s">
        <v>1170</v>
      </c>
      <c r="K221" s="388"/>
      <c r="L221" s="688">
        <v>3</v>
      </c>
      <c r="M221" s="688">
        <v>1</v>
      </c>
      <c r="N221" s="688"/>
      <c r="O221" s="1293"/>
      <c r="P221" s="1293"/>
      <c r="Q221" s="1293"/>
      <c r="R221" s="1293"/>
      <c r="S221" s="1293"/>
      <c r="T221" s="1293"/>
      <c r="U221" s="1293"/>
      <c r="V221" s="1293"/>
      <c r="W221" s="1293"/>
      <c r="X221" s="1293"/>
      <c r="Y221" s="1293"/>
      <c r="Z221" s="1293"/>
      <c r="AA221" s="1293"/>
      <c r="AB221" s="1293"/>
      <c r="AD221" s="1293"/>
      <c r="AE221" s="1293"/>
      <c r="AF221" s="1293"/>
      <c r="AG221" s="1293"/>
      <c r="AH221" s="1293"/>
      <c r="AR221" s="1293"/>
      <c r="AS221" s="1293"/>
      <c r="AT221" s="1293"/>
      <c r="AU221" s="1293"/>
      <c r="AV221" s="1293"/>
      <c r="AW221" s="1293">
        <f>SUM(P221:AV221)</f>
        <v>0</v>
      </c>
      <c r="BA221" s="1209"/>
      <c r="BB221" s="1209"/>
      <c r="BC221" s="1209"/>
      <c r="BD221" s="1209"/>
      <c r="BE221" s="1209"/>
      <c r="BF221" s="1209"/>
      <c r="BG221" s="1209"/>
      <c r="BH221" s="1145"/>
      <c r="BI221" s="1145"/>
      <c r="BJ221" s="1145"/>
      <c r="BK221" s="1145"/>
      <c r="BL221" s="1145"/>
      <c r="BM221" s="1145"/>
      <c r="BN221" s="1145"/>
      <c r="BO221" s="1145"/>
      <c r="BP221" s="1145"/>
      <c r="BQ221" s="1145"/>
      <c r="BR221" s="1145"/>
      <c r="BS221" s="1145"/>
      <c r="BT221" s="1145"/>
      <c r="BU221" s="1145"/>
      <c r="BV221" s="1145"/>
      <c r="BW221" s="1145"/>
      <c r="BX221" s="1145"/>
      <c r="BY221" s="1145"/>
    </row>
    <row r="222" spans="1:77" ht="64.5" thickBot="1">
      <c r="A222" s="1377"/>
      <c r="B222" s="1384"/>
      <c r="C222" s="1395"/>
      <c r="D222" s="1367"/>
      <c r="E222" s="1367"/>
      <c r="F222" s="1391"/>
      <c r="G222" s="1388"/>
      <c r="H222" s="389"/>
      <c r="I222" s="764" t="s">
        <v>1171</v>
      </c>
      <c r="J222" s="732" t="s">
        <v>1172</v>
      </c>
      <c r="K222" s="810"/>
      <c r="L222" s="810"/>
      <c r="M222" s="732">
        <v>1</v>
      </c>
      <c r="N222" s="810"/>
      <c r="O222" s="1293"/>
      <c r="P222" s="1293"/>
      <c r="Q222" s="1293"/>
      <c r="R222" s="1293"/>
      <c r="S222" s="1293"/>
      <c r="T222" s="1293"/>
      <c r="U222" s="1293"/>
      <c r="V222" s="1293"/>
      <c r="W222" s="1293"/>
      <c r="X222" s="1293"/>
      <c r="Y222" s="1293"/>
      <c r="Z222" s="1293"/>
      <c r="AA222" s="1293"/>
      <c r="AB222" s="1293"/>
      <c r="AD222" s="1293"/>
      <c r="AE222" s="1293"/>
      <c r="AF222" s="1293"/>
      <c r="AG222" s="1293"/>
      <c r="AH222" s="1293"/>
      <c r="AR222" s="1293"/>
      <c r="AS222" s="1293"/>
      <c r="AT222" s="1293"/>
      <c r="AU222" s="1293"/>
      <c r="AV222" s="1293"/>
      <c r="AW222" s="1293">
        <f>SUM(P222:AV222)</f>
        <v>0</v>
      </c>
      <c r="BA222" s="1210"/>
      <c r="BB222" s="1210"/>
      <c r="BC222" s="1210"/>
      <c r="BD222" s="1210"/>
      <c r="BE222" s="1210"/>
      <c r="BF222" s="1210"/>
      <c r="BG222" s="1210"/>
      <c r="BH222" s="1145"/>
      <c r="BI222" s="1145"/>
      <c r="BJ222" s="1145"/>
      <c r="BK222" s="1145"/>
      <c r="BL222" s="1145"/>
      <c r="BM222" s="1145"/>
      <c r="BN222" s="1145"/>
      <c r="BO222" s="1145"/>
      <c r="BP222" s="1145"/>
      <c r="BQ222" s="1145"/>
      <c r="BR222" s="1145"/>
      <c r="BS222" s="1145"/>
      <c r="BT222" s="1145"/>
      <c r="BU222" s="1145"/>
      <c r="BV222" s="1145"/>
      <c r="BW222" s="1145"/>
      <c r="BX222" s="1145"/>
      <c r="BY222" s="1145"/>
    </row>
    <row r="223" spans="1:77" ht="27" thickBot="1">
      <c r="A223" s="1377"/>
      <c r="B223" s="1384"/>
      <c r="C223" s="1395"/>
      <c r="D223" s="718"/>
      <c r="E223" s="718"/>
      <c r="F223" s="731"/>
      <c r="G223" s="730"/>
      <c r="H223" s="807"/>
      <c r="I223" s="1237" t="s">
        <v>1714</v>
      </c>
      <c r="J223" s="1238"/>
      <c r="K223" s="1238"/>
      <c r="L223" s="1238"/>
      <c r="M223" s="1238"/>
      <c r="N223" s="1238"/>
      <c r="O223" s="1284"/>
      <c r="P223" s="859">
        <f>SUM(P220)</f>
        <v>0</v>
      </c>
      <c r="Q223" s="859">
        <f aca="true" t="shared" si="23" ref="Q223:AW223">SUM(Q220)</f>
        <v>0</v>
      </c>
      <c r="R223" s="859">
        <f t="shared" si="23"/>
        <v>0</v>
      </c>
      <c r="S223" s="859">
        <f t="shared" si="23"/>
        <v>0</v>
      </c>
      <c r="T223" s="859">
        <f t="shared" si="23"/>
        <v>0</v>
      </c>
      <c r="U223" s="859">
        <f t="shared" si="23"/>
        <v>0</v>
      </c>
      <c r="V223" s="859">
        <f t="shared" si="23"/>
        <v>0</v>
      </c>
      <c r="W223" s="859">
        <f t="shared" si="23"/>
        <v>0</v>
      </c>
      <c r="X223" s="859">
        <f t="shared" si="23"/>
        <v>0</v>
      </c>
      <c r="Y223" s="859">
        <f t="shared" si="23"/>
        <v>0</v>
      </c>
      <c r="Z223" s="859">
        <f t="shared" si="23"/>
        <v>0</v>
      </c>
      <c r="AA223" s="859">
        <f t="shared" si="23"/>
        <v>0</v>
      </c>
      <c r="AB223" s="859">
        <f t="shared" si="23"/>
        <v>180000000</v>
      </c>
      <c r="AC223" s="859">
        <f t="shared" si="23"/>
        <v>0</v>
      </c>
      <c r="AD223" s="859">
        <f t="shared" si="23"/>
        <v>0</v>
      </c>
      <c r="AE223" s="859">
        <f t="shared" si="23"/>
        <v>0</v>
      </c>
      <c r="AF223" s="859">
        <f t="shared" si="23"/>
        <v>0</v>
      </c>
      <c r="AG223" s="859">
        <f t="shared" si="23"/>
        <v>0</v>
      </c>
      <c r="AH223" s="859">
        <f t="shared" si="23"/>
        <v>0</v>
      </c>
      <c r="AI223" s="859">
        <f t="shared" si="23"/>
        <v>0</v>
      </c>
      <c r="AJ223" s="859">
        <f t="shared" si="23"/>
        <v>0</v>
      </c>
      <c r="AK223" s="859">
        <f t="shared" si="23"/>
        <v>0</v>
      </c>
      <c r="AL223" s="859">
        <f t="shared" si="23"/>
        <v>0</v>
      </c>
      <c r="AM223" s="859">
        <f t="shared" si="23"/>
        <v>0</v>
      </c>
      <c r="AN223" s="859">
        <f t="shared" si="23"/>
        <v>0</v>
      </c>
      <c r="AO223" s="859">
        <f t="shared" si="23"/>
        <v>0</v>
      </c>
      <c r="AP223" s="859">
        <f t="shared" si="23"/>
        <v>0</v>
      </c>
      <c r="AQ223" s="859">
        <f t="shared" si="23"/>
        <v>0</v>
      </c>
      <c r="AR223" s="859">
        <f t="shared" si="23"/>
        <v>0</v>
      </c>
      <c r="AS223" s="859">
        <f t="shared" si="23"/>
        <v>0</v>
      </c>
      <c r="AT223" s="859">
        <f t="shared" si="23"/>
        <v>0</v>
      </c>
      <c r="AU223" s="859">
        <f t="shared" si="23"/>
        <v>0</v>
      </c>
      <c r="AV223" s="859">
        <f t="shared" si="23"/>
        <v>0</v>
      </c>
      <c r="AW223" s="860">
        <f t="shared" si="23"/>
        <v>180000000</v>
      </c>
      <c r="BA223" s="1155"/>
      <c r="BB223" s="1155"/>
      <c r="BC223" s="1155"/>
      <c r="BD223" s="1155"/>
      <c r="BE223" s="1155"/>
      <c r="BF223" s="1155"/>
      <c r="BG223" s="1155"/>
      <c r="BH223" s="1145"/>
      <c r="BI223" s="1145"/>
      <c r="BJ223" s="1145"/>
      <c r="BK223" s="1145"/>
      <c r="BL223" s="1145"/>
      <c r="BM223" s="1145"/>
      <c r="BN223" s="1145"/>
      <c r="BO223" s="1145"/>
      <c r="BP223" s="1145"/>
      <c r="BQ223" s="1145"/>
      <c r="BR223" s="1145"/>
      <c r="BS223" s="1145"/>
      <c r="BT223" s="1145"/>
      <c r="BU223" s="1145"/>
      <c r="BV223" s="1145"/>
      <c r="BW223" s="1145"/>
      <c r="BX223" s="1145"/>
      <c r="BY223" s="1145"/>
    </row>
    <row r="224" spans="1:77" ht="27" thickBot="1">
      <c r="A224" s="1377"/>
      <c r="B224" s="1384"/>
      <c r="C224" s="1395"/>
      <c r="D224" s="1158"/>
      <c r="E224" s="1158"/>
      <c r="F224" s="1161"/>
      <c r="G224" s="1160"/>
      <c r="H224" s="807"/>
      <c r="I224" s="1172"/>
      <c r="J224" s="1173"/>
      <c r="K224" s="1172"/>
      <c r="L224" s="1173"/>
      <c r="M224" s="1173"/>
      <c r="N224" s="1174"/>
      <c r="O224" s="1175"/>
      <c r="P224" s="859"/>
      <c r="Q224" s="859"/>
      <c r="R224" s="859"/>
      <c r="S224" s="859"/>
      <c r="T224" s="859"/>
      <c r="U224" s="859"/>
      <c r="V224" s="859"/>
      <c r="W224" s="859"/>
      <c r="X224" s="859"/>
      <c r="Y224" s="859"/>
      <c r="Z224" s="859"/>
      <c r="AA224" s="859"/>
      <c r="AB224" s="859"/>
      <c r="AC224" s="859"/>
      <c r="AD224" s="859"/>
      <c r="AE224" s="859"/>
      <c r="AF224" s="859"/>
      <c r="AG224" s="859"/>
      <c r="AH224" s="859"/>
      <c r="AI224" s="859"/>
      <c r="AJ224" s="859"/>
      <c r="AK224" s="859"/>
      <c r="AL224" s="859"/>
      <c r="AM224" s="859"/>
      <c r="AN224" s="859"/>
      <c r="AO224" s="859"/>
      <c r="AP224" s="859"/>
      <c r="AQ224" s="859"/>
      <c r="AR224" s="859"/>
      <c r="AS224" s="859"/>
      <c r="AT224" s="859"/>
      <c r="AU224" s="859"/>
      <c r="AV224" s="859"/>
      <c r="AW224" s="860"/>
      <c r="AY224" s="904"/>
      <c r="AZ224" s="904"/>
      <c r="BA224" s="1155"/>
      <c r="BB224" s="1155"/>
      <c r="BC224" s="1155"/>
      <c r="BD224" s="1155"/>
      <c r="BE224" s="1155"/>
      <c r="BF224" s="1155"/>
      <c r="BG224" s="1155"/>
      <c r="BH224" s="1145"/>
      <c r="BI224" s="1145"/>
      <c r="BJ224" s="1145"/>
      <c r="BK224" s="1145"/>
      <c r="BL224" s="1145"/>
      <c r="BM224" s="1145"/>
      <c r="BN224" s="1145"/>
      <c r="BO224" s="1145"/>
      <c r="BP224" s="1145"/>
      <c r="BQ224" s="1145"/>
      <c r="BR224" s="1145"/>
      <c r="BS224" s="1145"/>
      <c r="BT224" s="1145"/>
      <c r="BU224" s="1145"/>
      <c r="BV224" s="1145"/>
      <c r="BW224" s="1145"/>
      <c r="BX224" s="1145"/>
      <c r="BY224" s="1145"/>
    </row>
    <row r="225" spans="1:77" ht="68.25" customHeight="1">
      <c r="A225" s="1377"/>
      <c r="B225" s="1384"/>
      <c r="C225" s="1395"/>
      <c r="D225" s="1367" t="s">
        <v>1173</v>
      </c>
      <c r="E225" s="1367" t="s">
        <v>1174</v>
      </c>
      <c r="F225" s="1387">
        <v>2</v>
      </c>
      <c r="G225" s="1392" t="s">
        <v>1175</v>
      </c>
      <c r="H225" s="374"/>
      <c r="I225" s="811" t="s">
        <v>1176</v>
      </c>
      <c r="J225" s="739"/>
      <c r="K225" s="812"/>
      <c r="L225" s="739">
        <v>1</v>
      </c>
      <c r="M225" s="739">
        <v>1</v>
      </c>
      <c r="N225" s="786"/>
      <c r="O225" s="1304" t="s">
        <v>1691</v>
      </c>
      <c r="P225" s="826"/>
      <c r="Q225" s="826"/>
      <c r="R225" s="826"/>
      <c r="S225" s="826"/>
      <c r="T225" s="826"/>
      <c r="U225" s="826"/>
      <c r="V225" s="826"/>
      <c r="W225" s="826"/>
      <c r="X225" s="826"/>
      <c r="Y225" s="826"/>
      <c r="Z225" s="826"/>
      <c r="AA225" s="826"/>
      <c r="AB225" s="826">
        <v>350000000</v>
      </c>
      <c r="AC225" s="826"/>
      <c r="AD225" s="826"/>
      <c r="AE225" s="826"/>
      <c r="AF225" s="826"/>
      <c r="AG225" s="826"/>
      <c r="AH225" s="826"/>
      <c r="AI225" s="826"/>
      <c r="AJ225" s="826"/>
      <c r="AK225" s="826"/>
      <c r="AL225" s="826"/>
      <c r="AM225" s="826"/>
      <c r="AN225" s="826"/>
      <c r="AO225" s="826"/>
      <c r="AP225" s="826"/>
      <c r="AQ225" s="826"/>
      <c r="AR225" s="826"/>
      <c r="AS225" s="826"/>
      <c r="AT225" s="826"/>
      <c r="AU225" s="826"/>
      <c r="AV225" s="826"/>
      <c r="AW225" s="1419">
        <f>SUM(P225:AV225)</f>
        <v>350000000</v>
      </c>
      <c r="BA225" s="1155" t="s">
        <v>1837</v>
      </c>
      <c r="BB225" s="1155" t="s">
        <v>1850</v>
      </c>
      <c r="BC225" s="1155" t="s">
        <v>1850</v>
      </c>
      <c r="BD225" s="1155" t="s">
        <v>1850</v>
      </c>
      <c r="BE225" s="1155" t="s">
        <v>1850</v>
      </c>
      <c r="BF225" s="1155" t="s">
        <v>1851</v>
      </c>
      <c r="BG225" s="1155">
        <v>4</v>
      </c>
      <c r="BH225" s="1145"/>
      <c r="BI225" s="1145"/>
      <c r="BJ225" s="1145"/>
      <c r="BK225" s="1145"/>
      <c r="BL225" s="1145"/>
      <c r="BM225" s="1145"/>
      <c r="BN225" s="1145"/>
      <c r="BO225" s="1145"/>
      <c r="BP225" s="1145"/>
      <c r="BQ225" s="1145"/>
      <c r="BR225" s="1145"/>
      <c r="BS225" s="1145"/>
      <c r="BT225" s="1145"/>
      <c r="BU225" s="1145"/>
      <c r="BV225" s="1145"/>
      <c r="BW225" s="1145"/>
      <c r="BX225" s="1145"/>
      <c r="BY225" s="1145"/>
    </row>
    <row r="226" spans="1:77" ht="63.75" customHeight="1" hidden="1">
      <c r="A226" s="1377"/>
      <c r="B226" s="1384"/>
      <c r="C226" s="1395"/>
      <c r="D226" s="1367"/>
      <c r="E226" s="1367"/>
      <c r="F226" s="1387"/>
      <c r="G226" s="1393"/>
      <c r="H226" s="374"/>
      <c r="I226" s="750" t="s">
        <v>1178</v>
      </c>
      <c r="J226" s="688" t="s">
        <v>1179</v>
      </c>
      <c r="K226" s="375"/>
      <c r="L226" s="688">
        <v>1</v>
      </c>
      <c r="M226" s="688">
        <v>1</v>
      </c>
      <c r="N226" s="374"/>
      <c r="O226" s="1333"/>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460"/>
      <c r="AL226" s="460"/>
      <c r="AM226" s="460"/>
      <c r="AN226" s="460"/>
      <c r="AO226" s="460"/>
      <c r="AP226" s="460"/>
      <c r="AQ226" s="460"/>
      <c r="AR226" s="460"/>
      <c r="AS226" s="460"/>
      <c r="AT226" s="460"/>
      <c r="AU226" s="460"/>
      <c r="AV226" s="460"/>
      <c r="AW226" s="1420"/>
      <c r="BA226" s="1155"/>
      <c r="BB226" s="1155"/>
      <c r="BC226" s="1155"/>
      <c r="BD226" s="1155"/>
      <c r="BE226" s="1155"/>
      <c r="BF226" s="1155"/>
      <c r="BG226" s="1155"/>
      <c r="BH226" s="1145"/>
      <c r="BI226" s="1145"/>
      <c r="BJ226" s="1145"/>
      <c r="BK226" s="1145"/>
      <c r="BL226" s="1145"/>
      <c r="BM226" s="1145"/>
      <c r="BN226" s="1145"/>
      <c r="BO226" s="1145"/>
      <c r="BP226" s="1145"/>
      <c r="BQ226" s="1145"/>
      <c r="BR226" s="1145"/>
      <c r="BS226" s="1145"/>
      <c r="BT226" s="1145"/>
      <c r="BU226" s="1145"/>
      <c r="BV226" s="1145"/>
      <c r="BW226" s="1145"/>
      <c r="BX226" s="1145"/>
      <c r="BY226" s="1145"/>
    </row>
    <row r="227" spans="1:77" ht="51" customHeight="1" hidden="1">
      <c r="A227" s="1377"/>
      <c r="B227" s="1384"/>
      <c r="C227" s="1395"/>
      <c r="D227" s="1367"/>
      <c r="E227" s="1367"/>
      <c r="F227" s="1387"/>
      <c r="G227" s="1393"/>
      <c r="H227" s="374"/>
      <c r="I227" s="750" t="s">
        <v>1180</v>
      </c>
      <c r="J227" s="688" t="s">
        <v>1181</v>
      </c>
      <c r="K227" s="375"/>
      <c r="L227" s="688">
        <v>1</v>
      </c>
      <c r="M227" s="688"/>
      <c r="N227" s="374"/>
      <c r="O227" s="1333"/>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460"/>
      <c r="AL227" s="460"/>
      <c r="AM227" s="460"/>
      <c r="AN227" s="460"/>
      <c r="AO227" s="460"/>
      <c r="AP227" s="460"/>
      <c r="AQ227" s="460"/>
      <c r="AR227" s="460"/>
      <c r="AS227" s="460"/>
      <c r="AT227" s="460"/>
      <c r="AU227" s="460"/>
      <c r="AV227" s="460"/>
      <c r="AW227" s="1420"/>
      <c r="BA227" s="1155"/>
      <c r="BB227" s="1155"/>
      <c r="BC227" s="1155"/>
      <c r="BD227" s="1155"/>
      <c r="BE227" s="1155"/>
      <c r="BF227" s="1155"/>
      <c r="BG227" s="1155"/>
      <c r="BH227" s="1145"/>
      <c r="BI227" s="1145"/>
      <c r="BJ227" s="1145"/>
      <c r="BK227" s="1145"/>
      <c r="BL227" s="1145"/>
      <c r="BM227" s="1145"/>
      <c r="BN227" s="1145"/>
      <c r="BO227" s="1145"/>
      <c r="BP227" s="1145"/>
      <c r="BQ227" s="1145"/>
      <c r="BR227" s="1145"/>
      <c r="BS227" s="1145"/>
      <c r="BT227" s="1145"/>
      <c r="BU227" s="1145"/>
      <c r="BV227" s="1145"/>
      <c r="BW227" s="1145"/>
      <c r="BX227" s="1145"/>
      <c r="BY227" s="1145"/>
    </row>
    <row r="228" spans="1:77" ht="51" customHeight="1" hidden="1">
      <c r="A228" s="1377"/>
      <c r="B228" s="1384"/>
      <c r="C228" s="1395"/>
      <c r="D228" s="1367"/>
      <c r="E228" s="1367"/>
      <c r="F228" s="1387"/>
      <c r="G228" s="1393"/>
      <c r="H228" s="374"/>
      <c r="I228" s="750" t="s">
        <v>1182</v>
      </c>
      <c r="J228" s="688" t="s">
        <v>1183</v>
      </c>
      <c r="K228" s="375"/>
      <c r="L228" s="688">
        <v>2</v>
      </c>
      <c r="M228" s="688"/>
      <c r="N228" s="374"/>
      <c r="O228" s="1333"/>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0"/>
      <c r="AS228" s="460"/>
      <c r="AT228" s="460"/>
      <c r="AU228" s="460"/>
      <c r="AV228" s="460"/>
      <c r="AW228" s="1420"/>
      <c r="BA228" s="1155"/>
      <c r="BB228" s="1155"/>
      <c r="BC228" s="1155"/>
      <c r="BD228" s="1155"/>
      <c r="BE228" s="1155"/>
      <c r="BF228" s="1155"/>
      <c r="BG228" s="1155"/>
      <c r="BH228" s="1145"/>
      <c r="BI228" s="1145"/>
      <c r="BJ228" s="1145"/>
      <c r="BK228" s="1145"/>
      <c r="BL228" s="1145"/>
      <c r="BM228" s="1145"/>
      <c r="BN228" s="1145"/>
      <c r="BO228" s="1145"/>
      <c r="BP228" s="1145"/>
      <c r="BQ228" s="1145"/>
      <c r="BR228" s="1145"/>
      <c r="BS228" s="1145"/>
      <c r="BT228" s="1145"/>
      <c r="BU228" s="1145"/>
      <c r="BV228" s="1145"/>
      <c r="BW228" s="1145"/>
      <c r="BX228" s="1145"/>
      <c r="BY228" s="1145"/>
    </row>
    <row r="229" spans="1:77" ht="15" customHeight="1" hidden="1">
      <c r="A229" s="1377"/>
      <c r="B229" s="1384"/>
      <c r="C229" s="1395"/>
      <c r="D229" s="1367"/>
      <c r="E229" s="1367"/>
      <c r="F229" s="1387"/>
      <c r="G229" s="1393"/>
      <c r="H229" s="374"/>
      <c r="I229" s="1291" t="s">
        <v>1184</v>
      </c>
      <c r="J229" s="688"/>
      <c r="K229" s="1291"/>
      <c r="L229" s="1364">
        <v>1</v>
      </c>
      <c r="M229" s="1291"/>
      <c r="N229" s="374"/>
      <c r="O229" s="1333"/>
      <c r="P229" s="460"/>
      <c r="Q229" s="460"/>
      <c r="R229" s="460"/>
      <c r="S229" s="460"/>
      <c r="T229" s="460"/>
      <c r="U229" s="460"/>
      <c r="V229" s="460"/>
      <c r="W229" s="460"/>
      <c r="X229" s="460"/>
      <c r="Y229" s="460"/>
      <c r="Z229" s="460"/>
      <c r="AA229" s="460"/>
      <c r="AB229" s="460"/>
      <c r="AC229" s="460"/>
      <c r="AD229" s="460"/>
      <c r="AE229" s="460"/>
      <c r="AF229" s="460"/>
      <c r="AG229" s="460"/>
      <c r="AH229" s="460"/>
      <c r="AI229" s="460"/>
      <c r="AJ229" s="460"/>
      <c r="AK229" s="460"/>
      <c r="AL229" s="460"/>
      <c r="AM229" s="460"/>
      <c r="AN229" s="460"/>
      <c r="AO229" s="460"/>
      <c r="AP229" s="460"/>
      <c r="AQ229" s="460"/>
      <c r="AR229" s="460"/>
      <c r="AS229" s="460"/>
      <c r="AT229" s="460"/>
      <c r="AU229" s="460"/>
      <c r="AV229" s="460"/>
      <c r="AW229" s="1420"/>
      <c r="BA229" s="1155"/>
      <c r="BB229" s="1155"/>
      <c r="BC229" s="1155"/>
      <c r="BD229" s="1155"/>
      <c r="BE229" s="1155"/>
      <c r="BF229" s="1155"/>
      <c r="BG229" s="1155"/>
      <c r="BH229" s="1145"/>
      <c r="BI229" s="1145"/>
      <c r="BJ229" s="1145"/>
      <c r="BK229" s="1145"/>
      <c r="BL229" s="1145"/>
      <c r="BM229" s="1145"/>
      <c r="BN229" s="1145"/>
      <c r="BO229" s="1145"/>
      <c r="BP229" s="1145"/>
      <c r="BQ229" s="1145"/>
      <c r="BR229" s="1145"/>
      <c r="BS229" s="1145"/>
      <c r="BT229" s="1145"/>
      <c r="BU229" s="1145"/>
      <c r="BV229" s="1145"/>
      <c r="BW229" s="1145"/>
      <c r="BX229" s="1145"/>
      <c r="BY229" s="1145"/>
    </row>
    <row r="230" spans="1:77" ht="25.5" customHeight="1" hidden="1">
      <c r="A230" s="1377"/>
      <c r="B230" s="1384"/>
      <c r="C230" s="1395"/>
      <c r="D230" s="1367"/>
      <c r="E230" s="1367"/>
      <c r="F230" s="1387"/>
      <c r="G230" s="1393"/>
      <c r="H230" s="374"/>
      <c r="I230" s="1292"/>
      <c r="J230" s="688" t="s">
        <v>1185</v>
      </c>
      <c r="K230" s="1292"/>
      <c r="L230" s="1365"/>
      <c r="M230" s="1292"/>
      <c r="N230" s="374"/>
      <c r="O230" s="1333"/>
      <c r="P230" s="460"/>
      <c r="Q230" s="460"/>
      <c r="R230" s="460"/>
      <c r="S230" s="460"/>
      <c r="T230" s="460"/>
      <c r="U230" s="460"/>
      <c r="V230" s="460"/>
      <c r="W230" s="460"/>
      <c r="X230" s="460"/>
      <c r="Y230" s="460"/>
      <c r="Z230" s="460"/>
      <c r="AA230" s="460"/>
      <c r="AB230" s="460"/>
      <c r="AC230" s="460"/>
      <c r="AD230" s="460"/>
      <c r="AE230" s="460"/>
      <c r="AF230" s="460"/>
      <c r="AG230" s="460"/>
      <c r="AH230" s="460"/>
      <c r="AI230" s="460"/>
      <c r="AJ230" s="460"/>
      <c r="AK230" s="460"/>
      <c r="AL230" s="460"/>
      <c r="AM230" s="460"/>
      <c r="AN230" s="460"/>
      <c r="AO230" s="460"/>
      <c r="AP230" s="460"/>
      <c r="AQ230" s="460"/>
      <c r="AR230" s="460"/>
      <c r="AS230" s="460"/>
      <c r="AT230" s="460"/>
      <c r="AU230" s="460"/>
      <c r="AV230" s="460"/>
      <c r="AW230" s="1420"/>
      <c r="BA230" s="1155"/>
      <c r="BB230" s="1155"/>
      <c r="BC230" s="1155"/>
      <c r="BD230" s="1155"/>
      <c r="BE230" s="1155"/>
      <c r="BF230" s="1155"/>
      <c r="BG230" s="1155"/>
      <c r="BH230" s="1145"/>
      <c r="BI230" s="1145"/>
      <c r="BJ230" s="1145"/>
      <c r="BK230" s="1145"/>
      <c r="BL230" s="1145"/>
      <c r="BM230" s="1145"/>
      <c r="BN230" s="1145"/>
      <c r="BO230" s="1145"/>
      <c r="BP230" s="1145"/>
      <c r="BQ230" s="1145"/>
      <c r="BR230" s="1145"/>
      <c r="BS230" s="1145"/>
      <c r="BT230" s="1145"/>
      <c r="BU230" s="1145"/>
      <c r="BV230" s="1145"/>
      <c r="BW230" s="1145"/>
      <c r="BX230" s="1145"/>
      <c r="BY230" s="1145"/>
    </row>
    <row r="231" spans="1:77" ht="33.75" customHeight="1" hidden="1">
      <c r="A231" s="1377"/>
      <c r="B231" s="1384"/>
      <c r="C231" s="1395"/>
      <c r="D231" s="1367"/>
      <c r="E231" s="1367"/>
      <c r="F231" s="1387"/>
      <c r="G231" s="1393"/>
      <c r="H231" s="374"/>
      <c r="I231" s="1291" t="s">
        <v>1186</v>
      </c>
      <c r="J231" s="688"/>
      <c r="K231" s="1362"/>
      <c r="L231" s="1362">
        <v>1</v>
      </c>
      <c r="M231" s="1362"/>
      <c r="N231" s="374"/>
      <c r="O231" s="1333"/>
      <c r="P231" s="460"/>
      <c r="Q231" s="460"/>
      <c r="R231" s="460"/>
      <c r="S231" s="460"/>
      <c r="T231" s="460"/>
      <c r="U231" s="460"/>
      <c r="V231" s="460"/>
      <c r="W231" s="460"/>
      <c r="X231" s="460"/>
      <c r="Y231" s="460"/>
      <c r="Z231" s="460"/>
      <c r="AA231" s="460"/>
      <c r="AB231" s="460"/>
      <c r="AC231" s="460"/>
      <c r="AD231" s="460"/>
      <c r="AE231" s="460"/>
      <c r="AF231" s="460"/>
      <c r="AG231" s="460"/>
      <c r="AH231" s="460"/>
      <c r="AI231" s="460"/>
      <c r="AJ231" s="460"/>
      <c r="AK231" s="460"/>
      <c r="AL231" s="460"/>
      <c r="AM231" s="460"/>
      <c r="AN231" s="460"/>
      <c r="AO231" s="460"/>
      <c r="AP231" s="460"/>
      <c r="AQ231" s="460"/>
      <c r="AR231" s="460"/>
      <c r="AS231" s="460"/>
      <c r="AT231" s="460"/>
      <c r="AU231" s="460"/>
      <c r="AV231" s="460"/>
      <c r="AW231" s="1420"/>
      <c r="BA231" s="1155"/>
      <c r="BB231" s="1155"/>
      <c r="BC231" s="1155"/>
      <c r="BD231" s="1155"/>
      <c r="BE231" s="1155"/>
      <c r="BF231" s="1155"/>
      <c r="BG231" s="1155"/>
      <c r="BH231" s="1145"/>
      <c r="BI231" s="1145"/>
      <c r="BJ231" s="1145"/>
      <c r="BK231" s="1145"/>
      <c r="BL231" s="1145"/>
      <c r="BM231" s="1145"/>
      <c r="BN231" s="1145"/>
      <c r="BO231" s="1145"/>
      <c r="BP231" s="1145"/>
      <c r="BQ231" s="1145"/>
      <c r="BR231" s="1145"/>
      <c r="BS231" s="1145"/>
      <c r="BT231" s="1145"/>
      <c r="BU231" s="1145"/>
      <c r="BV231" s="1145"/>
      <c r="BW231" s="1145"/>
      <c r="BX231" s="1145"/>
      <c r="BY231" s="1145"/>
    </row>
    <row r="232" spans="1:77" ht="38.25" customHeight="1" hidden="1">
      <c r="A232" s="1377"/>
      <c r="B232" s="1384"/>
      <c r="C232" s="1395"/>
      <c r="D232" s="1367"/>
      <c r="E232" s="1367"/>
      <c r="F232" s="1387"/>
      <c r="G232" s="1393"/>
      <c r="H232" s="374"/>
      <c r="I232" s="1292"/>
      <c r="J232" s="688" t="s">
        <v>1187</v>
      </c>
      <c r="K232" s="1363"/>
      <c r="L232" s="1363">
        <v>1</v>
      </c>
      <c r="M232" s="1363"/>
      <c r="N232" s="374"/>
      <c r="O232" s="1333"/>
      <c r="P232" s="460"/>
      <c r="Q232" s="460"/>
      <c r="R232" s="460"/>
      <c r="S232" s="460"/>
      <c r="T232" s="460"/>
      <c r="U232" s="460"/>
      <c r="V232" s="460"/>
      <c r="W232" s="460"/>
      <c r="X232" s="460"/>
      <c r="Y232" s="460"/>
      <c r="Z232" s="460"/>
      <c r="AA232" s="460"/>
      <c r="AB232" s="460"/>
      <c r="AC232" s="460"/>
      <c r="AD232" s="460"/>
      <c r="AE232" s="460"/>
      <c r="AF232" s="460"/>
      <c r="AG232" s="460"/>
      <c r="AH232" s="460"/>
      <c r="AI232" s="460"/>
      <c r="AJ232" s="460"/>
      <c r="AK232" s="460"/>
      <c r="AL232" s="460"/>
      <c r="AM232" s="460"/>
      <c r="AN232" s="460"/>
      <c r="AO232" s="460"/>
      <c r="AP232" s="460"/>
      <c r="AQ232" s="460"/>
      <c r="AR232" s="460"/>
      <c r="AS232" s="460"/>
      <c r="AT232" s="460"/>
      <c r="AU232" s="460"/>
      <c r="AV232" s="460"/>
      <c r="AW232" s="1420"/>
      <c r="BA232" s="1155"/>
      <c r="BB232" s="1155"/>
      <c r="BC232" s="1155"/>
      <c r="BD232" s="1155"/>
      <c r="BE232" s="1155"/>
      <c r="BF232" s="1155"/>
      <c r="BG232" s="1155"/>
      <c r="BH232" s="1145"/>
      <c r="BI232" s="1145"/>
      <c r="BJ232" s="1145"/>
      <c r="BK232" s="1145"/>
      <c r="BL232" s="1145"/>
      <c r="BM232" s="1145"/>
      <c r="BN232" s="1145"/>
      <c r="BO232" s="1145"/>
      <c r="BP232" s="1145"/>
      <c r="BQ232" s="1145"/>
      <c r="BR232" s="1145"/>
      <c r="BS232" s="1145"/>
      <c r="BT232" s="1145"/>
      <c r="BU232" s="1145"/>
      <c r="BV232" s="1145"/>
      <c r="BW232" s="1145"/>
      <c r="BX232" s="1145"/>
      <c r="BY232" s="1145"/>
    </row>
    <row r="233" spans="1:77" ht="51.75" customHeight="1" hidden="1" thickBot="1">
      <c r="A233" s="1377"/>
      <c r="B233" s="1384"/>
      <c r="C233" s="1395"/>
      <c r="D233" s="1367"/>
      <c r="E233" s="1367"/>
      <c r="F233" s="1387"/>
      <c r="G233" s="1393"/>
      <c r="H233" s="374"/>
      <c r="I233" s="764" t="s">
        <v>1188</v>
      </c>
      <c r="J233" s="732" t="s">
        <v>1189</v>
      </c>
      <c r="K233" s="813"/>
      <c r="L233" s="732">
        <v>1</v>
      </c>
      <c r="M233" s="732"/>
      <c r="N233" s="376"/>
      <c r="O233" s="1335"/>
      <c r="P233" s="835"/>
      <c r="Q233" s="835"/>
      <c r="R233" s="835"/>
      <c r="S233" s="835"/>
      <c r="T233" s="835"/>
      <c r="U233" s="835"/>
      <c r="V233" s="835"/>
      <c r="W233" s="835"/>
      <c r="X233" s="835"/>
      <c r="Y233" s="835"/>
      <c r="Z233" s="835"/>
      <c r="AA233" s="835"/>
      <c r="AB233" s="835"/>
      <c r="AC233" s="835"/>
      <c r="AD233" s="835"/>
      <c r="AE233" s="835"/>
      <c r="AF233" s="835"/>
      <c r="AG233" s="835"/>
      <c r="AH233" s="835"/>
      <c r="AI233" s="835"/>
      <c r="AJ233" s="835"/>
      <c r="AK233" s="835"/>
      <c r="AL233" s="835"/>
      <c r="AM233" s="835"/>
      <c r="AN233" s="835"/>
      <c r="AO233" s="835"/>
      <c r="AP233" s="835"/>
      <c r="AQ233" s="835"/>
      <c r="AR233" s="835"/>
      <c r="AS233" s="835"/>
      <c r="AT233" s="835"/>
      <c r="AU233" s="835"/>
      <c r="AV233" s="835"/>
      <c r="AW233" s="1420"/>
      <c r="BA233" s="1155"/>
      <c r="BB233" s="1155"/>
      <c r="BC233" s="1155"/>
      <c r="BD233" s="1155"/>
      <c r="BE233" s="1155"/>
      <c r="BF233" s="1155"/>
      <c r="BG233" s="1155"/>
      <c r="BH233" s="1145"/>
      <c r="BI233" s="1145"/>
      <c r="BJ233" s="1145"/>
      <c r="BK233" s="1145"/>
      <c r="BL233" s="1145"/>
      <c r="BM233" s="1145"/>
      <c r="BN233" s="1145"/>
      <c r="BO233" s="1145"/>
      <c r="BP233" s="1145"/>
      <c r="BQ233" s="1145"/>
      <c r="BR233" s="1145"/>
      <c r="BS233" s="1145"/>
      <c r="BT233" s="1145"/>
      <c r="BU233" s="1145"/>
      <c r="BV233" s="1145"/>
      <c r="BW233" s="1145"/>
      <c r="BX233" s="1145"/>
      <c r="BY233" s="1145"/>
    </row>
    <row r="234" spans="1:77" ht="53.25" customHeight="1" thickBot="1">
      <c r="A234" s="1377"/>
      <c r="B234" s="1384"/>
      <c r="C234" s="1395"/>
      <c r="D234" s="1158"/>
      <c r="E234" s="1158"/>
      <c r="F234" s="1156"/>
      <c r="G234" s="1394"/>
      <c r="H234" s="374"/>
      <c r="I234" s="750" t="s">
        <v>1180</v>
      </c>
      <c r="J234" s="1158"/>
      <c r="K234" s="1158"/>
      <c r="L234" s="1158"/>
      <c r="M234" s="1158">
        <v>1</v>
      </c>
      <c r="N234" s="1176"/>
      <c r="O234" s="848"/>
      <c r="P234" s="1177"/>
      <c r="Q234" s="1168"/>
      <c r="R234" s="1168"/>
      <c r="S234" s="1168"/>
      <c r="T234" s="1168"/>
      <c r="U234" s="1168"/>
      <c r="V234" s="1168"/>
      <c r="W234" s="1168"/>
      <c r="X234" s="1168"/>
      <c r="Y234" s="1168"/>
      <c r="Z234" s="1168"/>
      <c r="AA234" s="1168"/>
      <c r="AB234" s="1168"/>
      <c r="AC234" s="1168"/>
      <c r="AD234" s="1168"/>
      <c r="AE234" s="1168"/>
      <c r="AF234" s="1168"/>
      <c r="AG234" s="1168"/>
      <c r="AH234" s="1168"/>
      <c r="AI234" s="1168"/>
      <c r="AJ234" s="1168"/>
      <c r="AK234" s="1168"/>
      <c r="AL234" s="1168"/>
      <c r="AM234" s="1168"/>
      <c r="AN234" s="1168"/>
      <c r="AO234" s="1168"/>
      <c r="AP234" s="1168"/>
      <c r="AQ234" s="1168"/>
      <c r="AR234" s="1168"/>
      <c r="AS234" s="1168"/>
      <c r="AT234" s="1168"/>
      <c r="AU234" s="1168"/>
      <c r="AV234" s="1168"/>
      <c r="AW234" s="1420"/>
      <c r="AY234" s="904"/>
      <c r="AZ234" s="904"/>
      <c r="BA234" s="1155"/>
      <c r="BB234" s="1155"/>
      <c r="BC234" s="1155"/>
      <c r="BD234" s="1155"/>
      <c r="BE234" s="1155"/>
      <c r="BF234" s="1155"/>
      <c r="BG234" s="1155"/>
      <c r="BH234" s="1145"/>
      <c r="BI234" s="1145"/>
      <c r="BJ234" s="1145"/>
      <c r="BK234" s="1145"/>
      <c r="BL234" s="1145"/>
      <c r="BM234" s="1145"/>
      <c r="BN234" s="1145"/>
      <c r="BO234" s="1145"/>
      <c r="BP234" s="1145"/>
      <c r="BQ234" s="1145"/>
      <c r="BR234" s="1145"/>
      <c r="BS234" s="1145"/>
      <c r="BT234" s="1145"/>
      <c r="BU234" s="1145"/>
      <c r="BV234" s="1145"/>
      <c r="BW234" s="1145"/>
      <c r="BX234" s="1145"/>
      <c r="BY234" s="1145"/>
    </row>
    <row r="235" spans="1:77" ht="27" thickBot="1">
      <c r="A235" s="1377"/>
      <c r="B235" s="1384"/>
      <c r="C235" s="1395"/>
      <c r="D235" s="718"/>
      <c r="E235" s="718"/>
      <c r="F235" s="720"/>
      <c r="G235" s="736"/>
      <c r="H235" s="374"/>
      <c r="I235" s="1285" t="s">
        <v>1715</v>
      </c>
      <c r="J235" s="1286"/>
      <c r="K235" s="1286"/>
      <c r="L235" s="1286"/>
      <c r="M235" s="1286"/>
      <c r="N235" s="1244"/>
      <c r="O235" s="1287"/>
      <c r="P235" s="849">
        <f>SUM(P225)</f>
        <v>0</v>
      </c>
      <c r="Q235" s="850">
        <f aca="true" t="shared" si="24" ref="Q235:AW235">SUM(Q225)</f>
        <v>0</v>
      </c>
      <c r="R235" s="850">
        <f t="shared" si="24"/>
        <v>0</v>
      </c>
      <c r="S235" s="850">
        <f t="shared" si="24"/>
        <v>0</v>
      </c>
      <c r="T235" s="850">
        <f t="shared" si="24"/>
        <v>0</v>
      </c>
      <c r="U235" s="850">
        <f t="shared" si="24"/>
        <v>0</v>
      </c>
      <c r="V235" s="850">
        <f t="shared" si="24"/>
        <v>0</v>
      </c>
      <c r="W235" s="850">
        <f t="shared" si="24"/>
        <v>0</v>
      </c>
      <c r="X235" s="850">
        <f t="shared" si="24"/>
        <v>0</v>
      </c>
      <c r="Y235" s="850">
        <f t="shared" si="24"/>
        <v>0</v>
      </c>
      <c r="Z235" s="850">
        <f t="shared" si="24"/>
        <v>0</v>
      </c>
      <c r="AA235" s="850">
        <f t="shared" si="24"/>
        <v>0</v>
      </c>
      <c r="AB235" s="850">
        <f t="shared" si="24"/>
        <v>350000000</v>
      </c>
      <c r="AC235" s="850">
        <f t="shared" si="24"/>
        <v>0</v>
      </c>
      <c r="AD235" s="850">
        <f t="shared" si="24"/>
        <v>0</v>
      </c>
      <c r="AE235" s="850">
        <f t="shared" si="24"/>
        <v>0</v>
      </c>
      <c r="AF235" s="850">
        <f t="shared" si="24"/>
        <v>0</v>
      </c>
      <c r="AG235" s="850">
        <f t="shared" si="24"/>
        <v>0</v>
      </c>
      <c r="AH235" s="850">
        <f t="shared" si="24"/>
        <v>0</v>
      </c>
      <c r="AI235" s="850">
        <f t="shared" si="24"/>
        <v>0</v>
      </c>
      <c r="AJ235" s="850">
        <f t="shared" si="24"/>
        <v>0</v>
      </c>
      <c r="AK235" s="850">
        <f t="shared" si="24"/>
        <v>0</v>
      </c>
      <c r="AL235" s="850">
        <f t="shared" si="24"/>
        <v>0</v>
      </c>
      <c r="AM235" s="850">
        <f t="shared" si="24"/>
        <v>0</v>
      </c>
      <c r="AN235" s="850">
        <f t="shared" si="24"/>
        <v>0</v>
      </c>
      <c r="AO235" s="850">
        <f t="shared" si="24"/>
        <v>0</v>
      </c>
      <c r="AP235" s="850">
        <f t="shared" si="24"/>
        <v>0</v>
      </c>
      <c r="AQ235" s="850">
        <f t="shared" si="24"/>
        <v>0</v>
      </c>
      <c r="AR235" s="850">
        <f t="shared" si="24"/>
        <v>0</v>
      </c>
      <c r="AS235" s="850">
        <f t="shared" si="24"/>
        <v>0</v>
      </c>
      <c r="AT235" s="850">
        <f t="shared" si="24"/>
        <v>0</v>
      </c>
      <c r="AU235" s="850">
        <f t="shared" si="24"/>
        <v>0</v>
      </c>
      <c r="AV235" s="850">
        <f t="shared" si="24"/>
        <v>0</v>
      </c>
      <c r="AW235" s="851">
        <f t="shared" si="24"/>
        <v>350000000</v>
      </c>
      <c r="BA235" s="1155"/>
      <c r="BB235" s="1155"/>
      <c r="BC235" s="1155"/>
      <c r="BD235" s="1155"/>
      <c r="BE235" s="1155"/>
      <c r="BF235" s="1155"/>
      <c r="BG235" s="1155"/>
      <c r="BH235" s="1145"/>
      <c r="BI235" s="1145"/>
      <c r="BJ235" s="1145"/>
      <c r="BK235" s="1145"/>
      <c r="BL235" s="1145"/>
      <c r="BM235" s="1145"/>
      <c r="BN235" s="1145"/>
      <c r="BO235" s="1145"/>
      <c r="BP235" s="1145"/>
      <c r="BQ235" s="1145"/>
      <c r="BR235" s="1145"/>
      <c r="BS235" s="1145"/>
      <c r="BT235" s="1145"/>
      <c r="BU235" s="1145"/>
      <c r="BV235" s="1145"/>
      <c r="BW235" s="1145"/>
      <c r="BX235" s="1145"/>
      <c r="BY235" s="1145"/>
    </row>
    <row r="236" spans="1:77" ht="63.75">
      <c r="A236" s="1377"/>
      <c r="B236" s="1384"/>
      <c r="C236" s="1395"/>
      <c r="D236" s="687" t="s">
        <v>1190</v>
      </c>
      <c r="E236" s="687" t="s">
        <v>1191</v>
      </c>
      <c r="F236" s="1376">
        <v>2</v>
      </c>
      <c r="G236" s="1331" t="s">
        <v>1193</v>
      </c>
      <c r="H236" s="693"/>
      <c r="I236" s="765" t="s">
        <v>1194</v>
      </c>
      <c r="J236" s="735" t="s">
        <v>1195</v>
      </c>
      <c r="K236" s="739" t="s">
        <v>1196</v>
      </c>
      <c r="L236" s="739" t="s">
        <v>1197</v>
      </c>
      <c r="M236" s="739" t="s">
        <v>1198</v>
      </c>
      <c r="N236" s="786" t="s">
        <v>1198</v>
      </c>
      <c r="O236" s="861" t="s">
        <v>1662</v>
      </c>
      <c r="P236" s="826"/>
      <c r="Q236" s="826"/>
      <c r="R236" s="826"/>
      <c r="S236" s="826"/>
      <c r="T236" s="826"/>
      <c r="U236" s="826"/>
      <c r="V236" s="826"/>
      <c r="W236" s="826"/>
      <c r="X236" s="826"/>
      <c r="Y236" s="826"/>
      <c r="Z236" s="826"/>
      <c r="AA236" s="826"/>
      <c r="AB236" s="826">
        <v>1000000000</v>
      </c>
      <c r="AC236" s="826"/>
      <c r="AD236" s="826">
        <v>0</v>
      </c>
      <c r="AE236" s="826"/>
      <c r="AF236" s="826"/>
      <c r="AG236" s="826"/>
      <c r="AH236" s="826"/>
      <c r="AI236" s="826"/>
      <c r="AJ236" s="826"/>
      <c r="AK236" s="826"/>
      <c r="AL236" s="826"/>
      <c r="AM236" s="826"/>
      <c r="AN236" s="826"/>
      <c r="AO236" s="826"/>
      <c r="AP236" s="826"/>
      <c r="AQ236" s="826"/>
      <c r="AR236" s="826"/>
      <c r="AS236" s="826"/>
      <c r="AT236" s="826"/>
      <c r="AU236" s="826"/>
      <c r="AV236" s="826"/>
      <c r="AW236" s="774">
        <f aca="true" t="shared" si="25" ref="AW236:AW253">SUM(P236:AV236)</f>
        <v>1000000000</v>
      </c>
      <c r="BA236" s="1208" t="s">
        <v>1838</v>
      </c>
      <c r="BB236" s="1208" t="s">
        <v>1850</v>
      </c>
      <c r="BC236" s="1208" t="s">
        <v>1850</v>
      </c>
      <c r="BD236" s="1208" t="s">
        <v>1850</v>
      </c>
      <c r="BE236" s="1208" t="s">
        <v>1850</v>
      </c>
      <c r="BF236" s="1208" t="s">
        <v>1851</v>
      </c>
      <c r="BG236" s="1208">
        <v>4</v>
      </c>
      <c r="BH236" s="1145"/>
      <c r="BI236" s="1145"/>
      <c r="BJ236" s="1145"/>
      <c r="BK236" s="1145"/>
      <c r="BL236" s="1145"/>
      <c r="BM236" s="1145"/>
      <c r="BN236" s="1145"/>
      <c r="BO236" s="1145"/>
      <c r="BP236" s="1145"/>
      <c r="BQ236" s="1145"/>
      <c r="BR236" s="1145"/>
      <c r="BS236" s="1145"/>
      <c r="BT236" s="1145"/>
      <c r="BU236" s="1145"/>
      <c r="BV236" s="1145"/>
      <c r="BW236" s="1145"/>
      <c r="BX236" s="1145"/>
      <c r="BY236" s="1145"/>
    </row>
    <row r="237" spans="1:77" ht="115.5" thickBot="1">
      <c r="A237" s="1377"/>
      <c r="B237" s="1384"/>
      <c r="C237" s="1395"/>
      <c r="D237" s="687" t="s">
        <v>1199</v>
      </c>
      <c r="E237" s="687" t="s">
        <v>1200</v>
      </c>
      <c r="F237" s="1378"/>
      <c r="G237" s="1332"/>
      <c r="H237" s="693"/>
      <c r="I237" s="764" t="s">
        <v>1201</v>
      </c>
      <c r="J237" s="727" t="s">
        <v>1202</v>
      </c>
      <c r="K237" s="732">
        <v>1</v>
      </c>
      <c r="L237" s="732">
        <v>1</v>
      </c>
      <c r="M237" s="732">
        <v>1</v>
      </c>
      <c r="N237" s="376">
        <v>1</v>
      </c>
      <c r="O237" s="862" t="s">
        <v>1764</v>
      </c>
      <c r="P237" s="899"/>
      <c r="Q237" s="899"/>
      <c r="R237" s="899"/>
      <c r="S237" s="899"/>
      <c r="T237" s="899"/>
      <c r="U237" s="899"/>
      <c r="V237" s="899"/>
      <c r="W237" s="899"/>
      <c r="X237" s="899"/>
      <c r="Y237" s="899"/>
      <c r="Z237" s="899"/>
      <c r="AA237" s="899"/>
      <c r="AB237" s="899">
        <v>200000000</v>
      </c>
      <c r="AC237" s="899"/>
      <c r="AD237" s="899"/>
      <c r="AE237" s="899"/>
      <c r="AF237" s="899"/>
      <c r="AG237" s="899"/>
      <c r="AH237" s="899"/>
      <c r="AI237" s="899"/>
      <c r="AJ237" s="899"/>
      <c r="AK237" s="899"/>
      <c r="AL237" s="899"/>
      <c r="AM237" s="899"/>
      <c r="AN237" s="899"/>
      <c r="AO237" s="899"/>
      <c r="AP237" s="899"/>
      <c r="AQ237" s="899"/>
      <c r="AR237" s="899"/>
      <c r="AS237" s="899"/>
      <c r="AT237" s="899"/>
      <c r="AU237" s="899"/>
      <c r="AV237" s="899"/>
      <c r="AW237" s="834">
        <f t="shared" si="25"/>
        <v>200000000</v>
      </c>
      <c r="BA237" s="1210"/>
      <c r="BB237" s="1210"/>
      <c r="BC237" s="1210"/>
      <c r="BD237" s="1210"/>
      <c r="BE237" s="1210"/>
      <c r="BF237" s="1210"/>
      <c r="BG237" s="1210"/>
      <c r="BH237" s="1145"/>
      <c r="BI237" s="1145"/>
      <c r="BJ237" s="1145"/>
      <c r="BK237" s="1145"/>
      <c r="BL237" s="1145"/>
      <c r="BM237" s="1145"/>
      <c r="BN237" s="1145"/>
      <c r="BO237" s="1145"/>
      <c r="BP237" s="1145"/>
      <c r="BQ237" s="1145"/>
      <c r="BR237" s="1145"/>
      <c r="BS237" s="1145"/>
      <c r="BT237" s="1145"/>
      <c r="BU237" s="1145"/>
      <c r="BV237" s="1145"/>
      <c r="BW237" s="1145"/>
      <c r="BX237" s="1145"/>
      <c r="BY237" s="1145"/>
    </row>
    <row r="238" spans="1:77" ht="27" thickBot="1">
      <c r="A238" s="1377"/>
      <c r="B238" s="1384"/>
      <c r="C238" s="1395"/>
      <c r="D238" s="719"/>
      <c r="E238" s="391"/>
      <c r="F238" s="721"/>
      <c r="G238" s="729"/>
      <c r="H238" s="776"/>
      <c r="I238" s="1288" t="s">
        <v>1716</v>
      </c>
      <c r="J238" s="1289"/>
      <c r="K238" s="1289"/>
      <c r="L238" s="1289"/>
      <c r="M238" s="1289"/>
      <c r="N238" s="1289"/>
      <c r="O238" s="1290"/>
      <c r="P238" s="821">
        <f>SUM(P236:P237)</f>
        <v>0</v>
      </c>
      <c r="Q238" s="821">
        <f aca="true" t="shared" si="26" ref="Q238:AW238">SUM(Q236:Q237)</f>
        <v>0</v>
      </c>
      <c r="R238" s="821">
        <f t="shared" si="26"/>
        <v>0</v>
      </c>
      <c r="S238" s="821">
        <f t="shared" si="26"/>
        <v>0</v>
      </c>
      <c r="T238" s="821">
        <f t="shared" si="26"/>
        <v>0</v>
      </c>
      <c r="U238" s="821">
        <f t="shared" si="26"/>
        <v>0</v>
      </c>
      <c r="V238" s="821">
        <f t="shared" si="26"/>
        <v>0</v>
      </c>
      <c r="W238" s="821">
        <f t="shared" si="26"/>
        <v>0</v>
      </c>
      <c r="X238" s="821">
        <f t="shared" si="26"/>
        <v>0</v>
      </c>
      <c r="Y238" s="821">
        <f t="shared" si="26"/>
        <v>0</v>
      </c>
      <c r="Z238" s="821">
        <f t="shared" si="26"/>
        <v>0</v>
      </c>
      <c r="AA238" s="821">
        <f t="shared" si="26"/>
        <v>0</v>
      </c>
      <c r="AB238" s="907">
        <f t="shared" si="26"/>
        <v>1200000000</v>
      </c>
      <c r="AC238" s="821">
        <f t="shared" si="26"/>
        <v>0</v>
      </c>
      <c r="AD238" s="821">
        <f t="shared" si="26"/>
        <v>0</v>
      </c>
      <c r="AE238" s="821">
        <f t="shared" si="26"/>
        <v>0</v>
      </c>
      <c r="AF238" s="821">
        <f t="shared" si="26"/>
        <v>0</v>
      </c>
      <c r="AG238" s="821">
        <f t="shared" si="26"/>
        <v>0</v>
      </c>
      <c r="AH238" s="821">
        <f t="shared" si="26"/>
        <v>0</v>
      </c>
      <c r="AI238" s="821">
        <f t="shared" si="26"/>
        <v>0</v>
      </c>
      <c r="AJ238" s="821">
        <f t="shared" si="26"/>
        <v>0</v>
      </c>
      <c r="AK238" s="821">
        <f t="shared" si="26"/>
        <v>0</v>
      </c>
      <c r="AL238" s="821">
        <f t="shared" si="26"/>
        <v>0</v>
      </c>
      <c r="AM238" s="821">
        <f t="shared" si="26"/>
        <v>0</v>
      </c>
      <c r="AN238" s="821">
        <f t="shared" si="26"/>
        <v>0</v>
      </c>
      <c r="AO238" s="821">
        <f t="shared" si="26"/>
        <v>0</v>
      </c>
      <c r="AP238" s="821">
        <f t="shared" si="26"/>
        <v>0</v>
      </c>
      <c r="AQ238" s="821">
        <f t="shared" si="26"/>
        <v>0</v>
      </c>
      <c r="AR238" s="821">
        <f t="shared" si="26"/>
        <v>0</v>
      </c>
      <c r="AS238" s="821">
        <f t="shared" si="26"/>
        <v>0</v>
      </c>
      <c r="AT238" s="821">
        <f t="shared" si="26"/>
        <v>0</v>
      </c>
      <c r="AU238" s="821">
        <f t="shared" si="26"/>
        <v>0</v>
      </c>
      <c r="AV238" s="821">
        <f t="shared" si="26"/>
        <v>0</v>
      </c>
      <c r="AW238" s="778">
        <f t="shared" si="26"/>
        <v>1200000000</v>
      </c>
      <c r="BA238" s="1155"/>
      <c r="BB238" s="1155"/>
      <c r="BC238" s="1155"/>
      <c r="BD238" s="1155"/>
      <c r="BE238" s="1155"/>
      <c r="BF238" s="1155"/>
      <c r="BG238" s="1155"/>
      <c r="BH238" s="1145"/>
      <c r="BI238" s="1145"/>
      <c r="BJ238" s="1145"/>
      <c r="BK238" s="1145"/>
      <c r="BL238" s="1145"/>
      <c r="BM238" s="1145"/>
      <c r="BN238" s="1145"/>
      <c r="BO238" s="1145"/>
      <c r="BP238" s="1145"/>
      <c r="BQ238" s="1145"/>
      <c r="BR238" s="1145"/>
      <c r="BS238" s="1145"/>
      <c r="BT238" s="1145"/>
      <c r="BU238" s="1145"/>
      <c r="BV238" s="1145"/>
      <c r="BW238" s="1145"/>
      <c r="BX238" s="1145"/>
      <c r="BY238" s="1145"/>
    </row>
    <row r="239" spans="1:77" ht="89.25">
      <c r="A239" s="1377"/>
      <c r="B239" s="1384"/>
      <c r="C239" s="1395"/>
      <c r="D239" s="688" t="s">
        <v>1203</v>
      </c>
      <c r="E239" s="374" t="s">
        <v>1204</v>
      </c>
      <c r="F239" s="1376">
        <v>1</v>
      </c>
      <c r="G239" s="1375" t="s">
        <v>1205</v>
      </c>
      <c r="H239" s="693"/>
      <c r="I239" s="765" t="s">
        <v>1206</v>
      </c>
      <c r="J239" s="739" t="s">
        <v>1207</v>
      </c>
      <c r="K239" s="729"/>
      <c r="L239" s="768"/>
      <c r="M239" s="768">
        <v>0.06</v>
      </c>
      <c r="N239" s="815">
        <v>0.02</v>
      </c>
      <c r="O239" s="1336" t="s">
        <v>1663</v>
      </c>
      <c r="P239" s="1271"/>
      <c r="Q239" s="1271"/>
      <c r="R239" s="1271"/>
      <c r="S239" s="1271"/>
      <c r="T239" s="1271"/>
      <c r="U239" s="1271"/>
      <c r="V239" s="1271"/>
      <c r="W239" s="1271"/>
      <c r="X239" s="1271"/>
      <c r="Y239" s="1271"/>
      <c r="Z239" s="1271"/>
      <c r="AA239" s="1271"/>
      <c r="AB239" s="1271"/>
      <c r="AC239" s="826"/>
      <c r="AD239" s="1271">
        <v>30000000</v>
      </c>
      <c r="AE239" s="1271"/>
      <c r="AF239" s="1271"/>
      <c r="AG239" s="1271"/>
      <c r="AH239" s="1271"/>
      <c r="AI239" s="826"/>
      <c r="AJ239" s="826"/>
      <c r="AK239" s="826"/>
      <c r="AL239" s="826"/>
      <c r="AM239" s="826"/>
      <c r="AN239" s="826"/>
      <c r="AO239" s="826"/>
      <c r="AP239" s="826"/>
      <c r="AQ239" s="826"/>
      <c r="AR239" s="1271"/>
      <c r="AS239" s="1271"/>
      <c r="AT239" s="1271"/>
      <c r="AU239" s="1271"/>
      <c r="AV239" s="1271"/>
      <c r="AW239" s="1273">
        <f t="shared" si="25"/>
        <v>30000000</v>
      </c>
      <c r="BA239" s="1208" t="s">
        <v>1839</v>
      </c>
      <c r="BB239" s="1208" t="s">
        <v>1850</v>
      </c>
      <c r="BC239" s="1208" t="s">
        <v>1850</v>
      </c>
      <c r="BD239" s="1208" t="s">
        <v>1850</v>
      </c>
      <c r="BE239" s="1208" t="s">
        <v>1850</v>
      </c>
      <c r="BF239" s="1208" t="s">
        <v>1851</v>
      </c>
      <c r="BG239" s="1208">
        <v>4</v>
      </c>
      <c r="BH239" s="1145"/>
      <c r="BI239" s="1145"/>
      <c r="BJ239" s="1145"/>
      <c r="BK239" s="1145"/>
      <c r="BL239" s="1145"/>
      <c r="BM239" s="1145"/>
      <c r="BN239" s="1145"/>
      <c r="BO239" s="1145"/>
      <c r="BP239" s="1145"/>
      <c r="BQ239" s="1145"/>
      <c r="BR239" s="1145"/>
      <c r="BS239" s="1145"/>
      <c r="BT239" s="1145"/>
      <c r="BU239" s="1145"/>
      <c r="BV239" s="1145"/>
      <c r="BW239" s="1145"/>
      <c r="BX239" s="1145"/>
      <c r="BY239" s="1145"/>
    </row>
    <row r="240" spans="1:77" ht="76.5">
      <c r="A240" s="1377"/>
      <c r="B240" s="1384"/>
      <c r="C240" s="1395"/>
      <c r="D240" s="688" t="s">
        <v>1209</v>
      </c>
      <c r="E240" s="374" t="s">
        <v>1210</v>
      </c>
      <c r="F240" s="1377"/>
      <c r="G240" s="1375"/>
      <c r="H240" s="693"/>
      <c r="I240" s="750" t="s">
        <v>1211</v>
      </c>
      <c r="J240" s="688" t="s">
        <v>1207</v>
      </c>
      <c r="K240" s="367"/>
      <c r="L240" s="690"/>
      <c r="M240" s="690">
        <v>0.02</v>
      </c>
      <c r="N240" s="770">
        <v>0.06</v>
      </c>
      <c r="O240" s="1337"/>
      <c r="P240" s="1272"/>
      <c r="Q240" s="1272"/>
      <c r="R240" s="1272"/>
      <c r="S240" s="1272"/>
      <c r="T240" s="1272"/>
      <c r="U240" s="1272"/>
      <c r="V240" s="1272"/>
      <c r="W240" s="1272"/>
      <c r="X240" s="1272"/>
      <c r="Y240" s="1272"/>
      <c r="Z240" s="1272"/>
      <c r="AA240" s="1272"/>
      <c r="AB240" s="1272"/>
      <c r="AC240" s="460"/>
      <c r="AD240" s="1272"/>
      <c r="AE240" s="1272"/>
      <c r="AF240" s="1272"/>
      <c r="AG240" s="1272"/>
      <c r="AH240" s="1272"/>
      <c r="AI240" s="460"/>
      <c r="AJ240" s="460"/>
      <c r="AK240" s="460"/>
      <c r="AL240" s="460"/>
      <c r="AM240" s="460"/>
      <c r="AN240" s="460"/>
      <c r="AO240" s="460"/>
      <c r="AP240" s="460"/>
      <c r="AQ240" s="460"/>
      <c r="AR240" s="1272"/>
      <c r="AS240" s="1272"/>
      <c r="AT240" s="1272"/>
      <c r="AU240" s="1272"/>
      <c r="AV240" s="1272"/>
      <c r="AW240" s="1274">
        <f t="shared" si="25"/>
        <v>0</v>
      </c>
      <c r="BA240" s="1209"/>
      <c r="BB240" s="1209"/>
      <c r="BC240" s="1209"/>
      <c r="BD240" s="1209"/>
      <c r="BE240" s="1209"/>
      <c r="BF240" s="1209"/>
      <c r="BG240" s="1209"/>
      <c r="BH240" s="1145"/>
      <c r="BI240" s="1145"/>
      <c r="BJ240" s="1145"/>
      <c r="BK240" s="1145"/>
      <c r="BL240" s="1145"/>
      <c r="BM240" s="1145"/>
      <c r="BN240" s="1145"/>
      <c r="BO240" s="1145"/>
      <c r="BP240" s="1145"/>
      <c r="BQ240" s="1145"/>
      <c r="BR240" s="1145"/>
      <c r="BS240" s="1145"/>
      <c r="BT240" s="1145"/>
      <c r="BU240" s="1145"/>
      <c r="BV240" s="1145"/>
      <c r="BW240" s="1145"/>
      <c r="BX240" s="1145"/>
      <c r="BY240" s="1145"/>
    </row>
    <row r="241" spans="1:77" ht="76.5">
      <c r="A241" s="1377"/>
      <c r="B241" s="1384"/>
      <c r="C241" s="1395"/>
      <c r="D241" s="688" t="s">
        <v>1212</v>
      </c>
      <c r="E241" s="374" t="s">
        <v>1213</v>
      </c>
      <c r="F241" s="1377"/>
      <c r="G241" s="1375"/>
      <c r="H241" s="693"/>
      <c r="I241" s="755" t="s">
        <v>1214</v>
      </c>
      <c r="J241" s="688" t="s">
        <v>1215</v>
      </c>
      <c r="K241" s="367"/>
      <c r="L241" s="690">
        <v>0.01</v>
      </c>
      <c r="M241" s="690">
        <v>0.01</v>
      </c>
      <c r="N241" s="771"/>
      <c r="O241" s="1338" t="s">
        <v>1692</v>
      </c>
      <c r="P241" s="1240"/>
      <c r="Q241" s="1240"/>
      <c r="R241" s="1240"/>
      <c r="S241" s="1240"/>
      <c r="T241" s="1240"/>
      <c r="U241" s="1240"/>
      <c r="V241" s="1240"/>
      <c r="W241" s="1240"/>
      <c r="X241" s="1240"/>
      <c r="Y241" s="1240"/>
      <c r="Z241" s="1240"/>
      <c r="AA241" s="1240"/>
      <c r="AB241" s="1240"/>
      <c r="AC241" s="460"/>
      <c r="AD241" s="1240">
        <v>30000000</v>
      </c>
      <c r="AE241" s="1240"/>
      <c r="AF241" s="1240"/>
      <c r="AG241" s="1240"/>
      <c r="AH241" s="1240"/>
      <c r="AI241" s="460"/>
      <c r="AJ241" s="460"/>
      <c r="AK241" s="460"/>
      <c r="AL241" s="460"/>
      <c r="AM241" s="460"/>
      <c r="AN241" s="460"/>
      <c r="AO241" s="460"/>
      <c r="AP241" s="460"/>
      <c r="AQ241" s="460"/>
      <c r="AR241" s="1240"/>
      <c r="AS241" s="1240"/>
      <c r="AT241" s="1240"/>
      <c r="AU241" s="1240"/>
      <c r="AV241" s="1240"/>
      <c r="AW241" s="1242">
        <f t="shared" si="25"/>
        <v>30000000</v>
      </c>
      <c r="BA241" s="1209"/>
      <c r="BB241" s="1209"/>
      <c r="BC241" s="1209"/>
      <c r="BD241" s="1209"/>
      <c r="BE241" s="1209"/>
      <c r="BF241" s="1209"/>
      <c r="BG241" s="1209"/>
      <c r="BH241" s="1145"/>
      <c r="BI241" s="1145"/>
      <c r="BJ241" s="1145"/>
      <c r="BK241" s="1145"/>
      <c r="BL241" s="1145"/>
      <c r="BM241" s="1145"/>
      <c r="BN241" s="1145"/>
      <c r="BO241" s="1145"/>
      <c r="BP241" s="1145"/>
      <c r="BQ241" s="1145"/>
      <c r="BR241" s="1145"/>
      <c r="BS241" s="1145"/>
      <c r="BT241" s="1145"/>
      <c r="BU241" s="1145"/>
      <c r="BV241" s="1145"/>
      <c r="BW241" s="1145"/>
      <c r="BX241" s="1145"/>
      <c r="BY241" s="1145"/>
    </row>
    <row r="242" spans="1:77" ht="89.25">
      <c r="A242" s="1377"/>
      <c r="B242" s="1384"/>
      <c r="C242" s="1395"/>
      <c r="D242" s="688" t="s">
        <v>1216</v>
      </c>
      <c r="E242" s="374" t="s">
        <v>1217</v>
      </c>
      <c r="F242" s="1377"/>
      <c r="G242" s="1375"/>
      <c r="H242" s="693"/>
      <c r="I242" s="755" t="s">
        <v>1219</v>
      </c>
      <c r="J242" s="688" t="s">
        <v>1220</v>
      </c>
      <c r="K242" s="367"/>
      <c r="L242" s="690">
        <v>0.06</v>
      </c>
      <c r="M242" s="690">
        <v>0.04</v>
      </c>
      <c r="N242" s="770"/>
      <c r="O242" s="1339"/>
      <c r="P242" s="1240"/>
      <c r="Q242" s="1240"/>
      <c r="R242" s="1240"/>
      <c r="S242" s="1240"/>
      <c r="T242" s="1240"/>
      <c r="U242" s="1240"/>
      <c r="V242" s="1240"/>
      <c r="W242" s="1240"/>
      <c r="X242" s="1240"/>
      <c r="Y242" s="1240"/>
      <c r="Z242" s="1240"/>
      <c r="AA242" s="1240"/>
      <c r="AB242" s="1240"/>
      <c r="AC242" s="460"/>
      <c r="AD242" s="1240"/>
      <c r="AE242" s="1240"/>
      <c r="AF242" s="1240"/>
      <c r="AG242" s="1240"/>
      <c r="AH242" s="1240"/>
      <c r="AI242" s="460"/>
      <c r="AJ242" s="460"/>
      <c r="AK242" s="460"/>
      <c r="AL242" s="460"/>
      <c r="AM242" s="460"/>
      <c r="AN242" s="460"/>
      <c r="AO242" s="460"/>
      <c r="AP242" s="460"/>
      <c r="AQ242" s="460"/>
      <c r="AR242" s="1240"/>
      <c r="AS242" s="1240"/>
      <c r="AT242" s="1240"/>
      <c r="AU242" s="1240"/>
      <c r="AV242" s="1240"/>
      <c r="AW242" s="1242">
        <f t="shared" si="25"/>
        <v>0</v>
      </c>
      <c r="BA242" s="1209"/>
      <c r="BB242" s="1209"/>
      <c r="BC242" s="1209"/>
      <c r="BD242" s="1209"/>
      <c r="BE242" s="1209"/>
      <c r="BF242" s="1209"/>
      <c r="BG242" s="1209"/>
      <c r="BH242" s="1145"/>
      <c r="BI242" s="1145"/>
      <c r="BJ242" s="1145"/>
      <c r="BK242" s="1145"/>
      <c r="BL242" s="1145"/>
      <c r="BM242" s="1145"/>
      <c r="BN242" s="1145"/>
      <c r="BO242" s="1145"/>
      <c r="BP242" s="1145"/>
      <c r="BQ242" s="1145"/>
      <c r="BR242" s="1145"/>
      <c r="BS242" s="1145"/>
      <c r="BT242" s="1145"/>
      <c r="BU242" s="1145"/>
      <c r="BV242" s="1145"/>
      <c r="BW242" s="1145"/>
      <c r="BX242" s="1145"/>
      <c r="BY242" s="1145"/>
    </row>
    <row r="243" spans="1:77" ht="90" thickBot="1">
      <c r="A243" s="1377"/>
      <c r="B243" s="1384"/>
      <c r="C243" s="1395"/>
      <c r="D243" s="689" t="s">
        <v>1221</v>
      </c>
      <c r="E243" s="376" t="s">
        <v>1222</v>
      </c>
      <c r="F243" s="1378"/>
      <c r="G243" s="1383"/>
      <c r="H243" s="390"/>
      <c r="I243" s="761" t="s">
        <v>1225</v>
      </c>
      <c r="J243" s="689" t="s">
        <v>1226</v>
      </c>
      <c r="K243" s="691"/>
      <c r="L243" s="384"/>
      <c r="M243" s="384">
        <v>0.05</v>
      </c>
      <c r="N243" s="806"/>
      <c r="O243" s="863" t="s">
        <v>1664</v>
      </c>
      <c r="P243" s="899"/>
      <c r="Q243" s="899"/>
      <c r="R243" s="899"/>
      <c r="S243" s="899"/>
      <c r="T243" s="899"/>
      <c r="U243" s="899"/>
      <c r="V243" s="899"/>
      <c r="W243" s="899"/>
      <c r="X243" s="899"/>
      <c r="Y243" s="899"/>
      <c r="Z243" s="899"/>
      <c r="AA243" s="899"/>
      <c r="AB243" s="899"/>
      <c r="AC243" s="899"/>
      <c r="AD243" s="899"/>
      <c r="AE243" s="899">
        <v>506000000</v>
      </c>
      <c r="AF243" s="899"/>
      <c r="AG243" s="899"/>
      <c r="AH243" s="899"/>
      <c r="AI243" s="899"/>
      <c r="AJ243" s="899"/>
      <c r="AK243" s="899"/>
      <c r="AL243" s="899"/>
      <c r="AM243" s="899"/>
      <c r="AN243" s="899"/>
      <c r="AO243" s="899"/>
      <c r="AP243" s="899"/>
      <c r="AQ243" s="899"/>
      <c r="AR243" s="899"/>
      <c r="AS243" s="899"/>
      <c r="AT243" s="899"/>
      <c r="AU243" s="899"/>
      <c r="AV243" s="899"/>
      <c r="AW243" s="834">
        <f t="shared" si="25"/>
        <v>506000000</v>
      </c>
      <c r="BA243" s="1210"/>
      <c r="BB243" s="1210"/>
      <c r="BC243" s="1210"/>
      <c r="BD243" s="1210"/>
      <c r="BE243" s="1210"/>
      <c r="BF243" s="1210"/>
      <c r="BG243" s="1210"/>
      <c r="BH243" s="1145"/>
      <c r="BI243" s="1145"/>
      <c r="BJ243" s="1145"/>
      <c r="BK243" s="1145"/>
      <c r="BL243" s="1145"/>
      <c r="BM243" s="1145"/>
      <c r="BN243" s="1145"/>
      <c r="BO243" s="1145"/>
      <c r="BP243" s="1145"/>
      <c r="BQ243" s="1145"/>
      <c r="BR243" s="1145"/>
      <c r="BS243" s="1145"/>
      <c r="BT243" s="1145"/>
      <c r="BU243" s="1145"/>
      <c r="BV243" s="1145"/>
      <c r="BW243" s="1145"/>
      <c r="BX243" s="1145"/>
      <c r="BY243" s="1145"/>
    </row>
    <row r="244" spans="1:77" ht="27" thickBot="1">
      <c r="A244" s="1377"/>
      <c r="B244" s="1384"/>
      <c r="C244" s="733"/>
      <c r="D244" s="732"/>
      <c r="E244" s="376"/>
      <c r="F244" s="722"/>
      <c r="G244" s="727"/>
      <c r="H244" s="817"/>
      <c r="I244" s="1237" t="s">
        <v>1718</v>
      </c>
      <c r="J244" s="1238"/>
      <c r="K244" s="1238"/>
      <c r="L244" s="1238"/>
      <c r="M244" s="1238"/>
      <c r="N244" s="1238"/>
      <c r="O244" s="1284"/>
      <c r="P244" s="821">
        <f>SUM(P239:P243)</f>
        <v>0</v>
      </c>
      <c r="Q244" s="821">
        <f aca="true" t="shared" si="27" ref="Q244:AW244">SUM(Q239:Q243)</f>
        <v>0</v>
      </c>
      <c r="R244" s="821">
        <f t="shared" si="27"/>
        <v>0</v>
      </c>
      <c r="S244" s="821">
        <f t="shared" si="27"/>
        <v>0</v>
      </c>
      <c r="T244" s="821">
        <f t="shared" si="27"/>
        <v>0</v>
      </c>
      <c r="U244" s="821">
        <f t="shared" si="27"/>
        <v>0</v>
      </c>
      <c r="V244" s="821">
        <f t="shared" si="27"/>
        <v>0</v>
      </c>
      <c r="W244" s="821">
        <f t="shared" si="27"/>
        <v>0</v>
      </c>
      <c r="X244" s="821">
        <f t="shared" si="27"/>
        <v>0</v>
      </c>
      <c r="Y244" s="821">
        <f t="shared" si="27"/>
        <v>0</v>
      </c>
      <c r="Z244" s="821">
        <f t="shared" si="27"/>
        <v>0</v>
      </c>
      <c r="AA244" s="821">
        <f t="shared" si="27"/>
        <v>0</v>
      </c>
      <c r="AB244" s="821">
        <f t="shared" si="27"/>
        <v>0</v>
      </c>
      <c r="AC244" s="821">
        <f t="shared" si="27"/>
        <v>0</v>
      </c>
      <c r="AD244" s="821">
        <f t="shared" si="27"/>
        <v>60000000</v>
      </c>
      <c r="AE244" s="821">
        <f t="shared" si="27"/>
        <v>506000000</v>
      </c>
      <c r="AF244" s="821">
        <f t="shared" si="27"/>
        <v>0</v>
      </c>
      <c r="AG244" s="821">
        <f t="shared" si="27"/>
        <v>0</v>
      </c>
      <c r="AH244" s="821">
        <f t="shared" si="27"/>
        <v>0</v>
      </c>
      <c r="AI244" s="821">
        <f t="shared" si="27"/>
        <v>0</v>
      </c>
      <c r="AJ244" s="821">
        <f t="shared" si="27"/>
        <v>0</v>
      </c>
      <c r="AK244" s="821">
        <f t="shared" si="27"/>
        <v>0</v>
      </c>
      <c r="AL244" s="821">
        <f t="shared" si="27"/>
        <v>0</v>
      </c>
      <c r="AM244" s="821">
        <f t="shared" si="27"/>
        <v>0</v>
      </c>
      <c r="AN244" s="821">
        <f t="shared" si="27"/>
        <v>0</v>
      </c>
      <c r="AO244" s="821">
        <f t="shared" si="27"/>
        <v>0</v>
      </c>
      <c r="AP244" s="821">
        <f t="shared" si="27"/>
        <v>0</v>
      </c>
      <c r="AQ244" s="821">
        <f t="shared" si="27"/>
        <v>0</v>
      </c>
      <c r="AR244" s="821">
        <f t="shared" si="27"/>
        <v>0</v>
      </c>
      <c r="AS244" s="821">
        <f t="shared" si="27"/>
        <v>0</v>
      </c>
      <c r="AT244" s="821">
        <f t="shared" si="27"/>
        <v>0</v>
      </c>
      <c r="AU244" s="821">
        <f t="shared" si="27"/>
        <v>0</v>
      </c>
      <c r="AV244" s="821">
        <f t="shared" si="27"/>
        <v>0</v>
      </c>
      <c r="AW244" s="778">
        <f t="shared" si="27"/>
        <v>566000000</v>
      </c>
      <c r="BA244" s="1155"/>
      <c r="BB244" s="1155"/>
      <c r="BC244" s="1155"/>
      <c r="BD244" s="1155"/>
      <c r="BE244" s="1155"/>
      <c r="BF244" s="1155"/>
      <c r="BG244" s="1155"/>
      <c r="BH244" s="1145"/>
      <c r="BI244" s="1145"/>
      <c r="BJ244" s="1145"/>
      <c r="BK244" s="1145"/>
      <c r="BL244" s="1145"/>
      <c r="BM244" s="1145"/>
      <c r="BN244" s="1145"/>
      <c r="BO244" s="1145"/>
      <c r="BP244" s="1145"/>
      <c r="BQ244" s="1145"/>
      <c r="BR244" s="1145"/>
      <c r="BS244" s="1145"/>
      <c r="BT244" s="1145"/>
      <c r="BU244" s="1145"/>
      <c r="BV244" s="1145"/>
      <c r="BW244" s="1145"/>
      <c r="BX244" s="1145"/>
      <c r="BY244" s="1145"/>
    </row>
    <row r="245" spans="1:77" ht="76.5">
      <c r="A245" s="1377"/>
      <c r="B245" s="1384"/>
      <c r="C245" s="1379" t="s">
        <v>1227</v>
      </c>
      <c r="D245" s="1379" t="s">
        <v>1228</v>
      </c>
      <c r="E245" s="1379" t="s">
        <v>1229</v>
      </c>
      <c r="F245" s="365"/>
      <c r="G245" s="1385"/>
      <c r="H245" s="693"/>
      <c r="I245" s="814" t="s">
        <v>1231</v>
      </c>
      <c r="J245" s="816" t="s">
        <v>1232</v>
      </c>
      <c r="K245" s="729">
        <v>1</v>
      </c>
      <c r="L245" s="729">
        <v>1</v>
      </c>
      <c r="M245" s="729">
        <v>1</v>
      </c>
      <c r="N245" s="801">
        <v>1</v>
      </c>
      <c r="O245" s="1278" t="s">
        <v>1693</v>
      </c>
      <c r="P245" s="1268"/>
      <c r="Q245" s="1268"/>
      <c r="R245" s="1268"/>
      <c r="S245" s="1268"/>
      <c r="T245" s="1268"/>
      <c r="U245" s="1268"/>
      <c r="V245" s="1268"/>
      <c r="W245" s="1268"/>
      <c r="X245" s="1268"/>
      <c r="Y245" s="1268"/>
      <c r="Z245" s="1268"/>
      <c r="AA245" s="1268"/>
      <c r="AB245" s="1268"/>
      <c r="AC245" s="826"/>
      <c r="AD245" s="1268">
        <f>+'ICLD 2014'!E8*3%</f>
        <v>490884037.79999995</v>
      </c>
      <c r="AE245" s="1268"/>
      <c r="AF245" s="1268"/>
      <c r="AG245" s="1268"/>
      <c r="AH245" s="1268"/>
      <c r="AI245" s="826"/>
      <c r="AJ245" s="826"/>
      <c r="AK245" s="826"/>
      <c r="AL245" s="826"/>
      <c r="AM245" s="826"/>
      <c r="AN245" s="826"/>
      <c r="AO245" s="826"/>
      <c r="AP245" s="826"/>
      <c r="AQ245" s="826"/>
      <c r="AR245" s="1268"/>
      <c r="AS245" s="1268"/>
      <c r="AT245" s="1268"/>
      <c r="AU245" s="1268"/>
      <c r="AV245" s="1268"/>
      <c r="AW245" s="1262">
        <f t="shared" si="25"/>
        <v>490884037.79999995</v>
      </c>
      <c r="BA245" s="1208" t="s">
        <v>1840</v>
      </c>
      <c r="BB245" s="1208" t="s">
        <v>1850</v>
      </c>
      <c r="BC245" s="1208" t="s">
        <v>1850</v>
      </c>
      <c r="BD245" s="1208" t="s">
        <v>1850</v>
      </c>
      <c r="BE245" s="1208" t="s">
        <v>1850</v>
      </c>
      <c r="BF245" s="1208" t="s">
        <v>1851</v>
      </c>
      <c r="BG245" s="1208">
        <v>4</v>
      </c>
      <c r="BH245" s="1145"/>
      <c r="BI245" s="1145"/>
      <c r="BJ245" s="1145"/>
      <c r="BK245" s="1145"/>
      <c r="BL245" s="1145"/>
      <c r="BM245" s="1145"/>
      <c r="BN245" s="1145"/>
      <c r="BO245" s="1145"/>
      <c r="BP245" s="1145"/>
      <c r="BQ245" s="1145"/>
      <c r="BR245" s="1145"/>
      <c r="BS245" s="1145"/>
      <c r="BT245" s="1145"/>
      <c r="BU245" s="1145"/>
      <c r="BV245" s="1145"/>
      <c r="BW245" s="1145"/>
      <c r="BX245" s="1145"/>
      <c r="BY245" s="1145"/>
    </row>
    <row r="246" spans="1:77" ht="63.75">
      <c r="A246" s="1377"/>
      <c r="B246" s="1384"/>
      <c r="C246" s="1379"/>
      <c r="D246" s="1379"/>
      <c r="E246" s="1379"/>
      <c r="F246" s="365"/>
      <c r="G246" s="1385"/>
      <c r="H246" s="693"/>
      <c r="I246" s="751" t="s">
        <v>1233</v>
      </c>
      <c r="J246" s="377" t="s">
        <v>1234</v>
      </c>
      <c r="K246" s="367"/>
      <c r="L246" s="367">
        <v>1</v>
      </c>
      <c r="M246" s="367">
        <v>1</v>
      </c>
      <c r="N246" s="771"/>
      <c r="O246" s="1279"/>
      <c r="P246" s="1269"/>
      <c r="Q246" s="1269"/>
      <c r="R246" s="1269"/>
      <c r="S246" s="1269"/>
      <c r="T246" s="1269"/>
      <c r="U246" s="1269"/>
      <c r="V246" s="1269"/>
      <c r="W246" s="1269"/>
      <c r="X246" s="1269"/>
      <c r="Y246" s="1269"/>
      <c r="Z246" s="1269"/>
      <c r="AA246" s="1269"/>
      <c r="AB246" s="1269"/>
      <c r="AC246" s="460"/>
      <c r="AD246" s="1269"/>
      <c r="AE246" s="1269"/>
      <c r="AF246" s="1269"/>
      <c r="AG246" s="1269"/>
      <c r="AH246" s="1269"/>
      <c r="AI246" s="460"/>
      <c r="AJ246" s="460"/>
      <c r="AK246" s="460"/>
      <c r="AL246" s="460"/>
      <c r="AM246" s="460"/>
      <c r="AN246" s="460"/>
      <c r="AO246" s="460"/>
      <c r="AP246" s="460"/>
      <c r="AQ246" s="460"/>
      <c r="AR246" s="1269"/>
      <c r="AS246" s="1269"/>
      <c r="AT246" s="1269"/>
      <c r="AU246" s="1269"/>
      <c r="AV246" s="1269"/>
      <c r="AW246" s="1263">
        <f t="shared" si="25"/>
        <v>0</v>
      </c>
      <c r="BA246" s="1209"/>
      <c r="BB246" s="1209"/>
      <c r="BC246" s="1209"/>
      <c r="BD246" s="1209"/>
      <c r="BE246" s="1209"/>
      <c r="BF246" s="1209"/>
      <c r="BG246" s="1209"/>
      <c r="BH246" s="1145"/>
      <c r="BI246" s="1145"/>
      <c r="BJ246" s="1145"/>
      <c r="BK246" s="1145"/>
      <c r="BL246" s="1145"/>
      <c r="BM246" s="1145"/>
      <c r="BN246" s="1145"/>
      <c r="BO246" s="1145"/>
      <c r="BP246" s="1145"/>
      <c r="BQ246" s="1145"/>
      <c r="BR246" s="1145"/>
      <c r="BS246" s="1145"/>
      <c r="BT246" s="1145"/>
      <c r="BU246" s="1145"/>
      <c r="BV246" s="1145"/>
      <c r="BW246" s="1145"/>
      <c r="BX246" s="1145"/>
      <c r="BY246" s="1145"/>
    </row>
    <row r="247" spans="1:77" ht="89.25">
      <c r="A247" s="1377"/>
      <c r="B247" s="1384"/>
      <c r="C247" s="1379"/>
      <c r="D247" s="1379"/>
      <c r="E247" s="1379"/>
      <c r="F247" s="365"/>
      <c r="G247" s="1385"/>
      <c r="H247" s="693"/>
      <c r="I247" s="751" t="s">
        <v>1235</v>
      </c>
      <c r="J247" s="377" t="s">
        <v>1236</v>
      </c>
      <c r="K247" s="367">
        <v>1</v>
      </c>
      <c r="L247" s="367">
        <v>1</v>
      </c>
      <c r="M247" s="367">
        <v>1</v>
      </c>
      <c r="N247" s="771">
        <v>1</v>
      </c>
      <c r="O247" s="1279"/>
      <c r="P247" s="1269"/>
      <c r="Q247" s="1269"/>
      <c r="R247" s="1269"/>
      <c r="S247" s="1269"/>
      <c r="T247" s="1269"/>
      <c r="U247" s="1269"/>
      <c r="V247" s="1269"/>
      <c r="W247" s="1269"/>
      <c r="X247" s="1269"/>
      <c r="Y247" s="1269"/>
      <c r="Z247" s="1269"/>
      <c r="AA247" s="1269"/>
      <c r="AB247" s="1269"/>
      <c r="AC247" s="460"/>
      <c r="AD247" s="1269"/>
      <c r="AE247" s="1269"/>
      <c r="AF247" s="1269"/>
      <c r="AG247" s="1269"/>
      <c r="AH247" s="1269"/>
      <c r="AI247" s="460"/>
      <c r="AJ247" s="460"/>
      <c r="AK247" s="460"/>
      <c r="AL247" s="460"/>
      <c r="AM247" s="460"/>
      <c r="AN247" s="460"/>
      <c r="AO247" s="460"/>
      <c r="AP247" s="460"/>
      <c r="AQ247" s="460"/>
      <c r="AR247" s="1269"/>
      <c r="AS247" s="1269"/>
      <c r="AT247" s="1269"/>
      <c r="AU247" s="1269"/>
      <c r="AV247" s="1269"/>
      <c r="AW247" s="1263">
        <f t="shared" si="25"/>
        <v>0</v>
      </c>
      <c r="BA247" s="1209"/>
      <c r="BB247" s="1209"/>
      <c r="BC247" s="1209"/>
      <c r="BD247" s="1209"/>
      <c r="BE247" s="1209"/>
      <c r="BF247" s="1209"/>
      <c r="BG247" s="1209"/>
      <c r="BH247" s="1145"/>
      <c r="BI247" s="1145"/>
      <c r="BJ247" s="1145"/>
      <c r="BK247" s="1145"/>
      <c r="BL247" s="1145"/>
      <c r="BM247" s="1145"/>
      <c r="BN247" s="1145"/>
      <c r="BO247" s="1145"/>
      <c r="BP247" s="1145"/>
      <c r="BQ247" s="1145"/>
      <c r="BR247" s="1145"/>
      <c r="BS247" s="1145"/>
      <c r="BT247" s="1145"/>
      <c r="BU247" s="1145"/>
      <c r="BV247" s="1145"/>
      <c r="BW247" s="1145"/>
      <c r="BX247" s="1145"/>
      <c r="BY247" s="1145"/>
    </row>
    <row r="248" spans="1:77" ht="38.25" customHeight="1" hidden="1">
      <c r="A248" s="1377"/>
      <c r="B248" s="1384"/>
      <c r="C248" s="1379"/>
      <c r="D248" s="1379"/>
      <c r="E248" s="1379"/>
      <c r="F248" s="365"/>
      <c r="G248" s="1385"/>
      <c r="H248" s="693"/>
      <c r="I248" s="751" t="s">
        <v>1237</v>
      </c>
      <c r="J248" s="377" t="s">
        <v>1238</v>
      </c>
      <c r="K248" s="367">
        <v>1</v>
      </c>
      <c r="L248" s="367"/>
      <c r="M248" s="367"/>
      <c r="N248" s="771"/>
      <c r="O248" s="1279"/>
      <c r="P248" s="1269"/>
      <c r="Q248" s="1269"/>
      <c r="R248" s="1269"/>
      <c r="S248" s="1269"/>
      <c r="T248" s="1269"/>
      <c r="U248" s="1269"/>
      <c r="V248" s="1269"/>
      <c r="W248" s="1269"/>
      <c r="X248" s="1269"/>
      <c r="Y248" s="1269"/>
      <c r="Z248" s="1269"/>
      <c r="AA248" s="1269"/>
      <c r="AB248" s="1269"/>
      <c r="AC248" s="460"/>
      <c r="AD248" s="1269"/>
      <c r="AE248" s="1269"/>
      <c r="AF248" s="1269"/>
      <c r="AG248" s="1269"/>
      <c r="AH248" s="1269"/>
      <c r="AI248" s="460"/>
      <c r="AJ248" s="460"/>
      <c r="AK248" s="460"/>
      <c r="AL248" s="460"/>
      <c r="AM248" s="460"/>
      <c r="AN248" s="460"/>
      <c r="AO248" s="460"/>
      <c r="AP248" s="460"/>
      <c r="AQ248" s="460"/>
      <c r="AR248" s="1269"/>
      <c r="AS248" s="1269"/>
      <c r="AT248" s="1269"/>
      <c r="AU248" s="1269"/>
      <c r="AV248" s="1269"/>
      <c r="AW248" s="1263">
        <f t="shared" si="25"/>
        <v>0</v>
      </c>
      <c r="BA248" s="1209"/>
      <c r="BB248" s="1209"/>
      <c r="BC248" s="1209"/>
      <c r="BD248" s="1209"/>
      <c r="BE248" s="1209"/>
      <c r="BF248" s="1209"/>
      <c r="BG248" s="1209"/>
      <c r="BH248" s="1145"/>
      <c r="BI248" s="1145"/>
      <c r="BJ248" s="1145"/>
      <c r="BK248" s="1145"/>
      <c r="BL248" s="1145"/>
      <c r="BM248" s="1145"/>
      <c r="BN248" s="1145"/>
      <c r="BO248" s="1145"/>
      <c r="BP248" s="1145"/>
      <c r="BQ248" s="1145"/>
      <c r="BR248" s="1145"/>
      <c r="BS248" s="1145"/>
      <c r="BT248" s="1145"/>
      <c r="BU248" s="1145"/>
      <c r="BV248" s="1145"/>
      <c r="BW248" s="1145"/>
      <c r="BX248" s="1145"/>
      <c r="BY248" s="1145"/>
    </row>
    <row r="249" spans="1:77" ht="78.75">
      <c r="A249" s="1377"/>
      <c r="B249" s="1384"/>
      <c r="C249" s="1379"/>
      <c r="D249" s="1379"/>
      <c r="E249" s="1379"/>
      <c r="F249" s="365"/>
      <c r="G249" s="1385"/>
      <c r="H249" s="693"/>
      <c r="I249" s="751" t="s">
        <v>1239</v>
      </c>
      <c r="J249" s="377" t="s">
        <v>1240</v>
      </c>
      <c r="K249" s="367">
        <v>30</v>
      </c>
      <c r="L249" s="367">
        <v>30</v>
      </c>
      <c r="M249" s="367">
        <v>30</v>
      </c>
      <c r="N249" s="771">
        <v>30</v>
      </c>
      <c r="O249" s="1279"/>
      <c r="P249" s="1269"/>
      <c r="Q249" s="1269"/>
      <c r="R249" s="1269"/>
      <c r="S249" s="1269"/>
      <c r="T249" s="1269"/>
      <c r="U249" s="1269"/>
      <c r="V249" s="1269"/>
      <c r="W249" s="1269"/>
      <c r="X249" s="1269"/>
      <c r="Y249" s="1269"/>
      <c r="Z249" s="1269"/>
      <c r="AA249" s="1269"/>
      <c r="AB249" s="1269"/>
      <c r="AC249" s="460"/>
      <c r="AD249" s="1269"/>
      <c r="AE249" s="1269"/>
      <c r="AF249" s="1269"/>
      <c r="AG249" s="1269"/>
      <c r="AH249" s="1269"/>
      <c r="AI249" s="460"/>
      <c r="AJ249" s="460"/>
      <c r="AK249" s="460"/>
      <c r="AL249" s="460"/>
      <c r="AM249" s="460"/>
      <c r="AN249" s="460"/>
      <c r="AO249" s="460"/>
      <c r="AP249" s="460"/>
      <c r="AQ249" s="460"/>
      <c r="AR249" s="1269"/>
      <c r="AS249" s="1269"/>
      <c r="AT249" s="1269"/>
      <c r="AU249" s="1269"/>
      <c r="AV249" s="1269"/>
      <c r="AW249" s="1263">
        <f t="shared" si="25"/>
        <v>0</v>
      </c>
      <c r="BA249" s="1209"/>
      <c r="BB249" s="1209"/>
      <c r="BC249" s="1209"/>
      <c r="BD249" s="1209"/>
      <c r="BE249" s="1209"/>
      <c r="BF249" s="1209"/>
      <c r="BG249" s="1209"/>
      <c r="BH249" s="1145"/>
      <c r="BI249" s="1145"/>
      <c r="BJ249" s="1145"/>
      <c r="BK249" s="1145"/>
      <c r="BL249" s="1145"/>
      <c r="BM249" s="1145"/>
      <c r="BN249" s="1145"/>
      <c r="BO249" s="1145"/>
      <c r="BP249" s="1145"/>
      <c r="BQ249" s="1145"/>
      <c r="BR249" s="1145"/>
      <c r="BS249" s="1145"/>
      <c r="BT249" s="1145"/>
      <c r="BU249" s="1145"/>
      <c r="BV249" s="1145"/>
      <c r="BW249" s="1145"/>
      <c r="BX249" s="1145"/>
      <c r="BY249" s="1145"/>
    </row>
    <row r="250" spans="1:77" ht="72.75" customHeight="1">
      <c r="A250" s="1377"/>
      <c r="B250" s="1384"/>
      <c r="C250" s="1379"/>
      <c r="D250" s="1379"/>
      <c r="E250" s="1379"/>
      <c r="F250" s="365"/>
      <c r="G250" s="1385"/>
      <c r="H250" s="693"/>
      <c r="I250" s="751" t="s">
        <v>1241</v>
      </c>
      <c r="J250" s="377" t="s">
        <v>1242</v>
      </c>
      <c r="K250" s="367">
        <v>1</v>
      </c>
      <c r="L250" s="367">
        <v>1</v>
      </c>
      <c r="M250" s="367">
        <v>1</v>
      </c>
      <c r="N250" s="771">
        <v>1</v>
      </c>
      <c r="O250" s="1279"/>
      <c r="P250" s="1269"/>
      <c r="Q250" s="1269"/>
      <c r="R250" s="1269"/>
      <c r="S250" s="1269"/>
      <c r="T250" s="1269"/>
      <c r="U250" s="1269"/>
      <c r="V250" s="1269"/>
      <c r="W250" s="1269"/>
      <c r="X250" s="1269"/>
      <c r="Y250" s="1269"/>
      <c r="Z250" s="1269"/>
      <c r="AA250" s="1269"/>
      <c r="AB250" s="1269"/>
      <c r="AC250" s="460"/>
      <c r="AD250" s="1269"/>
      <c r="AE250" s="1269"/>
      <c r="AF250" s="1269"/>
      <c r="AG250" s="1269"/>
      <c r="AH250" s="1269"/>
      <c r="AI250" s="460"/>
      <c r="AJ250" s="460"/>
      <c r="AK250" s="460"/>
      <c r="AL250" s="460"/>
      <c r="AM250" s="460"/>
      <c r="AN250" s="460"/>
      <c r="AO250" s="460"/>
      <c r="AP250" s="460"/>
      <c r="AQ250" s="460"/>
      <c r="AR250" s="1269"/>
      <c r="AS250" s="1269"/>
      <c r="AT250" s="1269"/>
      <c r="AU250" s="1269"/>
      <c r="AV250" s="1269"/>
      <c r="AW250" s="1263">
        <f t="shared" si="25"/>
        <v>0</v>
      </c>
      <c r="BA250" s="1209"/>
      <c r="BB250" s="1209"/>
      <c r="BC250" s="1209"/>
      <c r="BD250" s="1209"/>
      <c r="BE250" s="1209"/>
      <c r="BF250" s="1209"/>
      <c r="BG250" s="1209"/>
      <c r="BH250" s="1145"/>
      <c r="BI250" s="1145"/>
      <c r="BJ250" s="1145"/>
      <c r="BK250" s="1145"/>
      <c r="BL250" s="1145"/>
      <c r="BM250" s="1145"/>
      <c r="BN250" s="1145"/>
      <c r="BO250" s="1145"/>
      <c r="BP250" s="1145"/>
      <c r="BQ250" s="1145"/>
      <c r="BR250" s="1145"/>
      <c r="BS250" s="1145"/>
      <c r="BT250" s="1145"/>
      <c r="BU250" s="1145"/>
      <c r="BV250" s="1145"/>
      <c r="BW250" s="1145"/>
      <c r="BX250" s="1145"/>
      <c r="BY250" s="1145"/>
    </row>
    <row r="251" spans="1:77" ht="45">
      <c r="A251" s="1377"/>
      <c r="B251" s="1384"/>
      <c r="C251" s="1379"/>
      <c r="D251" s="1379"/>
      <c r="E251" s="1379"/>
      <c r="F251" s="365"/>
      <c r="G251" s="1385"/>
      <c r="H251" s="693"/>
      <c r="I251" s="751" t="s">
        <v>1243</v>
      </c>
      <c r="J251" s="377" t="s">
        <v>1244</v>
      </c>
      <c r="K251" s="367">
        <v>1</v>
      </c>
      <c r="L251" s="367">
        <v>1</v>
      </c>
      <c r="M251" s="367">
        <v>1</v>
      </c>
      <c r="N251" s="771">
        <v>1</v>
      </c>
      <c r="O251" s="1279"/>
      <c r="P251" s="1269"/>
      <c r="Q251" s="1269"/>
      <c r="R251" s="1269"/>
      <c r="S251" s="1269"/>
      <c r="T251" s="1269"/>
      <c r="U251" s="1269"/>
      <c r="V251" s="1269"/>
      <c r="W251" s="1269"/>
      <c r="X251" s="1269"/>
      <c r="Y251" s="1269"/>
      <c r="Z251" s="1269"/>
      <c r="AA251" s="1269"/>
      <c r="AB251" s="1269"/>
      <c r="AC251" s="460"/>
      <c r="AD251" s="1269"/>
      <c r="AE251" s="1269"/>
      <c r="AF251" s="1269"/>
      <c r="AG251" s="1269"/>
      <c r="AH251" s="1269"/>
      <c r="AI251" s="460"/>
      <c r="AJ251" s="460"/>
      <c r="AK251" s="460"/>
      <c r="AL251" s="460"/>
      <c r="AM251" s="460"/>
      <c r="AN251" s="460"/>
      <c r="AO251" s="460"/>
      <c r="AP251" s="460"/>
      <c r="AQ251" s="460"/>
      <c r="AR251" s="1269"/>
      <c r="AS251" s="1269"/>
      <c r="AT251" s="1269"/>
      <c r="AU251" s="1269"/>
      <c r="AV251" s="1269"/>
      <c r="AW251" s="1263">
        <f t="shared" si="25"/>
        <v>0</v>
      </c>
      <c r="BA251" s="1209"/>
      <c r="BB251" s="1209"/>
      <c r="BC251" s="1209"/>
      <c r="BD251" s="1209"/>
      <c r="BE251" s="1209"/>
      <c r="BF251" s="1209"/>
      <c r="BG251" s="1209"/>
      <c r="BH251" s="1145"/>
      <c r="BI251" s="1145"/>
      <c r="BJ251" s="1145"/>
      <c r="BK251" s="1145"/>
      <c r="BL251" s="1145"/>
      <c r="BM251" s="1145"/>
      <c r="BN251" s="1145"/>
      <c r="BO251" s="1145"/>
      <c r="BP251" s="1145"/>
      <c r="BQ251" s="1145"/>
      <c r="BR251" s="1145"/>
      <c r="BS251" s="1145"/>
      <c r="BT251" s="1145"/>
      <c r="BU251" s="1145"/>
      <c r="BV251" s="1145"/>
      <c r="BW251" s="1145"/>
      <c r="BX251" s="1145"/>
      <c r="BY251" s="1145"/>
    </row>
    <row r="252" spans="1:77" ht="90" thickBot="1">
      <c r="A252" s="1377"/>
      <c r="B252" s="1384"/>
      <c r="C252" s="1379"/>
      <c r="D252" s="1379"/>
      <c r="E252" s="1379"/>
      <c r="F252" s="365"/>
      <c r="G252" s="1385"/>
      <c r="H252" s="693"/>
      <c r="I252" s="751" t="s">
        <v>1245</v>
      </c>
      <c r="J252" s="377" t="s">
        <v>1246</v>
      </c>
      <c r="K252" s="367">
        <v>1</v>
      </c>
      <c r="L252" s="367">
        <v>1</v>
      </c>
      <c r="M252" s="367">
        <v>1</v>
      </c>
      <c r="N252" s="771">
        <v>1</v>
      </c>
      <c r="O252" s="1279"/>
      <c r="P252" s="1269"/>
      <c r="Q252" s="1269"/>
      <c r="R252" s="1269"/>
      <c r="S252" s="1269"/>
      <c r="T252" s="1269"/>
      <c r="U252" s="1269"/>
      <c r="V252" s="1269"/>
      <c r="W252" s="1269"/>
      <c r="X252" s="1269"/>
      <c r="Y252" s="1269"/>
      <c r="Z252" s="1269"/>
      <c r="AA252" s="1269"/>
      <c r="AB252" s="1269"/>
      <c r="AC252" s="460"/>
      <c r="AD252" s="1269"/>
      <c r="AE252" s="1269"/>
      <c r="AF252" s="1269"/>
      <c r="AG252" s="1269"/>
      <c r="AH252" s="1269"/>
      <c r="AI252" s="460"/>
      <c r="AJ252" s="460"/>
      <c r="AK252" s="460"/>
      <c r="AL252" s="460"/>
      <c r="AM252" s="460"/>
      <c r="AN252" s="460"/>
      <c r="AO252" s="460"/>
      <c r="AP252" s="460"/>
      <c r="AQ252" s="460"/>
      <c r="AR252" s="1269"/>
      <c r="AS252" s="1269"/>
      <c r="AT252" s="1269"/>
      <c r="AU252" s="1269"/>
      <c r="AV252" s="1269"/>
      <c r="AW252" s="1263">
        <f t="shared" si="25"/>
        <v>0</v>
      </c>
      <c r="BA252" s="1210"/>
      <c r="BB252" s="1210"/>
      <c r="BC252" s="1210"/>
      <c r="BD252" s="1210"/>
      <c r="BE252" s="1210"/>
      <c r="BF252" s="1210"/>
      <c r="BG252" s="1210"/>
      <c r="BH252" s="1145"/>
      <c r="BI252" s="1145"/>
      <c r="BJ252" s="1145"/>
      <c r="BK252" s="1145"/>
      <c r="BL252" s="1145"/>
      <c r="BM252" s="1145"/>
      <c r="BN252" s="1145"/>
      <c r="BO252" s="1145"/>
      <c r="BP252" s="1145"/>
      <c r="BQ252" s="1145"/>
      <c r="BR252" s="1145"/>
      <c r="BS252" s="1145"/>
      <c r="BT252" s="1145"/>
      <c r="BU252" s="1145"/>
      <c r="BV252" s="1145"/>
      <c r="BW252" s="1145"/>
      <c r="BX252" s="1145"/>
      <c r="BY252" s="1145"/>
    </row>
    <row r="253" spans="1:77" ht="51.75" hidden="1" thickBot="1">
      <c r="A253" s="1378"/>
      <c r="B253" s="1384"/>
      <c r="C253" s="1380"/>
      <c r="D253" s="1380"/>
      <c r="E253" s="1380"/>
      <c r="F253" s="373"/>
      <c r="G253" s="1386"/>
      <c r="H253" s="390"/>
      <c r="I253" s="762" t="s">
        <v>1247</v>
      </c>
      <c r="J253" s="385" t="s">
        <v>1248</v>
      </c>
      <c r="K253" s="691"/>
      <c r="L253" s="691">
        <v>1</v>
      </c>
      <c r="M253" s="691"/>
      <c r="N253" s="773"/>
      <c r="O253" s="1280"/>
      <c r="P253" s="1270"/>
      <c r="Q253" s="1270"/>
      <c r="R253" s="1270"/>
      <c r="S253" s="1270"/>
      <c r="T253" s="1270"/>
      <c r="U253" s="1270"/>
      <c r="V253" s="1270"/>
      <c r="W253" s="1270"/>
      <c r="X253" s="1270"/>
      <c r="Y253" s="1270"/>
      <c r="Z253" s="1270"/>
      <c r="AA253" s="1270"/>
      <c r="AB253" s="1270"/>
      <c r="AC253" s="899"/>
      <c r="AD253" s="1270"/>
      <c r="AE253" s="1270"/>
      <c r="AF253" s="1270"/>
      <c r="AG253" s="1270"/>
      <c r="AH253" s="1270"/>
      <c r="AI253" s="899"/>
      <c r="AJ253" s="899"/>
      <c r="AK253" s="899"/>
      <c r="AL253" s="899"/>
      <c r="AM253" s="899"/>
      <c r="AN253" s="899"/>
      <c r="AO253" s="899"/>
      <c r="AP253" s="899"/>
      <c r="AQ253" s="899"/>
      <c r="AR253" s="1270"/>
      <c r="AS253" s="1270"/>
      <c r="AT253" s="1270"/>
      <c r="AU253" s="1270"/>
      <c r="AV253" s="1270"/>
      <c r="AW253" s="1264">
        <f t="shared" si="25"/>
        <v>0</v>
      </c>
      <c r="BA253" s="1155"/>
      <c r="BB253" s="1155"/>
      <c r="BC253" s="1155"/>
      <c r="BD253" s="1155"/>
      <c r="BE253" s="1155"/>
      <c r="BF253" s="1155"/>
      <c r="BG253" s="1155"/>
      <c r="BH253" s="1145"/>
      <c r="BI253" s="1145"/>
      <c r="BJ253" s="1145"/>
      <c r="BK253" s="1145"/>
      <c r="BL253" s="1145"/>
      <c r="BM253" s="1145"/>
      <c r="BN253" s="1145"/>
      <c r="BO253" s="1145"/>
      <c r="BP253" s="1145"/>
      <c r="BQ253" s="1145"/>
      <c r="BR253" s="1145"/>
      <c r="BS253" s="1145"/>
      <c r="BT253" s="1145"/>
      <c r="BU253" s="1145"/>
      <c r="BV253" s="1145"/>
      <c r="BW253" s="1145"/>
      <c r="BX253" s="1145"/>
      <c r="BY253" s="1145"/>
    </row>
    <row r="254" spans="1:77" ht="33.75" customHeight="1" thickBot="1">
      <c r="A254" s="721"/>
      <c r="B254" s="734"/>
      <c r="C254" s="724"/>
      <c r="D254" s="724"/>
      <c r="E254" s="724"/>
      <c r="F254" s="373"/>
      <c r="G254" s="726"/>
      <c r="H254" s="817"/>
      <c r="I254" s="1275" t="s">
        <v>1719</v>
      </c>
      <c r="J254" s="1276"/>
      <c r="K254" s="1276"/>
      <c r="L254" s="1276"/>
      <c r="M254" s="1276"/>
      <c r="N254" s="1276"/>
      <c r="O254" s="1277"/>
      <c r="P254" s="821">
        <f>SUM(P245)</f>
        <v>0</v>
      </c>
      <c r="Q254" s="821">
        <f aca="true" t="shared" si="28" ref="Q254:AW254">SUM(Q245)</f>
        <v>0</v>
      </c>
      <c r="R254" s="821">
        <f t="shared" si="28"/>
        <v>0</v>
      </c>
      <c r="S254" s="821">
        <f t="shared" si="28"/>
        <v>0</v>
      </c>
      <c r="T254" s="821">
        <f t="shared" si="28"/>
        <v>0</v>
      </c>
      <c r="U254" s="821">
        <f t="shared" si="28"/>
        <v>0</v>
      </c>
      <c r="V254" s="821">
        <f t="shared" si="28"/>
        <v>0</v>
      </c>
      <c r="W254" s="821">
        <f t="shared" si="28"/>
        <v>0</v>
      </c>
      <c r="X254" s="821">
        <f t="shared" si="28"/>
        <v>0</v>
      </c>
      <c r="Y254" s="821">
        <f t="shared" si="28"/>
        <v>0</v>
      </c>
      <c r="Z254" s="821">
        <f t="shared" si="28"/>
        <v>0</v>
      </c>
      <c r="AA254" s="821">
        <f t="shared" si="28"/>
        <v>0</v>
      </c>
      <c r="AB254" s="821">
        <f t="shared" si="28"/>
        <v>0</v>
      </c>
      <c r="AC254" s="821">
        <f t="shared" si="28"/>
        <v>0</v>
      </c>
      <c r="AD254" s="821">
        <f t="shared" si="28"/>
        <v>490884037.79999995</v>
      </c>
      <c r="AE254" s="821">
        <f t="shared" si="28"/>
        <v>0</v>
      </c>
      <c r="AF254" s="821">
        <f t="shared" si="28"/>
        <v>0</v>
      </c>
      <c r="AG254" s="821">
        <f t="shared" si="28"/>
        <v>0</v>
      </c>
      <c r="AH254" s="821">
        <f t="shared" si="28"/>
        <v>0</v>
      </c>
      <c r="AI254" s="821">
        <f t="shared" si="28"/>
        <v>0</v>
      </c>
      <c r="AJ254" s="821">
        <f t="shared" si="28"/>
        <v>0</v>
      </c>
      <c r="AK254" s="821">
        <f t="shared" si="28"/>
        <v>0</v>
      </c>
      <c r="AL254" s="821">
        <f t="shared" si="28"/>
        <v>0</v>
      </c>
      <c r="AM254" s="821">
        <f t="shared" si="28"/>
        <v>0</v>
      </c>
      <c r="AN254" s="821">
        <f t="shared" si="28"/>
        <v>0</v>
      </c>
      <c r="AO254" s="821">
        <f t="shared" si="28"/>
        <v>0</v>
      </c>
      <c r="AP254" s="821">
        <f t="shared" si="28"/>
        <v>0</v>
      </c>
      <c r="AQ254" s="821">
        <f t="shared" si="28"/>
        <v>0</v>
      </c>
      <c r="AR254" s="821">
        <f t="shared" si="28"/>
        <v>0</v>
      </c>
      <c r="AS254" s="821">
        <f t="shared" si="28"/>
        <v>0</v>
      </c>
      <c r="AT254" s="821">
        <f t="shared" si="28"/>
        <v>0</v>
      </c>
      <c r="AU254" s="821">
        <f t="shared" si="28"/>
        <v>0</v>
      </c>
      <c r="AV254" s="821">
        <f t="shared" si="28"/>
        <v>0</v>
      </c>
      <c r="AW254" s="778">
        <f t="shared" si="28"/>
        <v>490884037.79999995</v>
      </c>
      <c r="BA254" s="1155"/>
      <c r="BB254" s="1155"/>
      <c r="BC254" s="1155"/>
      <c r="BD254" s="1155"/>
      <c r="BE254" s="1155"/>
      <c r="BF254" s="1155"/>
      <c r="BG254" s="1155"/>
      <c r="BH254" s="1145"/>
      <c r="BI254" s="1145"/>
      <c r="BJ254" s="1145"/>
      <c r="BK254" s="1145"/>
      <c r="BL254" s="1145"/>
      <c r="BM254" s="1145"/>
      <c r="BN254" s="1145"/>
      <c r="BO254" s="1145"/>
      <c r="BP254" s="1145"/>
      <c r="BQ254" s="1145"/>
      <c r="BR254" s="1145"/>
      <c r="BS254" s="1145"/>
      <c r="BT254" s="1145"/>
      <c r="BU254" s="1145"/>
      <c r="BV254" s="1145"/>
      <c r="BW254" s="1145"/>
      <c r="BX254" s="1145"/>
      <c r="BY254" s="1145"/>
    </row>
    <row r="255" spans="1:77" ht="33.75" customHeight="1" thickBot="1">
      <c r="A255" s="721"/>
      <c r="B255" s="734"/>
      <c r="C255" s="724"/>
      <c r="D255" s="724"/>
      <c r="E255" s="724"/>
      <c r="F255" s="373"/>
      <c r="G255" s="726"/>
      <c r="H255" s="817"/>
      <c r="I255" s="1265" t="s">
        <v>1720</v>
      </c>
      <c r="J255" s="1266"/>
      <c r="K255" s="1266"/>
      <c r="L255" s="1266"/>
      <c r="M255" s="1266"/>
      <c r="N255" s="1266"/>
      <c r="O255" s="1267"/>
      <c r="P255" s="881">
        <f>+P197+P216+P219+P223+P235+P238+P244+P254</f>
        <v>0</v>
      </c>
      <c r="Q255" s="881">
        <f aca="true" t="shared" si="29" ref="Q255:AW255">+Q197+Q216+Q219+Q223+Q235+Q238+Q244+Q254</f>
        <v>0</v>
      </c>
      <c r="R255" s="881">
        <f t="shared" si="29"/>
        <v>0</v>
      </c>
      <c r="S255" s="881">
        <f t="shared" si="29"/>
        <v>0</v>
      </c>
      <c r="T255" s="881">
        <f t="shared" si="29"/>
        <v>0</v>
      </c>
      <c r="U255" s="881">
        <f t="shared" si="29"/>
        <v>0</v>
      </c>
      <c r="V255" s="881">
        <f t="shared" si="29"/>
        <v>0</v>
      </c>
      <c r="W255" s="881">
        <f t="shared" si="29"/>
        <v>0</v>
      </c>
      <c r="X255" s="881">
        <f t="shared" si="29"/>
        <v>0</v>
      </c>
      <c r="Y255" s="881">
        <f t="shared" si="29"/>
        <v>927633659</v>
      </c>
      <c r="Z255" s="881">
        <f t="shared" si="29"/>
        <v>0</v>
      </c>
      <c r="AA255" s="881">
        <f t="shared" si="29"/>
        <v>0</v>
      </c>
      <c r="AB255" s="912">
        <f t="shared" si="29"/>
        <v>1770000000</v>
      </c>
      <c r="AC255" s="912">
        <f t="shared" si="29"/>
        <v>0</v>
      </c>
      <c r="AD255" s="912">
        <f t="shared" si="29"/>
        <v>1356512050.4</v>
      </c>
      <c r="AE255" s="881">
        <f t="shared" si="29"/>
        <v>506000000</v>
      </c>
      <c r="AF255" s="881">
        <f t="shared" si="29"/>
        <v>0</v>
      </c>
      <c r="AG255" s="881">
        <f t="shared" si="29"/>
        <v>0</v>
      </c>
      <c r="AH255" s="881">
        <f t="shared" si="29"/>
        <v>0</v>
      </c>
      <c r="AI255" s="881">
        <f t="shared" si="29"/>
        <v>0</v>
      </c>
      <c r="AJ255" s="881">
        <f t="shared" si="29"/>
        <v>0</v>
      </c>
      <c r="AK255" s="881">
        <f t="shared" si="29"/>
        <v>0</v>
      </c>
      <c r="AL255" s="881">
        <f t="shared" si="29"/>
        <v>0</v>
      </c>
      <c r="AM255" s="881">
        <f t="shared" si="29"/>
        <v>0</v>
      </c>
      <c r="AN255" s="881">
        <f t="shared" si="29"/>
        <v>0</v>
      </c>
      <c r="AO255" s="881">
        <f t="shared" si="29"/>
        <v>0</v>
      </c>
      <c r="AP255" s="881">
        <f t="shared" si="29"/>
        <v>0</v>
      </c>
      <c r="AQ255" s="881">
        <f t="shared" si="29"/>
        <v>0</v>
      </c>
      <c r="AR255" s="881">
        <f t="shared" si="29"/>
        <v>0</v>
      </c>
      <c r="AS255" s="881">
        <f t="shared" si="29"/>
        <v>500000</v>
      </c>
      <c r="AT255" s="881">
        <f t="shared" si="29"/>
        <v>0</v>
      </c>
      <c r="AU255" s="881">
        <f t="shared" si="29"/>
        <v>348000000</v>
      </c>
      <c r="AV255" s="881">
        <f t="shared" si="29"/>
        <v>0</v>
      </c>
      <c r="AW255" s="882">
        <f t="shared" si="29"/>
        <v>4908645709.400001</v>
      </c>
      <c r="BA255" s="1155"/>
      <c r="BB255" s="1155"/>
      <c r="BC255" s="1155"/>
      <c r="BD255" s="1155"/>
      <c r="BE255" s="1155"/>
      <c r="BF255" s="1155"/>
      <c r="BG255" s="1155"/>
      <c r="BH255" s="1145"/>
      <c r="BI255" s="1145"/>
      <c r="BJ255" s="1145"/>
      <c r="BK255" s="1145"/>
      <c r="BL255" s="1145"/>
      <c r="BM255" s="1145"/>
      <c r="BN255" s="1145"/>
      <c r="BO255" s="1145"/>
      <c r="BP255" s="1145"/>
      <c r="BQ255" s="1145"/>
      <c r="BR255" s="1145"/>
      <c r="BS255" s="1145"/>
      <c r="BT255" s="1145"/>
      <c r="BU255" s="1145"/>
      <c r="BV255" s="1145"/>
      <c r="BW255" s="1145"/>
      <c r="BX255" s="1145"/>
      <c r="BY255" s="1145"/>
    </row>
    <row r="256" spans="1:77" ht="51">
      <c r="A256" s="1376">
        <v>20</v>
      </c>
      <c r="B256" s="1380" t="s">
        <v>1249</v>
      </c>
      <c r="C256" s="1379" t="s">
        <v>1250</v>
      </c>
      <c r="D256" s="1367" t="s">
        <v>1251</v>
      </c>
      <c r="E256" s="1367" t="s">
        <v>1252</v>
      </c>
      <c r="F256" s="365"/>
      <c r="G256" s="1379"/>
      <c r="H256" s="693"/>
      <c r="I256" s="814" t="s">
        <v>1254</v>
      </c>
      <c r="J256" s="818" t="s">
        <v>1255</v>
      </c>
      <c r="K256" s="729"/>
      <c r="L256" s="729">
        <v>1</v>
      </c>
      <c r="M256" s="729">
        <v>1</v>
      </c>
      <c r="N256" s="801"/>
      <c r="O256" s="1256" t="s">
        <v>1694</v>
      </c>
      <c r="P256" s="1239"/>
      <c r="Q256" s="1239"/>
      <c r="R256" s="1239"/>
      <c r="S256" s="1239"/>
      <c r="T256" s="1239"/>
      <c r="U256" s="1239"/>
      <c r="V256" s="1239"/>
      <c r="W256" s="1239"/>
      <c r="X256" s="1239"/>
      <c r="Y256" s="1239"/>
      <c r="Z256" s="1239"/>
      <c r="AA256" s="1239"/>
      <c r="AB256" s="1239"/>
      <c r="AC256" s="826"/>
      <c r="AD256" s="1239"/>
      <c r="AE256" s="1239"/>
      <c r="AF256" s="1239"/>
      <c r="AG256" s="1239"/>
      <c r="AH256" s="1239"/>
      <c r="AI256" s="826"/>
      <c r="AJ256" s="826"/>
      <c r="AK256" s="826"/>
      <c r="AL256" s="826"/>
      <c r="AM256" s="826"/>
      <c r="AN256" s="826"/>
      <c r="AO256" s="826"/>
      <c r="AP256" s="826"/>
      <c r="AQ256" s="826"/>
      <c r="AR256" s="1239"/>
      <c r="AS256" s="1239"/>
      <c r="AT256" s="1239"/>
      <c r="AU256" s="1239"/>
      <c r="AV256" s="1239">
        <v>3500000000</v>
      </c>
      <c r="AW256" s="1241">
        <f>SUM(P256:AV256)</f>
        <v>3500000000</v>
      </c>
      <c r="BA256" s="1208" t="s">
        <v>1841</v>
      </c>
      <c r="BB256" s="1208" t="s">
        <v>1850</v>
      </c>
      <c r="BC256" s="1208" t="s">
        <v>1850</v>
      </c>
      <c r="BD256" s="1208" t="s">
        <v>1850</v>
      </c>
      <c r="BE256" s="1208" t="s">
        <v>1850</v>
      </c>
      <c r="BF256" s="1208" t="s">
        <v>1851</v>
      </c>
      <c r="BG256" s="1208">
        <v>4</v>
      </c>
      <c r="BH256" s="1145"/>
      <c r="BI256" s="1145"/>
      <c r="BJ256" s="1145"/>
      <c r="BK256" s="1145"/>
      <c r="BL256" s="1145"/>
      <c r="BM256" s="1145"/>
      <c r="BN256" s="1145"/>
      <c r="BO256" s="1145"/>
      <c r="BP256" s="1145"/>
      <c r="BQ256" s="1145"/>
      <c r="BR256" s="1145"/>
      <c r="BS256" s="1145"/>
      <c r="BT256" s="1145"/>
      <c r="BU256" s="1145"/>
      <c r="BV256" s="1145"/>
      <c r="BW256" s="1145"/>
      <c r="BX256" s="1145"/>
      <c r="BY256" s="1145"/>
    </row>
    <row r="257" spans="1:77" ht="38.25" customHeight="1" hidden="1">
      <c r="A257" s="1377"/>
      <c r="B257" s="1381"/>
      <c r="C257" s="1379"/>
      <c r="D257" s="1367"/>
      <c r="E257" s="1367"/>
      <c r="F257" s="365"/>
      <c r="G257" s="1379"/>
      <c r="H257" s="693"/>
      <c r="I257" s="751" t="s">
        <v>1256</v>
      </c>
      <c r="J257" s="692" t="s">
        <v>1257</v>
      </c>
      <c r="K257" s="367">
        <v>1</v>
      </c>
      <c r="L257" s="367">
        <v>1</v>
      </c>
      <c r="M257" s="367"/>
      <c r="N257" s="771"/>
      <c r="O257" s="1257"/>
      <c r="P257" s="1240"/>
      <c r="Q257" s="1240"/>
      <c r="R257" s="1240"/>
      <c r="S257" s="1240"/>
      <c r="T257" s="1240"/>
      <c r="U257" s="1240"/>
      <c r="V257" s="1240"/>
      <c r="W257" s="1240"/>
      <c r="X257" s="1240"/>
      <c r="Y257" s="1240"/>
      <c r="Z257" s="1240"/>
      <c r="AA257" s="1240"/>
      <c r="AB257" s="1240"/>
      <c r="AC257" s="460"/>
      <c r="AD257" s="1240"/>
      <c r="AE257" s="1240"/>
      <c r="AF257" s="1240"/>
      <c r="AG257" s="1240"/>
      <c r="AH257" s="1240"/>
      <c r="AI257" s="460"/>
      <c r="AJ257" s="460"/>
      <c r="AK257" s="460"/>
      <c r="AL257" s="460"/>
      <c r="AM257" s="460"/>
      <c r="AN257" s="460"/>
      <c r="AO257" s="460"/>
      <c r="AP257" s="460"/>
      <c r="AQ257" s="460"/>
      <c r="AR257" s="1240"/>
      <c r="AS257" s="1240"/>
      <c r="AT257" s="1240"/>
      <c r="AU257" s="1240"/>
      <c r="AV257" s="1240"/>
      <c r="AW257" s="1242"/>
      <c r="BA257" s="1209"/>
      <c r="BB257" s="1209"/>
      <c r="BC257" s="1209"/>
      <c r="BD257" s="1209"/>
      <c r="BE257" s="1209"/>
      <c r="BF257" s="1209"/>
      <c r="BG257" s="1209"/>
      <c r="BH257" s="1145"/>
      <c r="BI257" s="1145"/>
      <c r="BJ257" s="1145"/>
      <c r="BK257" s="1145"/>
      <c r="BL257" s="1145"/>
      <c r="BM257" s="1145"/>
      <c r="BN257" s="1145"/>
      <c r="BO257" s="1145"/>
      <c r="BP257" s="1145"/>
      <c r="BQ257" s="1145"/>
      <c r="BR257" s="1145"/>
      <c r="BS257" s="1145"/>
      <c r="BT257" s="1145"/>
      <c r="BU257" s="1145"/>
      <c r="BV257" s="1145"/>
      <c r="BW257" s="1145"/>
      <c r="BX257" s="1145"/>
      <c r="BY257" s="1145"/>
    </row>
    <row r="258" spans="1:77" ht="65.25" customHeight="1" hidden="1">
      <c r="A258" s="1377"/>
      <c r="B258" s="1381"/>
      <c r="C258" s="1379"/>
      <c r="D258" s="1367"/>
      <c r="E258" s="1367"/>
      <c r="F258" s="365"/>
      <c r="G258" s="1379"/>
      <c r="H258" s="693"/>
      <c r="I258" s="751" t="s">
        <v>1258</v>
      </c>
      <c r="J258" s="692" t="s">
        <v>1259</v>
      </c>
      <c r="K258" s="367"/>
      <c r="L258" s="367">
        <v>1</v>
      </c>
      <c r="M258" s="367"/>
      <c r="N258" s="771"/>
      <c r="O258" s="1257"/>
      <c r="P258" s="1240"/>
      <c r="Q258" s="1240"/>
      <c r="R258" s="1240"/>
      <c r="S258" s="1240"/>
      <c r="T258" s="1240"/>
      <c r="U258" s="1240"/>
      <c r="V258" s="1240"/>
      <c r="W258" s="1240"/>
      <c r="X258" s="1240"/>
      <c r="Y258" s="1240"/>
      <c r="Z258" s="1240"/>
      <c r="AA258" s="1240"/>
      <c r="AB258" s="1240"/>
      <c r="AC258" s="460"/>
      <c r="AD258" s="1240"/>
      <c r="AE258" s="1240"/>
      <c r="AF258" s="1240"/>
      <c r="AG258" s="1240"/>
      <c r="AH258" s="1240"/>
      <c r="AI258" s="460"/>
      <c r="AJ258" s="460"/>
      <c r="AK258" s="460"/>
      <c r="AL258" s="460"/>
      <c r="AM258" s="460"/>
      <c r="AN258" s="460"/>
      <c r="AO258" s="460"/>
      <c r="AP258" s="460"/>
      <c r="AQ258" s="460"/>
      <c r="AR258" s="1240"/>
      <c r="AS258" s="1240"/>
      <c r="AT258" s="1240"/>
      <c r="AU258" s="1240"/>
      <c r="AV258" s="1240"/>
      <c r="AW258" s="1242"/>
      <c r="BA258" s="1209"/>
      <c r="BB258" s="1209"/>
      <c r="BC258" s="1209"/>
      <c r="BD258" s="1209"/>
      <c r="BE258" s="1209"/>
      <c r="BF258" s="1209"/>
      <c r="BG258" s="1209"/>
      <c r="BH258" s="1145"/>
      <c r="BI258" s="1145"/>
      <c r="BJ258" s="1145"/>
      <c r="BK258" s="1145"/>
      <c r="BL258" s="1145"/>
      <c r="BM258" s="1145"/>
      <c r="BN258" s="1145"/>
      <c r="BO258" s="1145"/>
      <c r="BP258" s="1145"/>
      <c r="BQ258" s="1145"/>
      <c r="BR258" s="1145"/>
      <c r="BS258" s="1145"/>
      <c r="BT258" s="1145"/>
      <c r="BU258" s="1145"/>
      <c r="BV258" s="1145"/>
      <c r="BW258" s="1145"/>
      <c r="BX258" s="1145"/>
      <c r="BY258" s="1145"/>
    </row>
    <row r="259" spans="1:77" ht="65.25" customHeight="1">
      <c r="A259" s="1377"/>
      <c r="B259" s="1381"/>
      <c r="C259" s="1379"/>
      <c r="D259" s="1367"/>
      <c r="E259" s="1367"/>
      <c r="F259" s="365"/>
      <c r="G259" s="1379"/>
      <c r="H259" s="1169"/>
      <c r="I259" s="751" t="s">
        <v>1258</v>
      </c>
      <c r="J259" s="1159"/>
      <c r="K259" s="367"/>
      <c r="L259" s="367"/>
      <c r="M259" s="367">
        <v>1</v>
      </c>
      <c r="N259" s="771"/>
      <c r="O259" s="1257"/>
      <c r="P259" s="1240"/>
      <c r="Q259" s="1240"/>
      <c r="R259" s="1240"/>
      <c r="S259" s="1240"/>
      <c r="T259" s="1240"/>
      <c r="U259" s="1240"/>
      <c r="V259" s="1240"/>
      <c r="W259" s="1240"/>
      <c r="X259" s="1240"/>
      <c r="Y259" s="1240"/>
      <c r="Z259" s="1240"/>
      <c r="AA259" s="1240"/>
      <c r="AB259" s="1240"/>
      <c r="AC259" s="460"/>
      <c r="AD259" s="1240"/>
      <c r="AE259" s="1240"/>
      <c r="AF259" s="1240"/>
      <c r="AG259" s="1240"/>
      <c r="AH259" s="1240"/>
      <c r="AI259" s="460"/>
      <c r="AJ259" s="460"/>
      <c r="AK259" s="460"/>
      <c r="AL259" s="460"/>
      <c r="AM259" s="460"/>
      <c r="AN259" s="460"/>
      <c r="AO259" s="460"/>
      <c r="AP259" s="460"/>
      <c r="AQ259" s="460"/>
      <c r="AR259" s="1240"/>
      <c r="AS259" s="1240"/>
      <c r="AT259" s="1240"/>
      <c r="AU259" s="1240"/>
      <c r="AV259" s="1240"/>
      <c r="AW259" s="1242"/>
      <c r="AY259" s="904"/>
      <c r="AZ259" s="904"/>
      <c r="BA259" s="1209"/>
      <c r="BB259" s="1209"/>
      <c r="BC259" s="1209"/>
      <c r="BD259" s="1209"/>
      <c r="BE259" s="1209"/>
      <c r="BF259" s="1209"/>
      <c r="BG259" s="1209"/>
      <c r="BH259" s="1145"/>
      <c r="BI259" s="1145"/>
      <c r="BJ259" s="1145"/>
      <c r="BK259" s="1145"/>
      <c r="BL259" s="1145"/>
      <c r="BM259" s="1145"/>
      <c r="BN259" s="1145"/>
      <c r="BO259" s="1145"/>
      <c r="BP259" s="1145"/>
      <c r="BQ259" s="1145"/>
      <c r="BR259" s="1145"/>
      <c r="BS259" s="1145"/>
      <c r="BT259" s="1145"/>
      <c r="BU259" s="1145"/>
      <c r="BV259" s="1145"/>
      <c r="BW259" s="1145"/>
      <c r="BX259" s="1145"/>
      <c r="BY259" s="1145"/>
    </row>
    <row r="260" spans="1:77" ht="38.25">
      <c r="A260" s="1377"/>
      <c r="B260" s="1381"/>
      <c r="C260" s="1379"/>
      <c r="D260" s="1367"/>
      <c r="E260" s="1367"/>
      <c r="F260" s="365"/>
      <c r="G260" s="1379"/>
      <c r="H260" s="693"/>
      <c r="I260" s="751" t="s">
        <v>1260</v>
      </c>
      <c r="J260" s="692" t="s">
        <v>1261</v>
      </c>
      <c r="K260" s="367">
        <v>1</v>
      </c>
      <c r="L260" s="367">
        <v>1</v>
      </c>
      <c r="M260" s="367">
        <v>1</v>
      </c>
      <c r="N260" s="771">
        <v>1</v>
      </c>
      <c r="O260" s="1257"/>
      <c r="P260" s="1240"/>
      <c r="Q260" s="1240"/>
      <c r="R260" s="1240"/>
      <c r="S260" s="1240"/>
      <c r="T260" s="1240"/>
      <c r="U260" s="1240"/>
      <c r="V260" s="1240"/>
      <c r="W260" s="1240"/>
      <c r="X260" s="1240"/>
      <c r="Y260" s="1240"/>
      <c r="Z260" s="1240"/>
      <c r="AA260" s="1240"/>
      <c r="AB260" s="1240"/>
      <c r="AC260" s="460"/>
      <c r="AD260" s="1240"/>
      <c r="AE260" s="1240"/>
      <c r="AF260" s="1240"/>
      <c r="AG260" s="1240"/>
      <c r="AH260" s="1240"/>
      <c r="AI260" s="460"/>
      <c r="AJ260" s="460"/>
      <c r="AK260" s="460"/>
      <c r="AL260" s="460"/>
      <c r="AM260" s="460"/>
      <c r="AN260" s="460"/>
      <c r="AO260" s="460"/>
      <c r="AP260" s="460"/>
      <c r="AQ260" s="460"/>
      <c r="AR260" s="1240"/>
      <c r="AS260" s="1240"/>
      <c r="AT260" s="1240"/>
      <c r="AU260" s="1240"/>
      <c r="AV260" s="1240"/>
      <c r="AW260" s="1242"/>
      <c r="BA260" s="1209"/>
      <c r="BB260" s="1209"/>
      <c r="BC260" s="1209"/>
      <c r="BD260" s="1209"/>
      <c r="BE260" s="1209"/>
      <c r="BF260" s="1209"/>
      <c r="BG260" s="1209"/>
      <c r="BH260" s="1145"/>
      <c r="BI260" s="1145"/>
      <c r="BJ260" s="1145"/>
      <c r="BK260" s="1145"/>
      <c r="BL260" s="1145"/>
      <c r="BM260" s="1145"/>
      <c r="BN260" s="1145"/>
      <c r="BO260" s="1145"/>
      <c r="BP260" s="1145"/>
      <c r="BQ260" s="1145"/>
      <c r="BR260" s="1145"/>
      <c r="BS260" s="1145"/>
      <c r="BT260" s="1145"/>
      <c r="BU260" s="1145"/>
      <c r="BV260" s="1145"/>
      <c r="BW260" s="1145"/>
      <c r="BX260" s="1145"/>
      <c r="BY260" s="1145"/>
    </row>
    <row r="261" spans="1:77" ht="76.5" customHeight="1" hidden="1">
      <c r="A261" s="1377"/>
      <c r="B261" s="1381"/>
      <c r="C261" s="1379"/>
      <c r="D261" s="1367"/>
      <c r="E261" s="1367"/>
      <c r="F261" s="365"/>
      <c r="G261" s="1379"/>
      <c r="H261" s="693"/>
      <c r="I261" s="751" t="s">
        <v>1262</v>
      </c>
      <c r="J261" s="692" t="s">
        <v>1263</v>
      </c>
      <c r="K261" s="367">
        <v>1</v>
      </c>
      <c r="L261" s="367">
        <v>1</v>
      </c>
      <c r="M261" s="367"/>
      <c r="N261" s="771"/>
      <c r="O261" s="1257"/>
      <c r="P261" s="1240"/>
      <c r="Q261" s="1240"/>
      <c r="R261" s="1240"/>
      <c r="S261" s="1240"/>
      <c r="T261" s="1240"/>
      <c r="U261" s="1240"/>
      <c r="V261" s="1240"/>
      <c r="W261" s="1240"/>
      <c r="X261" s="1240"/>
      <c r="Y261" s="1240"/>
      <c r="Z261" s="1240"/>
      <c r="AA261" s="1240"/>
      <c r="AB261" s="1240"/>
      <c r="AC261" s="460"/>
      <c r="AD261" s="1240"/>
      <c r="AE261" s="1240"/>
      <c r="AF261" s="1240"/>
      <c r="AG261" s="1240"/>
      <c r="AH261" s="1240"/>
      <c r="AI261" s="460"/>
      <c r="AJ261" s="460"/>
      <c r="AK261" s="460"/>
      <c r="AL261" s="460"/>
      <c r="AM261" s="460"/>
      <c r="AN261" s="460"/>
      <c r="AO261" s="460"/>
      <c r="AP261" s="460"/>
      <c r="AQ261" s="460"/>
      <c r="AR261" s="1240"/>
      <c r="AS261" s="1240"/>
      <c r="AT261" s="1240"/>
      <c r="AU261" s="1240"/>
      <c r="AV261" s="1240"/>
      <c r="AW261" s="1242"/>
      <c r="BA261" s="1209"/>
      <c r="BB261" s="1209"/>
      <c r="BC261" s="1209"/>
      <c r="BD261" s="1209"/>
      <c r="BE261" s="1209"/>
      <c r="BF261" s="1209"/>
      <c r="BG261" s="1209"/>
      <c r="BH261" s="1145"/>
      <c r="BI261" s="1145"/>
      <c r="BJ261" s="1145"/>
      <c r="BK261" s="1145"/>
      <c r="BL261" s="1145"/>
      <c r="BM261" s="1145"/>
      <c r="BN261" s="1145"/>
      <c r="BO261" s="1145"/>
      <c r="BP261" s="1145"/>
      <c r="BQ261" s="1145"/>
      <c r="BR261" s="1145"/>
      <c r="BS261" s="1145"/>
      <c r="BT261" s="1145"/>
      <c r="BU261" s="1145"/>
      <c r="BV261" s="1145"/>
      <c r="BW261" s="1145"/>
      <c r="BX261" s="1145"/>
      <c r="BY261" s="1145"/>
    </row>
    <row r="262" spans="1:77" ht="114.75">
      <c r="A262" s="1377"/>
      <c r="B262" s="1381"/>
      <c r="C262" s="1379"/>
      <c r="D262" s="1367"/>
      <c r="E262" s="1367"/>
      <c r="F262" s="365"/>
      <c r="G262" s="1379"/>
      <c r="H262" s="902"/>
      <c r="I262" s="751" t="s">
        <v>1264</v>
      </c>
      <c r="J262" s="897" t="s">
        <v>1265</v>
      </c>
      <c r="K262" s="367">
        <v>1</v>
      </c>
      <c r="L262" s="367">
        <v>1</v>
      </c>
      <c r="M262" s="367">
        <v>1</v>
      </c>
      <c r="N262" s="771"/>
      <c r="O262" s="1257"/>
      <c r="P262" s="1240"/>
      <c r="Q262" s="1240"/>
      <c r="R262" s="1240"/>
      <c r="S262" s="1240"/>
      <c r="T262" s="1240"/>
      <c r="U262" s="1240"/>
      <c r="V262" s="1240"/>
      <c r="W262" s="1240"/>
      <c r="X262" s="1240"/>
      <c r="Y262" s="1240"/>
      <c r="Z262" s="1240"/>
      <c r="AA262" s="1240"/>
      <c r="AB262" s="1240"/>
      <c r="AC262" s="460"/>
      <c r="AD262" s="1240"/>
      <c r="AE262" s="1240"/>
      <c r="AF262" s="1240"/>
      <c r="AG262" s="1240"/>
      <c r="AH262" s="1240"/>
      <c r="AI262" s="460"/>
      <c r="AJ262" s="460"/>
      <c r="AK262" s="460"/>
      <c r="AL262" s="460"/>
      <c r="AM262" s="460"/>
      <c r="AN262" s="460"/>
      <c r="AO262" s="460"/>
      <c r="AP262" s="460"/>
      <c r="AQ262" s="460"/>
      <c r="AR262" s="1240"/>
      <c r="AS262" s="1240"/>
      <c r="AT262" s="1240"/>
      <c r="AU262" s="1240"/>
      <c r="AV262" s="1240"/>
      <c r="AW262" s="1242"/>
      <c r="AY262" s="898"/>
      <c r="AZ262" s="898"/>
      <c r="BA262" s="1210"/>
      <c r="BB262" s="1210"/>
      <c r="BC262" s="1210"/>
      <c r="BD262" s="1210"/>
      <c r="BE262" s="1210"/>
      <c r="BF262" s="1210"/>
      <c r="BG262" s="1210"/>
      <c r="BH262" s="1145"/>
      <c r="BI262" s="1145"/>
      <c r="BJ262" s="1145"/>
      <c r="BK262" s="1145"/>
      <c r="BL262" s="1145"/>
      <c r="BM262" s="1145"/>
      <c r="BN262" s="1145"/>
      <c r="BO262" s="1145"/>
      <c r="BP262" s="1145"/>
      <c r="BQ262" s="1145"/>
      <c r="BR262" s="1145"/>
      <c r="BS262" s="1145"/>
      <c r="BT262" s="1145"/>
      <c r="BU262" s="1145"/>
      <c r="BV262" s="1145"/>
      <c r="BW262" s="1145"/>
      <c r="BX262" s="1145"/>
      <c r="BY262" s="1145"/>
    </row>
    <row r="263" spans="1:77" ht="23.25" thickBot="1">
      <c r="A263" s="1377"/>
      <c r="B263" s="1381"/>
      <c r="C263" s="1379"/>
      <c r="D263" s="1367"/>
      <c r="E263" s="1367"/>
      <c r="F263" s="365"/>
      <c r="G263" s="1379"/>
      <c r="H263" s="693"/>
      <c r="I263" s="751"/>
      <c r="J263" s="692"/>
      <c r="K263" s="367"/>
      <c r="L263" s="367"/>
      <c r="M263" s="367"/>
      <c r="N263" s="771">
        <v>1</v>
      </c>
      <c r="O263" s="876" t="s">
        <v>1751</v>
      </c>
      <c r="P263" s="915"/>
      <c r="Q263" s="916"/>
      <c r="R263" s="916"/>
      <c r="S263" s="916"/>
      <c r="T263" s="916"/>
      <c r="U263" s="916"/>
      <c r="V263" s="916"/>
      <c r="W263" s="916"/>
      <c r="X263" s="916"/>
      <c r="Y263" s="916"/>
      <c r="Z263" s="916"/>
      <c r="AA263" s="916"/>
      <c r="AB263" s="916"/>
      <c r="AC263" s="835"/>
      <c r="AD263" s="915">
        <v>150000000</v>
      </c>
      <c r="AE263" s="916"/>
      <c r="AF263" s="916"/>
      <c r="AG263" s="916"/>
      <c r="AH263" s="916"/>
      <c r="AI263" s="835"/>
      <c r="AJ263" s="835"/>
      <c r="AK263" s="835"/>
      <c r="AL263" s="835"/>
      <c r="AM263" s="835"/>
      <c r="AN263" s="835"/>
      <c r="AO263" s="835"/>
      <c r="AP263" s="835"/>
      <c r="AQ263" s="835"/>
      <c r="AR263" s="916"/>
      <c r="AS263" s="916"/>
      <c r="AT263" s="916"/>
      <c r="AU263" s="916"/>
      <c r="AV263" s="916"/>
      <c r="AW263" s="917">
        <f>SUM(P263:AV263)</f>
        <v>150000000</v>
      </c>
      <c r="BA263" s="1155"/>
      <c r="BB263" s="1155"/>
      <c r="BC263" s="1155"/>
      <c r="BD263" s="1155"/>
      <c r="BE263" s="1155"/>
      <c r="BF263" s="1155"/>
      <c r="BG263" s="1155"/>
      <c r="BH263" s="1145"/>
      <c r="BI263" s="1145"/>
      <c r="BJ263" s="1145"/>
      <c r="BK263" s="1145"/>
      <c r="BL263" s="1145"/>
      <c r="BM263" s="1145"/>
      <c r="BN263" s="1145"/>
      <c r="BO263" s="1145"/>
      <c r="BP263" s="1145"/>
      <c r="BQ263" s="1145"/>
      <c r="BR263" s="1145"/>
      <c r="BS263" s="1145"/>
      <c r="BT263" s="1145"/>
      <c r="BU263" s="1145"/>
      <c r="BV263" s="1145"/>
      <c r="BW263" s="1145"/>
      <c r="BX263" s="1145"/>
      <c r="BY263" s="1145"/>
    </row>
    <row r="264" spans="1:77" ht="57" hidden="1" thickBot="1">
      <c r="A264" s="1377"/>
      <c r="B264" s="1381"/>
      <c r="C264" s="1379" t="s">
        <v>1266</v>
      </c>
      <c r="D264" s="1367" t="s">
        <v>1267</v>
      </c>
      <c r="E264" s="1367" t="s">
        <v>1268</v>
      </c>
      <c r="F264" s="365"/>
      <c r="G264" s="1379"/>
      <c r="H264" s="693"/>
      <c r="I264" s="751" t="s">
        <v>1269</v>
      </c>
      <c r="J264" s="692" t="s">
        <v>1270</v>
      </c>
      <c r="K264" s="367"/>
      <c r="L264" s="367">
        <v>1</v>
      </c>
      <c r="M264" s="367"/>
      <c r="N264" s="367"/>
      <c r="O264" s="867"/>
      <c r="BA264" s="1155"/>
      <c r="BB264" s="1155"/>
      <c r="BC264" s="1155"/>
      <c r="BD264" s="1155"/>
      <c r="BE264" s="1155"/>
      <c r="BF264" s="1155"/>
      <c r="BG264" s="1155"/>
      <c r="BH264" s="1145"/>
      <c r="BI264" s="1145"/>
      <c r="BJ264" s="1145"/>
      <c r="BK264" s="1145"/>
      <c r="BL264" s="1145"/>
      <c r="BM264" s="1145"/>
      <c r="BN264" s="1145"/>
      <c r="BO264" s="1145"/>
      <c r="BP264" s="1145"/>
      <c r="BQ264" s="1145"/>
      <c r="BR264" s="1145"/>
      <c r="BS264" s="1145"/>
      <c r="BT264" s="1145"/>
      <c r="BU264" s="1145"/>
      <c r="BV264" s="1145"/>
      <c r="BW264" s="1145"/>
      <c r="BX264" s="1145"/>
      <c r="BY264" s="1145"/>
    </row>
    <row r="265" spans="1:77" ht="51.75" hidden="1" thickBot="1">
      <c r="A265" s="1377"/>
      <c r="B265" s="1381"/>
      <c r="C265" s="1379"/>
      <c r="D265" s="1367"/>
      <c r="E265" s="1367"/>
      <c r="F265" s="365"/>
      <c r="G265" s="1379"/>
      <c r="H265" s="693"/>
      <c r="I265" s="751" t="s">
        <v>1271</v>
      </c>
      <c r="J265" s="692" t="s">
        <v>1272</v>
      </c>
      <c r="K265" s="367"/>
      <c r="L265" s="367">
        <v>1</v>
      </c>
      <c r="M265" s="367"/>
      <c r="N265" s="367"/>
      <c r="BA265" s="1155"/>
      <c r="BB265" s="1155"/>
      <c r="BC265" s="1155"/>
      <c r="BD265" s="1155"/>
      <c r="BE265" s="1155"/>
      <c r="BF265" s="1155"/>
      <c r="BG265" s="1155"/>
      <c r="BH265" s="1145"/>
      <c r="BI265" s="1145"/>
      <c r="BJ265" s="1145"/>
      <c r="BK265" s="1145"/>
      <c r="BL265" s="1145"/>
      <c r="BM265" s="1145"/>
      <c r="BN265" s="1145"/>
      <c r="BO265" s="1145"/>
      <c r="BP265" s="1145"/>
      <c r="BQ265" s="1145"/>
      <c r="BR265" s="1145"/>
      <c r="BS265" s="1145"/>
      <c r="BT265" s="1145"/>
      <c r="BU265" s="1145"/>
      <c r="BV265" s="1145"/>
      <c r="BW265" s="1145"/>
      <c r="BX265" s="1145"/>
      <c r="BY265" s="1145"/>
    </row>
    <row r="266" spans="1:77" ht="51.75" hidden="1" thickBot="1">
      <c r="A266" s="1377"/>
      <c r="B266" s="1381"/>
      <c r="C266" s="1379"/>
      <c r="D266" s="1367"/>
      <c r="E266" s="1367"/>
      <c r="F266" s="365"/>
      <c r="G266" s="1379"/>
      <c r="H266" s="693"/>
      <c r="I266" s="751" t="s">
        <v>1273</v>
      </c>
      <c r="J266" s="692" t="s">
        <v>1274</v>
      </c>
      <c r="K266" s="367">
        <v>1</v>
      </c>
      <c r="L266" s="367"/>
      <c r="M266" s="367"/>
      <c r="N266" s="367"/>
      <c r="BA266" s="1155"/>
      <c r="BB266" s="1155"/>
      <c r="BC266" s="1155"/>
      <c r="BD266" s="1155"/>
      <c r="BE266" s="1155"/>
      <c r="BF266" s="1155"/>
      <c r="BG266" s="1155"/>
      <c r="BH266" s="1145"/>
      <c r="BI266" s="1145"/>
      <c r="BJ266" s="1145"/>
      <c r="BK266" s="1145"/>
      <c r="BL266" s="1145"/>
      <c r="BM266" s="1145"/>
      <c r="BN266" s="1145"/>
      <c r="BO266" s="1145"/>
      <c r="BP266" s="1145"/>
      <c r="BQ266" s="1145"/>
      <c r="BR266" s="1145"/>
      <c r="BS266" s="1145"/>
      <c r="BT266" s="1145"/>
      <c r="BU266" s="1145"/>
      <c r="BV266" s="1145"/>
      <c r="BW266" s="1145"/>
      <c r="BX266" s="1145"/>
      <c r="BY266" s="1145"/>
    </row>
    <row r="267" spans="1:77" ht="90" customHeight="1" hidden="1">
      <c r="A267" s="1377"/>
      <c r="B267" s="1381"/>
      <c r="C267" s="1379"/>
      <c r="D267" s="1367"/>
      <c r="E267" s="1367"/>
      <c r="F267" s="365"/>
      <c r="G267" s="1379"/>
      <c r="H267" s="693"/>
      <c r="I267" s="751" t="s">
        <v>1276</v>
      </c>
      <c r="J267" s="692" t="s">
        <v>1277</v>
      </c>
      <c r="K267" s="367"/>
      <c r="L267" s="367">
        <v>1</v>
      </c>
      <c r="M267" s="367"/>
      <c r="N267" s="367"/>
      <c r="BA267" s="1155"/>
      <c r="BB267" s="1155"/>
      <c r="BC267" s="1155"/>
      <c r="BD267" s="1155"/>
      <c r="BE267" s="1155"/>
      <c r="BF267" s="1155"/>
      <c r="BG267" s="1155"/>
      <c r="BH267" s="1145"/>
      <c r="BI267" s="1145"/>
      <c r="BJ267" s="1145"/>
      <c r="BK267" s="1145"/>
      <c r="BL267" s="1145"/>
      <c r="BM267" s="1145"/>
      <c r="BN267" s="1145"/>
      <c r="BO267" s="1145"/>
      <c r="BP267" s="1145"/>
      <c r="BQ267" s="1145"/>
      <c r="BR267" s="1145"/>
      <c r="BS267" s="1145"/>
      <c r="BT267" s="1145"/>
      <c r="BU267" s="1145"/>
      <c r="BV267" s="1145"/>
      <c r="BW267" s="1145"/>
      <c r="BX267" s="1145"/>
      <c r="BY267" s="1145"/>
    </row>
    <row r="268" spans="1:77" ht="51.75" hidden="1" thickBot="1">
      <c r="A268" s="1377"/>
      <c r="B268" s="1381"/>
      <c r="C268" s="1379"/>
      <c r="D268" s="1367"/>
      <c r="E268" s="1367"/>
      <c r="F268" s="365"/>
      <c r="G268" s="1379"/>
      <c r="H268" s="693"/>
      <c r="I268" s="762" t="s">
        <v>1278</v>
      </c>
      <c r="J268" s="803" t="s">
        <v>1279</v>
      </c>
      <c r="K268" s="728"/>
      <c r="L268" s="728">
        <v>1</v>
      </c>
      <c r="M268" s="728"/>
      <c r="N268" s="728"/>
      <c r="BA268" s="1155"/>
      <c r="BB268" s="1155"/>
      <c r="BC268" s="1155"/>
      <c r="BD268" s="1155"/>
      <c r="BE268" s="1155"/>
      <c r="BF268" s="1155"/>
      <c r="BG268" s="1155"/>
      <c r="BH268" s="1145"/>
      <c r="BI268" s="1145"/>
      <c r="BJ268" s="1145"/>
      <c r="BK268" s="1145"/>
      <c r="BL268" s="1145"/>
      <c r="BM268" s="1145"/>
      <c r="BN268" s="1145"/>
      <c r="BO268" s="1145"/>
      <c r="BP268" s="1145"/>
      <c r="BQ268" s="1145"/>
      <c r="BR268" s="1145"/>
      <c r="BS268" s="1145"/>
      <c r="BT268" s="1145"/>
      <c r="BU268" s="1145"/>
      <c r="BV268" s="1145"/>
      <c r="BW268" s="1145"/>
      <c r="BX268" s="1145"/>
      <c r="BY268" s="1145"/>
    </row>
    <row r="269" spans="1:77" ht="15" customHeight="1" thickBot="1">
      <c r="A269" s="1377"/>
      <c r="B269" s="1381"/>
      <c r="C269" s="1379"/>
      <c r="D269" s="1367"/>
      <c r="E269" s="1367"/>
      <c r="F269" s="365"/>
      <c r="G269" s="1379"/>
      <c r="H269" s="776"/>
      <c r="I269" s="1258" t="s">
        <v>1721</v>
      </c>
      <c r="J269" s="1259"/>
      <c r="K269" s="1259"/>
      <c r="L269" s="1259"/>
      <c r="M269" s="1259"/>
      <c r="N269" s="1260"/>
      <c r="O269" s="1261"/>
      <c r="P269" s="821">
        <f aca="true" t="shared" si="30" ref="P269:AW269">SUM(P256:P263)</f>
        <v>0</v>
      </c>
      <c r="Q269" s="821">
        <f t="shared" si="30"/>
        <v>0</v>
      </c>
      <c r="R269" s="821">
        <f t="shared" si="30"/>
        <v>0</v>
      </c>
      <c r="S269" s="821">
        <f t="shared" si="30"/>
        <v>0</v>
      </c>
      <c r="T269" s="821">
        <f t="shared" si="30"/>
        <v>0</v>
      </c>
      <c r="U269" s="821">
        <f t="shared" si="30"/>
        <v>0</v>
      </c>
      <c r="V269" s="821">
        <f t="shared" si="30"/>
        <v>0</v>
      </c>
      <c r="W269" s="821">
        <f t="shared" si="30"/>
        <v>0</v>
      </c>
      <c r="X269" s="821">
        <f t="shared" si="30"/>
        <v>0</v>
      </c>
      <c r="Y269" s="821">
        <f t="shared" si="30"/>
        <v>0</v>
      </c>
      <c r="Z269" s="821">
        <f t="shared" si="30"/>
        <v>0</v>
      </c>
      <c r="AA269" s="821">
        <f t="shared" si="30"/>
        <v>0</v>
      </c>
      <c r="AB269" s="821">
        <f t="shared" si="30"/>
        <v>0</v>
      </c>
      <c r="AC269" s="821">
        <f t="shared" si="30"/>
        <v>0</v>
      </c>
      <c r="AD269" s="821">
        <f t="shared" si="30"/>
        <v>150000000</v>
      </c>
      <c r="AE269" s="821">
        <f t="shared" si="30"/>
        <v>0</v>
      </c>
      <c r="AF269" s="821">
        <f t="shared" si="30"/>
        <v>0</v>
      </c>
      <c r="AG269" s="821">
        <f t="shared" si="30"/>
        <v>0</v>
      </c>
      <c r="AH269" s="821">
        <f t="shared" si="30"/>
        <v>0</v>
      </c>
      <c r="AI269" s="821">
        <f t="shared" si="30"/>
        <v>0</v>
      </c>
      <c r="AJ269" s="821">
        <f t="shared" si="30"/>
        <v>0</v>
      </c>
      <c r="AK269" s="821">
        <f t="shared" si="30"/>
        <v>0</v>
      </c>
      <c r="AL269" s="821">
        <f t="shared" si="30"/>
        <v>0</v>
      </c>
      <c r="AM269" s="821">
        <f t="shared" si="30"/>
        <v>0</v>
      </c>
      <c r="AN269" s="821">
        <f t="shared" si="30"/>
        <v>0</v>
      </c>
      <c r="AO269" s="821">
        <f t="shared" si="30"/>
        <v>0</v>
      </c>
      <c r="AP269" s="821">
        <f t="shared" si="30"/>
        <v>0</v>
      </c>
      <c r="AQ269" s="821">
        <f t="shared" si="30"/>
        <v>0</v>
      </c>
      <c r="AR269" s="821">
        <f t="shared" si="30"/>
        <v>0</v>
      </c>
      <c r="AS269" s="821">
        <f t="shared" si="30"/>
        <v>0</v>
      </c>
      <c r="AT269" s="821">
        <f t="shared" si="30"/>
        <v>0</v>
      </c>
      <c r="AU269" s="821">
        <f t="shared" si="30"/>
        <v>0</v>
      </c>
      <c r="AV269" s="821">
        <f t="shared" si="30"/>
        <v>3500000000</v>
      </c>
      <c r="AW269" s="821">
        <f t="shared" si="30"/>
        <v>3650000000</v>
      </c>
      <c r="BA269" s="1155"/>
      <c r="BB269" s="1155"/>
      <c r="BC269" s="1155"/>
      <c r="BD269" s="1155"/>
      <c r="BE269" s="1155"/>
      <c r="BF269" s="1155"/>
      <c r="BG269" s="1155"/>
      <c r="BH269" s="1145"/>
      <c r="BI269" s="1145"/>
      <c r="BJ269" s="1145"/>
      <c r="BK269" s="1145"/>
      <c r="BL269" s="1145"/>
      <c r="BM269" s="1145"/>
      <c r="BN269" s="1145"/>
      <c r="BO269" s="1145"/>
      <c r="BP269" s="1145"/>
      <c r="BQ269" s="1145"/>
      <c r="BR269" s="1145"/>
      <c r="BS269" s="1145"/>
      <c r="BT269" s="1145"/>
      <c r="BU269" s="1145"/>
      <c r="BV269" s="1145"/>
      <c r="BW269" s="1145"/>
      <c r="BX269" s="1145"/>
      <c r="BY269" s="1145"/>
    </row>
    <row r="270" spans="1:77" ht="53.25" customHeight="1" thickBot="1">
      <c r="A270" s="1377"/>
      <c r="B270" s="1381"/>
      <c r="C270" s="1379"/>
      <c r="D270" s="1367"/>
      <c r="E270" s="1367"/>
      <c r="F270" s="365"/>
      <c r="G270" s="1379"/>
      <c r="H270" s="776"/>
      <c r="I270" s="751" t="s">
        <v>1278</v>
      </c>
      <c r="J270" s="1182"/>
      <c r="K270" s="1182"/>
      <c r="L270" s="1182"/>
      <c r="M270" s="1183">
        <v>1</v>
      </c>
      <c r="N270" s="1178"/>
      <c r="O270" s="1179"/>
      <c r="P270" s="1180"/>
      <c r="Q270" s="1180"/>
      <c r="R270" s="1180"/>
      <c r="S270" s="1180"/>
      <c r="T270" s="1180"/>
      <c r="U270" s="1180"/>
      <c r="V270" s="1180"/>
      <c r="W270" s="1180"/>
      <c r="X270" s="1180"/>
      <c r="Y270" s="1180"/>
      <c r="Z270" s="1180"/>
      <c r="AA270" s="1180"/>
      <c r="AB270" s="1180"/>
      <c r="AC270" s="1180"/>
      <c r="AD270" s="1180"/>
      <c r="AE270" s="1180"/>
      <c r="AF270" s="1180"/>
      <c r="AG270" s="1180"/>
      <c r="AH270" s="1180"/>
      <c r="AI270" s="1180"/>
      <c r="AJ270" s="1180"/>
      <c r="AK270" s="1180"/>
      <c r="AL270" s="1180"/>
      <c r="AM270" s="1180"/>
      <c r="AN270" s="1180"/>
      <c r="AO270" s="1180"/>
      <c r="AP270" s="1180"/>
      <c r="AQ270" s="1180"/>
      <c r="AR270" s="1180"/>
      <c r="AS270" s="1180"/>
      <c r="AT270" s="1180"/>
      <c r="AU270" s="1180"/>
      <c r="AV270" s="1180"/>
      <c r="AW270" s="1181"/>
      <c r="AY270" s="904"/>
      <c r="AZ270" s="904"/>
      <c r="BA270" s="1170"/>
      <c r="BB270" s="1170"/>
      <c r="BC270" s="1170"/>
      <c r="BD270" s="1170"/>
      <c r="BE270" s="1170"/>
      <c r="BF270" s="1170"/>
      <c r="BG270" s="1170"/>
      <c r="BH270" s="1145"/>
      <c r="BI270" s="1145"/>
      <c r="BJ270" s="1145"/>
      <c r="BK270" s="1145"/>
      <c r="BL270" s="1145"/>
      <c r="BM270" s="1145"/>
      <c r="BN270" s="1145"/>
      <c r="BO270" s="1145"/>
      <c r="BP270" s="1145"/>
      <c r="BQ270" s="1145"/>
      <c r="BR270" s="1145"/>
      <c r="BS270" s="1145"/>
      <c r="BT270" s="1145"/>
      <c r="BU270" s="1145"/>
      <c r="BV270" s="1145"/>
      <c r="BW270" s="1145"/>
      <c r="BX270" s="1145"/>
      <c r="BY270" s="1145"/>
    </row>
    <row r="271" spans="1:77" ht="83.25" customHeight="1">
      <c r="A271" s="1377"/>
      <c r="B271" s="1381"/>
      <c r="C271" s="1379"/>
      <c r="D271" s="1367"/>
      <c r="E271" s="1367"/>
      <c r="F271" s="365"/>
      <c r="G271" s="1379"/>
      <c r="H271" s="693"/>
      <c r="I271" s="814" t="s">
        <v>1280</v>
      </c>
      <c r="J271" s="818" t="s">
        <v>1281</v>
      </c>
      <c r="K271" s="729"/>
      <c r="L271" s="729"/>
      <c r="M271" s="729">
        <v>1</v>
      </c>
      <c r="N271" s="801"/>
      <c r="O271" s="1213" t="s">
        <v>1695</v>
      </c>
      <c r="P271" s="1211"/>
      <c r="Q271" s="1211"/>
      <c r="R271" s="1211"/>
      <c r="S271" s="1211"/>
      <c r="T271" s="1211"/>
      <c r="U271" s="1211"/>
      <c r="V271" s="1211"/>
      <c r="W271" s="1211"/>
      <c r="X271" s="1211"/>
      <c r="Y271" s="1211"/>
      <c r="Z271" s="1211"/>
      <c r="AA271" s="1211"/>
      <c r="AB271" s="1211"/>
      <c r="AC271" s="826"/>
      <c r="AD271" s="1211">
        <v>700000000</v>
      </c>
      <c r="AE271" s="1211"/>
      <c r="AF271" s="1211"/>
      <c r="AG271" s="1211"/>
      <c r="AH271" s="1211"/>
      <c r="AI271" s="826"/>
      <c r="AJ271" s="826"/>
      <c r="AK271" s="826"/>
      <c r="AL271" s="826"/>
      <c r="AM271" s="826"/>
      <c r="AN271" s="826"/>
      <c r="AO271" s="826"/>
      <c r="AP271" s="826"/>
      <c r="AQ271" s="826"/>
      <c r="AR271" s="1211"/>
      <c r="AS271" s="1211"/>
      <c r="AT271" s="1211"/>
      <c r="AU271" s="1211"/>
      <c r="AV271" s="1211"/>
      <c r="AW271" s="1216">
        <f aca="true" t="shared" si="31" ref="AW271:AW321">SUM(P271:AV271)</f>
        <v>700000000</v>
      </c>
      <c r="BA271" s="1208" t="s">
        <v>1842</v>
      </c>
      <c r="BB271" s="1208" t="s">
        <v>1850</v>
      </c>
      <c r="BC271" s="1208" t="s">
        <v>1850</v>
      </c>
      <c r="BD271" s="1208" t="s">
        <v>1850</v>
      </c>
      <c r="BE271" s="1208" t="s">
        <v>1850</v>
      </c>
      <c r="BF271" s="1208" t="s">
        <v>1851</v>
      </c>
      <c r="BG271" s="1208">
        <v>4</v>
      </c>
      <c r="BH271" s="1145"/>
      <c r="BI271" s="1145"/>
      <c r="BJ271" s="1145"/>
      <c r="BK271" s="1145"/>
      <c r="BL271" s="1145"/>
      <c r="BM271" s="1145"/>
      <c r="BN271" s="1145"/>
      <c r="BO271" s="1145"/>
      <c r="BP271" s="1145"/>
      <c r="BQ271" s="1145"/>
      <c r="BR271" s="1145"/>
      <c r="BS271" s="1145"/>
      <c r="BT271" s="1145"/>
      <c r="BU271" s="1145"/>
      <c r="BV271" s="1145"/>
      <c r="BW271" s="1145"/>
      <c r="BX271" s="1145"/>
      <c r="BY271" s="1145"/>
    </row>
    <row r="272" spans="1:77" ht="33.75">
      <c r="A272" s="1377"/>
      <c r="B272" s="1381"/>
      <c r="C272" s="1379"/>
      <c r="D272" s="1367"/>
      <c r="E272" s="1367"/>
      <c r="F272" s="365"/>
      <c r="G272" s="1379"/>
      <c r="H272" s="693"/>
      <c r="I272" s="751" t="s">
        <v>1282</v>
      </c>
      <c r="J272" s="692" t="s">
        <v>1283</v>
      </c>
      <c r="K272" s="367">
        <v>1</v>
      </c>
      <c r="L272" s="367">
        <v>1</v>
      </c>
      <c r="M272" s="367">
        <v>1</v>
      </c>
      <c r="N272" s="771">
        <v>1</v>
      </c>
      <c r="O272" s="1214"/>
      <c r="P272" s="1212"/>
      <c r="Q272" s="1212"/>
      <c r="R272" s="1212"/>
      <c r="S272" s="1212"/>
      <c r="T272" s="1212"/>
      <c r="U272" s="1212"/>
      <c r="V272" s="1212"/>
      <c r="W272" s="1212"/>
      <c r="X272" s="1212"/>
      <c r="Y272" s="1212"/>
      <c r="Z272" s="1212"/>
      <c r="AA272" s="1212"/>
      <c r="AB272" s="1212"/>
      <c r="AC272" s="460"/>
      <c r="AD272" s="1212"/>
      <c r="AE272" s="1212"/>
      <c r="AF272" s="1212"/>
      <c r="AG272" s="1212"/>
      <c r="AH272" s="1212"/>
      <c r="AI272" s="460"/>
      <c r="AJ272" s="460"/>
      <c r="AK272" s="460"/>
      <c r="AL272" s="460"/>
      <c r="AM272" s="460"/>
      <c r="AN272" s="460"/>
      <c r="AO272" s="460"/>
      <c r="AP272" s="460"/>
      <c r="AQ272" s="460"/>
      <c r="AR272" s="1212"/>
      <c r="AS272" s="1212"/>
      <c r="AT272" s="1212"/>
      <c r="AU272" s="1212"/>
      <c r="AV272" s="1212"/>
      <c r="AW272" s="1215">
        <f t="shared" si="31"/>
        <v>0</v>
      </c>
      <c r="BA272" s="1209"/>
      <c r="BB272" s="1209"/>
      <c r="BC272" s="1209"/>
      <c r="BD272" s="1209"/>
      <c r="BE272" s="1209"/>
      <c r="BF272" s="1209"/>
      <c r="BG272" s="1209"/>
      <c r="BH272" s="1145"/>
      <c r="BI272" s="1145"/>
      <c r="BJ272" s="1145"/>
      <c r="BK272" s="1145"/>
      <c r="BL272" s="1145"/>
      <c r="BM272" s="1145"/>
      <c r="BN272" s="1145"/>
      <c r="BO272" s="1145"/>
      <c r="BP272" s="1145"/>
      <c r="BQ272" s="1145"/>
      <c r="BR272" s="1145"/>
      <c r="BS272" s="1145"/>
      <c r="BT272" s="1145"/>
      <c r="BU272" s="1145"/>
      <c r="BV272" s="1145"/>
      <c r="BW272" s="1145"/>
      <c r="BX272" s="1145"/>
      <c r="BY272" s="1145"/>
    </row>
    <row r="273" spans="1:77" ht="63.75" customHeight="1" hidden="1">
      <c r="A273" s="1377"/>
      <c r="B273" s="1381"/>
      <c r="C273" s="1379"/>
      <c r="D273" s="1367"/>
      <c r="E273" s="1367"/>
      <c r="F273" s="365"/>
      <c r="G273" s="1379"/>
      <c r="H273" s="693"/>
      <c r="I273" s="751" t="s">
        <v>1284</v>
      </c>
      <c r="J273" s="692" t="s">
        <v>1285</v>
      </c>
      <c r="K273" s="367">
        <v>1</v>
      </c>
      <c r="L273" s="367">
        <v>1</v>
      </c>
      <c r="M273" s="367">
        <v>1</v>
      </c>
      <c r="N273" s="771">
        <v>1</v>
      </c>
      <c r="O273" s="1214"/>
      <c r="P273" s="1212"/>
      <c r="Q273" s="1212"/>
      <c r="R273" s="1212"/>
      <c r="S273" s="1212"/>
      <c r="T273" s="1212"/>
      <c r="U273" s="1212"/>
      <c r="V273" s="1212"/>
      <c r="W273" s="1212"/>
      <c r="X273" s="1212"/>
      <c r="Y273" s="1212"/>
      <c r="Z273" s="1212"/>
      <c r="AA273" s="1212"/>
      <c r="AB273" s="1212"/>
      <c r="AC273" s="460"/>
      <c r="AD273" s="1212"/>
      <c r="AE273" s="1212"/>
      <c r="AF273" s="1212"/>
      <c r="AG273" s="1212"/>
      <c r="AH273" s="1212"/>
      <c r="AI273" s="460"/>
      <c r="AJ273" s="460"/>
      <c r="AK273" s="460"/>
      <c r="AL273" s="460"/>
      <c r="AM273" s="460"/>
      <c r="AN273" s="460"/>
      <c r="AO273" s="460"/>
      <c r="AP273" s="460"/>
      <c r="AQ273" s="460"/>
      <c r="AR273" s="1212"/>
      <c r="AS273" s="1212"/>
      <c r="AT273" s="1212"/>
      <c r="AU273" s="1212"/>
      <c r="AV273" s="1212"/>
      <c r="AW273" s="1215">
        <f t="shared" si="31"/>
        <v>0</v>
      </c>
      <c r="BA273" s="1209"/>
      <c r="BB273" s="1209"/>
      <c r="BC273" s="1209"/>
      <c r="BD273" s="1209"/>
      <c r="BE273" s="1209"/>
      <c r="BF273" s="1209"/>
      <c r="BG273" s="1209"/>
      <c r="BH273" s="1145"/>
      <c r="BI273" s="1145"/>
      <c r="BJ273" s="1145"/>
      <c r="BK273" s="1145"/>
      <c r="BL273" s="1145"/>
      <c r="BM273" s="1145"/>
      <c r="BN273" s="1145"/>
      <c r="BO273" s="1145"/>
      <c r="BP273" s="1145"/>
      <c r="BQ273" s="1145"/>
      <c r="BR273" s="1145"/>
      <c r="BS273" s="1145"/>
      <c r="BT273" s="1145"/>
      <c r="BU273" s="1145"/>
      <c r="BV273" s="1145"/>
      <c r="BW273" s="1145"/>
      <c r="BX273" s="1145"/>
      <c r="BY273" s="1145"/>
    </row>
    <row r="274" spans="1:77" ht="51" customHeight="1" hidden="1">
      <c r="A274" s="1377"/>
      <c r="B274" s="1381"/>
      <c r="C274" s="1379"/>
      <c r="D274" s="1367"/>
      <c r="E274" s="1367"/>
      <c r="F274" s="365"/>
      <c r="G274" s="1379"/>
      <c r="H274" s="693"/>
      <c r="I274" s="751" t="s">
        <v>1286</v>
      </c>
      <c r="J274" s="692" t="s">
        <v>1287</v>
      </c>
      <c r="K274" s="367"/>
      <c r="L274" s="367">
        <v>1</v>
      </c>
      <c r="M274" s="367"/>
      <c r="N274" s="771"/>
      <c r="O274" s="1214"/>
      <c r="P274" s="1212"/>
      <c r="Q274" s="1212"/>
      <c r="R274" s="1212"/>
      <c r="S274" s="1212"/>
      <c r="T274" s="1212"/>
      <c r="U274" s="1212"/>
      <c r="V274" s="1212"/>
      <c r="W274" s="1212"/>
      <c r="X274" s="1212"/>
      <c r="Y274" s="1212"/>
      <c r="Z274" s="1212"/>
      <c r="AA274" s="1212"/>
      <c r="AB274" s="1212"/>
      <c r="AC274" s="460"/>
      <c r="AD274" s="1212"/>
      <c r="AE274" s="1212"/>
      <c r="AF274" s="1212"/>
      <c r="AG274" s="1212"/>
      <c r="AH274" s="1212"/>
      <c r="AI274" s="460"/>
      <c r="AJ274" s="460"/>
      <c r="AK274" s="460"/>
      <c r="AL274" s="460"/>
      <c r="AM274" s="460"/>
      <c r="AN274" s="460"/>
      <c r="AO274" s="460"/>
      <c r="AP274" s="460"/>
      <c r="AQ274" s="460"/>
      <c r="AR274" s="1212"/>
      <c r="AS274" s="1212"/>
      <c r="AT274" s="1212"/>
      <c r="AU274" s="1212"/>
      <c r="AV274" s="1212"/>
      <c r="AW274" s="1215">
        <f t="shared" si="31"/>
        <v>0</v>
      </c>
      <c r="BA274" s="1209"/>
      <c r="BB274" s="1209"/>
      <c r="BC274" s="1209"/>
      <c r="BD274" s="1209"/>
      <c r="BE274" s="1209"/>
      <c r="BF274" s="1209"/>
      <c r="BG274" s="1209"/>
      <c r="BH274" s="1145"/>
      <c r="BI274" s="1145"/>
      <c r="BJ274" s="1145"/>
      <c r="BK274" s="1145"/>
      <c r="BL274" s="1145"/>
      <c r="BM274" s="1145"/>
      <c r="BN274" s="1145"/>
      <c r="BO274" s="1145"/>
      <c r="BP274" s="1145"/>
      <c r="BQ274" s="1145"/>
      <c r="BR274" s="1145"/>
      <c r="BS274" s="1145"/>
      <c r="BT274" s="1145"/>
      <c r="BU274" s="1145"/>
      <c r="BV274" s="1145"/>
      <c r="BW274" s="1145"/>
      <c r="BX274" s="1145"/>
      <c r="BY274" s="1145"/>
    </row>
    <row r="275" spans="1:77" ht="76.5" customHeight="1" hidden="1">
      <c r="A275" s="1377"/>
      <c r="B275" s="1381"/>
      <c r="C275" s="1379"/>
      <c r="D275" s="1367"/>
      <c r="E275" s="1367"/>
      <c r="F275" s="365"/>
      <c r="G275" s="1379"/>
      <c r="H275" s="693"/>
      <c r="I275" s="751" t="s">
        <v>1288</v>
      </c>
      <c r="J275" s="692" t="s">
        <v>1289</v>
      </c>
      <c r="K275" s="367">
        <v>1</v>
      </c>
      <c r="L275" s="367">
        <v>1</v>
      </c>
      <c r="M275" s="367">
        <v>1</v>
      </c>
      <c r="N275" s="771">
        <v>1</v>
      </c>
      <c r="O275" s="1214"/>
      <c r="P275" s="1212"/>
      <c r="Q275" s="1212"/>
      <c r="R275" s="1212"/>
      <c r="S275" s="1212"/>
      <c r="T275" s="1212"/>
      <c r="U275" s="1212"/>
      <c r="V275" s="1212"/>
      <c r="W275" s="1212"/>
      <c r="X275" s="1212"/>
      <c r="Y275" s="1212"/>
      <c r="Z275" s="1212"/>
      <c r="AA275" s="1212"/>
      <c r="AB275" s="1212"/>
      <c r="AC275" s="460"/>
      <c r="AD275" s="1212"/>
      <c r="AE275" s="1212"/>
      <c r="AF275" s="1212"/>
      <c r="AG275" s="1212"/>
      <c r="AH275" s="1212"/>
      <c r="AI275" s="460"/>
      <c r="AJ275" s="460"/>
      <c r="AK275" s="460"/>
      <c r="AL275" s="460"/>
      <c r="AM275" s="460"/>
      <c r="AN275" s="460"/>
      <c r="AO275" s="460"/>
      <c r="AP275" s="460"/>
      <c r="AQ275" s="460"/>
      <c r="AR275" s="1212"/>
      <c r="AS275" s="1212"/>
      <c r="AT275" s="1212"/>
      <c r="AU275" s="1212"/>
      <c r="AV275" s="1212"/>
      <c r="AW275" s="1215">
        <f t="shared" si="31"/>
        <v>0</v>
      </c>
      <c r="BA275" s="1209"/>
      <c r="BB275" s="1209"/>
      <c r="BC275" s="1209"/>
      <c r="BD275" s="1209"/>
      <c r="BE275" s="1209"/>
      <c r="BF275" s="1209"/>
      <c r="BG275" s="1209"/>
      <c r="BH275" s="1145"/>
      <c r="BI275" s="1145"/>
      <c r="BJ275" s="1145"/>
      <c r="BK275" s="1145"/>
      <c r="BL275" s="1145"/>
      <c r="BM275" s="1145"/>
      <c r="BN275" s="1145"/>
      <c r="BO275" s="1145"/>
      <c r="BP275" s="1145"/>
      <c r="BQ275" s="1145"/>
      <c r="BR275" s="1145"/>
      <c r="BS275" s="1145"/>
      <c r="BT275" s="1145"/>
      <c r="BU275" s="1145"/>
      <c r="BV275" s="1145"/>
      <c r="BW275" s="1145"/>
      <c r="BX275" s="1145"/>
      <c r="BY275" s="1145"/>
    </row>
    <row r="276" spans="1:77" ht="76.5" customHeight="1" hidden="1">
      <c r="A276" s="1377"/>
      <c r="B276" s="1381"/>
      <c r="C276" s="1379"/>
      <c r="D276" s="1367"/>
      <c r="E276" s="1367"/>
      <c r="F276" s="365"/>
      <c r="G276" s="1379"/>
      <c r="H276" s="693"/>
      <c r="I276" s="751" t="s">
        <v>1290</v>
      </c>
      <c r="J276" s="692" t="s">
        <v>1291</v>
      </c>
      <c r="K276" s="367">
        <v>1</v>
      </c>
      <c r="L276" s="367">
        <v>1</v>
      </c>
      <c r="M276" s="367">
        <v>1</v>
      </c>
      <c r="N276" s="771">
        <v>1</v>
      </c>
      <c r="O276" s="1214"/>
      <c r="P276" s="1212"/>
      <c r="Q276" s="1212"/>
      <c r="R276" s="1212"/>
      <c r="S276" s="1212"/>
      <c r="T276" s="1212"/>
      <c r="U276" s="1212"/>
      <c r="V276" s="1212"/>
      <c r="W276" s="1212"/>
      <c r="X276" s="1212"/>
      <c r="Y276" s="1212"/>
      <c r="Z276" s="1212"/>
      <c r="AA276" s="1212"/>
      <c r="AB276" s="1212"/>
      <c r="AC276" s="460"/>
      <c r="AD276" s="1212"/>
      <c r="AE276" s="1212"/>
      <c r="AF276" s="1212"/>
      <c r="AG276" s="1212"/>
      <c r="AH276" s="1212"/>
      <c r="AI276" s="460"/>
      <c r="AJ276" s="460"/>
      <c r="AK276" s="460"/>
      <c r="AL276" s="460"/>
      <c r="AM276" s="460"/>
      <c r="AN276" s="460"/>
      <c r="AO276" s="460"/>
      <c r="AP276" s="460"/>
      <c r="AQ276" s="460"/>
      <c r="AR276" s="1212"/>
      <c r="AS276" s="1212"/>
      <c r="AT276" s="1212"/>
      <c r="AU276" s="1212"/>
      <c r="AV276" s="1212"/>
      <c r="AW276" s="1215">
        <f t="shared" si="31"/>
        <v>0</v>
      </c>
      <c r="BA276" s="1209"/>
      <c r="BB276" s="1209"/>
      <c r="BC276" s="1209"/>
      <c r="BD276" s="1209"/>
      <c r="BE276" s="1209"/>
      <c r="BF276" s="1209"/>
      <c r="BG276" s="1209"/>
      <c r="BH276" s="1145"/>
      <c r="BI276" s="1145"/>
      <c r="BJ276" s="1145"/>
      <c r="BK276" s="1145"/>
      <c r="BL276" s="1145"/>
      <c r="BM276" s="1145"/>
      <c r="BN276" s="1145"/>
      <c r="BO276" s="1145"/>
      <c r="BP276" s="1145"/>
      <c r="BQ276" s="1145"/>
      <c r="BR276" s="1145"/>
      <c r="BS276" s="1145"/>
      <c r="BT276" s="1145"/>
      <c r="BU276" s="1145"/>
      <c r="BV276" s="1145"/>
      <c r="BW276" s="1145"/>
      <c r="BX276" s="1145"/>
      <c r="BY276" s="1145"/>
    </row>
    <row r="277" spans="1:77" ht="38.25" customHeight="1" hidden="1">
      <c r="A277" s="1377"/>
      <c r="B277" s="1381"/>
      <c r="C277" s="1379"/>
      <c r="D277" s="1367"/>
      <c r="E277" s="1367"/>
      <c r="F277" s="365"/>
      <c r="G277" s="1379"/>
      <c r="H277" s="693"/>
      <c r="I277" s="751" t="s">
        <v>1292</v>
      </c>
      <c r="J277" s="692" t="s">
        <v>1293</v>
      </c>
      <c r="K277" s="367">
        <v>1</v>
      </c>
      <c r="L277" s="367"/>
      <c r="M277" s="367"/>
      <c r="N277" s="771"/>
      <c r="O277" s="1214"/>
      <c r="P277" s="1212"/>
      <c r="Q277" s="1212"/>
      <c r="R277" s="1212"/>
      <c r="S277" s="1212"/>
      <c r="T277" s="1212"/>
      <c r="U277" s="1212"/>
      <c r="V277" s="1212"/>
      <c r="W277" s="1212"/>
      <c r="X277" s="1212"/>
      <c r="Y277" s="1212"/>
      <c r="Z277" s="1212"/>
      <c r="AA277" s="1212"/>
      <c r="AB277" s="1212"/>
      <c r="AC277" s="460"/>
      <c r="AD277" s="1212"/>
      <c r="AE277" s="1212"/>
      <c r="AF277" s="1212"/>
      <c r="AG277" s="1212"/>
      <c r="AH277" s="1212"/>
      <c r="AI277" s="460"/>
      <c r="AJ277" s="460"/>
      <c r="AK277" s="460"/>
      <c r="AL277" s="460"/>
      <c r="AM277" s="460"/>
      <c r="AN277" s="460"/>
      <c r="AO277" s="460"/>
      <c r="AP277" s="460"/>
      <c r="AQ277" s="460"/>
      <c r="AR277" s="1212"/>
      <c r="AS277" s="1212"/>
      <c r="AT277" s="1212"/>
      <c r="AU277" s="1212"/>
      <c r="AV277" s="1212"/>
      <c r="AW277" s="1215">
        <f t="shared" si="31"/>
        <v>0</v>
      </c>
      <c r="BA277" s="1209"/>
      <c r="BB277" s="1209"/>
      <c r="BC277" s="1209"/>
      <c r="BD277" s="1209"/>
      <c r="BE277" s="1209"/>
      <c r="BF277" s="1209"/>
      <c r="BG277" s="1209"/>
      <c r="BH277" s="1145"/>
      <c r="BI277" s="1145"/>
      <c r="BJ277" s="1145"/>
      <c r="BK277" s="1145"/>
      <c r="BL277" s="1145"/>
      <c r="BM277" s="1145"/>
      <c r="BN277" s="1145"/>
      <c r="BO277" s="1145"/>
      <c r="BP277" s="1145"/>
      <c r="BQ277" s="1145"/>
      <c r="BR277" s="1145"/>
      <c r="BS277" s="1145"/>
      <c r="BT277" s="1145"/>
      <c r="BU277" s="1145"/>
      <c r="BV277" s="1145"/>
      <c r="BW277" s="1145"/>
      <c r="BX277" s="1145"/>
      <c r="BY277" s="1145"/>
    </row>
    <row r="278" spans="1:77" ht="51" customHeight="1" hidden="1">
      <c r="A278" s="1377"/>
      <c r="B278" s="1381"/>
      <c r="C278" s="1379"/>
      <c r="D278" s="1367"/>
      <c r="E278" s="1367"/>
      <c r="F278" s="365"/>
      <c r="G278" s="1379"/>
      <c r="H278" s="693"/>
      <c r="I278" s="751" t="s">
        <v>1294</v>
      </c>
      <c r="J278" s="692" t="s">
        <v>1295</v>
      </c>
      <c r="K278" s="367"/>
      <c r="L278" s="367">
        <v>1</v>
      </c>
      <c r="M278" s="367"/>
      <c r="N278" s="771"/>
      <c r="O278" s="1214"/>
      <c r="P278" s="1212"/>
      <c r="Q278" s="1212"/>
      <c r="R278" s="1212"/>
      <c r="S278" s="1212"/>
      <c r="T278" s="1212"/>
      <c r="U278" s="1212"/>
      <c r="V278" s="1212"/>
      <c r="W278" s="1212"/>
      <c r="X278" s="1212"/>
      <c r="Y278" s="1212"/>
      <c r="Z278" s="1212"/>
      <c r="AA278" s="1212"/>
      <c r="AB278" s="1212"/>
      <c r="AC278" s="460"/>
      <c r="AD278" s="1212"/>
      <c r="AE278" s="1212"/>
      <c r="AF278" s="1212"/>
      <c r="AG278" s="1212"/>
      <c r="AH278" s="1212"/>
      <c r="AI278" s="460"/>
      <c r="AJ278" s="460"/>
      <c r="AK278" s="460"/>
      <c r="AL278" s="460"/>
      <c r="AM278" s="460"/>
      <c r="AN278" s="460"/>
      <c r="AO278" s="460"/>
      <c r="AP278" s="460"/>
      <c r="AQ278" s="460"/>
      <c r="AR278" s="1212"/>
      <c r="AS278" s="1212"/>
      <c r="AT278" s="1212"/>
      <c r="AU278" s="1212"/>
      <c r="AV278" s="1212"/>
      <c r="AW278" s="1215">
        <f t="shared" si="31"/>
        <v>0</v>
      </c>
      <c r="BA278" s="1209"/>
      <c r="BB278" s="1209"/>
      <c r="BC278" s="1209"/>
      <c r="BD278" s="1209"/>
      <c r="BE278" s="1209"/>
      <c r="BF278" s="1209"/>
      <c r="BG278" s="1209"/>
      <c r="BH278" s="1145"/>
      <c r="BI278" s="1145"/>
      <c r="BJ278" s="1145"/>
      <c r="BK278" s="1145"/>
      <c r="BL278" s="1145"/>
      <c r="BM278" s="1145"/>
      <c r="BN278" s="1145"/>
      <c r="BO278" s="1145"/>
      <c r="BP278" s="1145"/>
      <c r="BQ278" s="1145"/>
      <c r="BR278" s="1145"/>
      <c r="BS278" s="1145"/>
      <c r="BT278" s="1145"/>
      <c r="BU278" s="1145"/>
      <c r="BV278" s="1145"/>
      <c r="BW278" s="1145"/>
      <c r="BX278" s="1145"/>
      <c r="BY278" s="1145"/>
    </row>
    <row r="279" spans="1:77" ht="63.75">
      <c r="A279" s="1377"/>
      <c r="B279" s="1381"/>
      <c r="C279" s="1379"/>
      <c r="D279" s="1367"/>
      <c r="E279" s="1367"/>
      <c r="F279" s="365"/>
      <c r="G279" s="1379"/>
      <c r="H279" s="693"/>
      <c r="I279" s="751" t="s">
        <v>1296</v>
      </c>
      <c r="J279" s="692" t="s">
        <v>1297</v>
      </c>
      <c r="K279" s="367">
        <v>1</v>
      </c>
      <c r="L279" s="367">
        <v>1</v>
      </c>
      <c r="M279" s="367">
        <v>1</v>
      </c>
      <c r="N279" s="771">
        <v>1</v>
      </c>
      <c r="O279" s="1214"/>
      <c r="P279" s="1212"/>
      <c r="Q279" s="1212"/>
      <c r="R279" s="1212"/>
      <c r="S279" s="1212"/>
      <c r="T279" s="1212"/>
      <c r="U279" s="1212"/>
      <c r="V279" s="1212"/>
      <c r="W279" s="1212"/>
      <c r="X279" s="1212"/>
      <c r="Y279" s="1212"/>
      <c r="Z279" s="1212"/>
      <c r="AA279" s="1212"/>
      <c r="AB279" s="1212"/>
      <c r="AC279" s="460"/>
      <c r="AD279" s="1212"/>
      <c r="AE279" s="1212"/>
      <c r="AF279" s="1212"/>
      <c r="AG279" s="1212"/>
      <c r="AH279" s="1212"/>
      <c r="AI279" s="460"/>
      <c r="AJ279" s="460"/>
      <c r="AK279" s="460"/>
      <c r="AL279" s="460"/>
      <c r="AM279" s="460"/>
      <c r="AN279" s="460"/>
      <c r="AO279" s="460"/>
      <c r="AP279" s="460"/>
      <c r="AQ279" s="460"/>
      <c r="AR279" s="1212"/>
      <c r="AS279" s="1212"/>
      <c r="AT279" s="1212"/>
      <c r="AU279" s="1212"/>
      <c r="AV279" s="1212"/>
      <c r="AW279" s="1215">
        <f t="shared" si="31"/>
        <v>0</v>
      </c>
      <c r="BA279" s="1209"/>
      <c r="BB279" s="1209"/>
      <c r="BC279" s="1209"/>
      <c r="BD279" s="1209"/>
      <c r="BE279" s="1209"/>
      <c r="BF279" s="1209"/>
      <c r="BG279" s="1209"/>
      <c r="BH279" s="1145"/>
      <c r="BI279" s="1145"/>
      <c r="BJ279" s="1145"/>
      <c r="BK279" s="1145"/>
      <c r="BL279" s="1145"/>
      <c r="BM279" s="1145"/>
      <c r="BN279" s="1145"/>
      <c r="BO279" s="1145"/>
      <c r="BP279" s="1145"/>
      <c r="BQ279" s="1145"/>
      <c r="BR279" s="1145"/>
      <c r="BS279" s="1145"/>
      <c r="BT279" s="1145"/>
      <c r="BU279" s="1145"/>
      <c r="BV279" s="1145"/>
      <c r="BW279" s="1145"/>
      <c r="BX279" s="1145"/>
      <c r="BY279" s="1145"/>
    </row>
    <row r="280" spans="1:77" ht="76.5" customHeight="1" hidden="1">
      <c r="A280" s="1377"/>
      <c r="B280" s="1381"/>
      <c r="C280" s="1379"/>
      <c r="D280" s="1367"/>
      <c r="E280" s="1367"/>
      <c r="F280" s="365"/>
      <c r="G280" s="1379"/>
      <c r="H280" s="693"/>
      <c r="I280" s="751" t="s">
        <v>1298</v>
      </c>
      <c r="J280" s="692" t="s">
        <v>1299</v>
      </c>
      <c r="K280" s="367">
        <v>1</v>
      </c>
      <c r="L280" s="367">
        <v>1</v>
      </c>
      <c r="M280" s="367">
        <v>1</v>
      </c>
      <c r="N280" s="771">
        <v>1</v>
      </c>
      <c r="O280" s="1214"/>
      <c r="P280" s="1212"/>
      <c r="Q280" s="1212"/>
      <c r="R280" s="1212"/>
      <c r="S280" s="1212"/>
      <c r="T280" s="1212"/>
      <c r="U280" s="1212"/>
      <c r="V280" s="1212"/>
      <c r="W280" s="1212"/>
      <c r="X280" s="1212"/>
      <c r="Y280" s="1212"/>
      <c r="Z280" s="1212"/>
      <c r="AA280" s="1212"/>
      <c r="AB280" s="1212"/>
      <c r="AC280" s="460"/>
      <c r="AD280" s="1212"/>
      <c r="AE280" s="1212"/>
      <c r="AF280" s="1212"/>
      <c r="AG280" s="1212"/>
      <c r="AH280" s="1212"/>
      <c r="AI280" s="460"/>
      <c r="AJ280" s="460"/>
      <c r="AK280" s="460"/>
      <c r="AL280" s="460"/>
      <c r="AM280" s="460"/>
      <c r="AN280" s="460"/>
      <c r="AO280" s="460"/>
      <c r="AP280" s="460"/>
      <c r="AQ280" s="460"/>
      <c r="AR280" s="1212"/>
      <c r="AS280" s="1212"/>
      <c r="AT280" s="1212"/>
      <c r="AU280" s="1212"/>
      <c r="AV280" s="1212"/>
      <c r="AW280" s="1215">
        <f t="shared" si="31"/>
        <v>0</v>
      </c>
      <c r="BA280" s="1209"/>
      <c r="BB280" s="1209"/>
      <c r="BC280" s="1209"/>
      <c r="BD280" s="1209"/>
      <c r="BE280" s="1209"/>
      <c r="BF280" s="1209"/>
      <c r="BG280" s="1209"/>
      <c r="BH280" s="1145"/>
      <c r="BI280" s="1145"/>
      <c r="BJ280" s="1145"/>
      <c r="BK280" s="1145"/>
      <c r="BL280" s="1145"/>
      <c r="BM280" s="1145"/>
      <c r="BN280" s="1145"/>
      <c r="BO280" s="1145"/>
      <c r="BP280" s="1145"/>
      <c r="BQ280" s="1145"/>
      <c r="BR280" s="1145"/>
      <c r="BS280" s="1145"/>
      <c r="BT280" s="1145"/>
      <c r="BU280" s="1145"/>
      <c r="BV280" s="1145"/>
      <c r="BW280" s="1145"/>
      <c r="BX280" s="1145"/>
      <c r="BY280" s="1145"/>
    </row>
    <row r="281" spans="1:77" ht="56.25" customHeight="1" hidden="1">
      <c r="A281" s="1377"/>
      <c r="B281" s="1381"/>
      <c r="C281" s="1379"/>
      <c r="D281" s="1367"/>
      <c r="E281" s="1367"/>
      <c r="F281" s="365"/>
      <c r="G281" s="1379"/>
      <c r="H281" s="693"/>
      <c r="I281" s="751" t="s">
        <v>1300</v>
      </c>
      <c r="J281" s="692" t="s">
        <v>1301</v>
      </c>
      <c r="K281" s="367"/>
      <c r="L281" s="367">
        <v>1</v>
      </c>
      <c r="M281" s="367"/>
      <c r="N281" s="771"/>
      <c r="O281" s="1214"/>
      <c r="P281" s="1212"/>
      <c r="Q281" s="1212"/>
      <c r="R281" s="1212"/>
      <c r="S281" s="1212"/>
      <c r="T281" s="1212"/>
      <c r="U281" s="1212"/>
      <c r="V281" s="1212"/>
      <c r="W281" s="1212"/>
      <c r="X281" s="1212"/>
      <c r="Y281" s="1212"/>
      <c r="Z281" s="1212"/>
      <c r="AA281" s="1212"/>
      <c r="AB281" s="1212"/>
      <c r="AC281" s="460"/>
      <c r="AD281" s="1212"/>
      <c r="AE281" s="1212"/>
      <c r="AF281" s="1212"/>
      <c r="AG281" s="1212"/>
      <c r="AH281" s="1212"/>
      <c r="AI281" s="460"/>
      <c r="AJ281" s="460"/>
      <c r="AK281" s="460"/>
      <c r="AL281" s="460"/>
      <c r="AM281" s="460"/>
      <c r="AN281" s="460"/>
      <c r="AO281" s="460"/>
      <c r="AP281" s="460"/>
      <c r="AQ281" s="460"/>
      <c r="AR281" s="1212"/>
      <c r="AS281" s="1212"/>
      <c r="AT281" s="1212"/>
      <c r="AU281" s="1212"/>
      <c r="AV281" s="1212"/>
      <c r="AW281" s="1215">
        <f t="shared" si="31"/>
        <v>0</v>
      </c>
      <c r="BA281" s="1209"/>
      <c r="BB281" s="1209"/>
      <c r="BC281" s="1209"/>
      <c r="BD281" s="1209"/>
      <c r="BE281" s="1209"/>
      <c r="BF281" s="1209"/>
      <c r="BG281" s="1209"/>
      <c r="BH281" s="1145"/>
      <c r="BI281" s="1145"/>
      <c r="BJ281" s="1145"/>
      <c r="BK281" s="1145"/>
      <c r="BL281" s="1145"/>
      <c r="BM281" s="1145"/>
      <c r="BN281" s="1145"/>
      <c r="BO281" s="1145"/>
      <c r="BP281" s="1145"/>
      <c r="BQ281" s="1145"/>
      <c r="BR281" s="1145"/>
      <c r="BS281" s="1145"/>
      <c r="BT281" s="1145"/>
      <c r="BU281" s="1145"/>
      <c r="BV281" s="1145"/>
      <c r="BW281" s="1145"/>
      <c r="BX281" s="1145"/>
      <c r="BY281" s="1145"/>
    </row>
    <row r="282" spans="1:77" ht="63.75" customHeight="1" hidden="1">
      <c r="A282" s="1377"/>
      <c r="B282" s="1381"/>
      <c r="C282" s="1379"/>
      <c r="D282" s="1367"/>
      <c r="E282" s="1367"/>
      <c r="F282" s="365"/>
      <c r="G282" s="1379"/>
      <c r="H282" s="693"/>
      <c r="I282" s="751" t="s">
        <v>1302</v>
      </c>
      <c r="J282" s="692" t="s">
        <v>1303</v>
      </c>
      <c r="K282" s="367"/>
      <c r="L282" s="367">
        <v>1</v>
      </c>
      <c r="M282" s="367"/>
      <c r="N282" s="771"/>
      <c r="O282" s="1214"/>
      <c r="P282" s="1212"/>
      <c r="Q282" s="1212"/>
      <c r="R282" s="1212"/>
      <c r="S282" s="1212"/>
      <c r="T282" s="1212"/>
      <c r="U282" s="1212"/>
      <c r="V282" s="1212"/>
      <c r="W282" s="1212"/>
      <c r="X282" s="1212"/>
      <c r="Y282" s="1212"/>
      <c r="Z282" s="1212"/>
      <c r="AA282" s="1212"/>
      <c r="AB282" s="1212"/>
      <c r="AC282" s="460"/>
      <c r="AD282" s="1212"/>
      <c r="AE282" s="1212"/>
      <c r="AF282" s="1212"/>
      <c r="AG282" s="1212"/>
      <c r="AH282" s="1212"/>
      <c r="AI282" s="460"/>
      <c r="AJ282" s="460"/>
      <c r="AK282" s="460"/>
      <c r="AL282" s="460"/>
      <c r="AM282" s="460"/>
      <c r="AN282" s="460"/>
      <c r="AO282" s="460"/>
      <c r="AP282" s="460"/>
      <c r="AQ282" s="460"/>
      <c r="AR282" s="1212"/>
      <c r="AS282" s="1212"/>
      <c r="AT282" s="1212"/>
      <c r="AU282" s="1212"/>
      <c r="AV282" s="1212"/>
      <c r="AW282" s="1215">
        <f t="shared" si="31"/>
        <v>0</v>
      </c>
      <c r="BA282" s="1209"/>
      <c r="BB282" s="1209"/>
      <c r="BC282" s="1209"/>
      <c r="BD282" s="1209"/>
      <c r="BE282" s="1209"/>
      <c r="BF282" s="1209"/>
      <c r="BG282" s="1209"/>
      <c r="BH282" s="1145"/>
      <c r="BI282" s="1145"/>
      <c r="BJ282" s="1145"/>
      <c r="BK282" s="1145"/>
      <c r="BL282" s="1145"/>
      <c r="BM282" s="1145"/>
      <c r="BN282" s="1145"/>
      <c r="BO282" s="1145"/>
      <c r="BP282" s="1145"/>
      <c r="BQ282" s="1145"/>
      <c r="BR282" s="1145"/>
      <c r="BS282" s="1145"/>
      <c r="BT282" s="1145"/>
      <c r="BU282" s="1145"/>
      <c r="BV282" s="1145"/>
      <c r="BW282" s="1145"/>
      <c r="BX282" s="1145"/>
      <c r="BY282" s="1145"/>
    </row>
    <row r="283" spans="1:77" ht="56.25" customHeight="1" hidden="1">
      <c r="A283" s="1377"/>
      <c r="B283" s="1381"/>
      <c r="C283" s="1379"/>
      <c r="D283" s="1367"/>
      <c r="E283" s="1367"/>
      <c r="F283" s="365"/>
      <c r="G283" s="1379"/>
      <c r="H283" s="693"/>
      <c r="I283" s="751" t="s">
        <v>1304</v>
      </c>
      <c r="J283" s="692" t="s">
        <v>1305</v>
      </c>
      <c r="K283" s="367">
        <v>1</v>
      </c>
      <c r="L283" s="367">
        <v>1</v>
      </c>
      <c r="M283" s="367">
        <v>1</v>
      </c>
      <c r="N283" s="771">
        <v>1</v>
      </c>
      <c r="O283" s="1214"/>
      <c r="P283" s="1212"/>
      <c r="Q283" s="1212"/>
      <c r="R283" s="1212"/>
      <c r="S283" s="1212"/>
      <c r="T283" s="1212"/>
      <c r="U283" s="1212"/>
      <c r="V283" s="1212"/>
      <c r="W283" s="1212"/>
      <c r="X283" s="1212"/>
      <c r="Y283" s="1212"/>
      <c r="Z283" s="1212"/>
      <c r="AA283" s="1212"/>
      <c r="AB283" s="1212"/>
      <c r="AC283" s="460"/>
      <c r="AD283" s="1212"/>
      <c r="AE283" s="1212"/>
      <c r="AF283" s="1212"/>
      <c r="AG283" s="1212"/>
      <c r="AH283" s="1212"/>
      <c r="AI283" s="460"/>
      <c r="AJ283" s="460"/>
      <c r="AK283" s="460"/>
      <c r="AL283" s="460"/>
      <c r="AM283" s="460"/>
      <c r="AN283" s="460"/>
      <c r="AO283" s="460"/>
      <c r="AP283" s="460"/>
      <c r="AQ283" s="460"/>
      <c r="AR283" s="1212"/>
      <c r="AS283" s="1212"/>
      <c r="AT283" s="1212"/>
      <c r="AU283" s="1212"/>
      <c r="AV283" s="1212"/>
      <c r="AW283" s="1215">
        <f t="shared" si="31"/>
        <v>0</v>
      </c>
      <c r="BA283" s="1209"/>
      <c r="BB283" s="1209"/>
      <c r="BC283" s="1209"/>
      <c r="BD283" s="1209"/>
      <c r="BE283" s="1209"/>
      <c r="BF283" s="1209"/>
      <c r="BG283" s="1209"/>
      <c r="BH283" s="1145"/>
      <c r="BI283" s="1145"/>
      <c r="BJ283" s="1145"/>
      <c r="BK283" s="1145"/>
      <c r="BL283" s="1145"/>
      <c r="BM283" s="1145"/>
      <c r="BN283" s="1145"/>
      <c r="BO283" s="1145"/>
      <c r="BP283" s="1145"/>
      <c r="BQ283" s="1145"/>
      <c r="BR283" s="1145"/>
      <c r="BS283" s="1145"/>
      <c r="BT283" s="1145"/>
      <c r="BU283" s="1145"/>
      <c r="BV283" s="1145"/>
      <c r="BW283" s="1145"/>
      <c r="BX283" s="1145"/>
      <c r="BY283" s="1145"/>
    </row>
    <row r="284" spans="1:77" ht="90.75" customHeight="1" hidden="1">
      <c r="A284" s="1377"/>
      <c r="B284" s="1381"/>
      <c r="C284" s="1379"/>
      <c r="D284" s="1367"/>
      <c r="E284" s="1367"/>
      <c r="F284" s="365"/>
      <c r="G284" s="1379"/>
      <c r="H284" s="693"/>
      <c r="I284" s="751" t="s">
        <v>1306</v>
      </c>
      <c r="J284" s="692" t="s">
        <v>1307</v>
      </c>
      <c r="K284" s="367">
        <v>1</v>
      </c>
      <c r="L284" s="367">
        <v>1</v>
      </c>
      <c r="M284" s="367">
        <v>1</v>
      </c>
      <c r="N284" s="771">
        <v>1</v>
      </c>
      <c r="O284" s="1214"/>
      <c r="P284" s="1212"/>
      <c r="Q284" s="1212"/>
      <c r="R284" s="1212"/>
      <c r="S284" s="1212"/>
      <c r="T284" s="1212"/>
      <c r="U284" s="1212"/>
      <c r="V284" s="1212"/>
      <c r="W284" s="1212"/>
      <c r="X284" s="1212"/>
      <c r="Y284" s="1212"/>
      <c r="Z284" s="1212"/>
      <c r="AA284" s="1212"/>
      <c r="AB284" s="1212"/>
      <c r="AC284" s="460"/>
      <c r="AD284" s="1212"/>
      <c r="AE284" s="1212"/>
      <c r="AF284" s="1212"/>
      <c r="AG284" s="1212"/>
      <c r="AH284" s="1212"/>
      <c r="AI284" s="460"/>
      <c r="AJ284" s="460"/>
      <c r="AK284" s="460"/>
      <c r="AL284" s="460"/>
      <c r="AM284" s="460"/>
      <c r="AN284" s="460"/>
      <c r="AO284" s="460"/>
      <c r="AP284" s="460"/>
      <c r="AQ284" s="460"/>
      <c r="AR284" s="1212"/>
      <c r="AS284" s="1212"/>
      <c r="AT284" s="1212"/>
      <c r="AU284" s="1212"/>
      <c r="AV284" s="1212"/>
      <c r="AW284" s="1215">
        <f t="shared" si="31"/>
        <v>0</v>
      </c>
      <c r="BA284" s="1209"/>
      <c r="BB284" s="1209"/>
      <c r="BC284" s="1209"/>
      <c r="BD284" s="1209"/>
      <c r="BE284" s="1209"/>
      <c r="BF284" s="1209"/>
      <c r="BG284" s="1209"/>
      <c r="BH284" s="1145"/>
      <c r="BI284" s="1145"/>
      <c r="BJ284" s="1145"/>
      <c r="BK284" s="1145"/>
      <c r="BL284" s="1145"/>
      <c r="BM284" s="1145"/>
      <c r="BN284" s="1145"/>
      <c r="BO284" s="1145"/>
      <c r="BP284" s="1145"/>
      <c r="BQ284" s="1145"/>
      <c r="BR284" s="1145"/>
      <c r="BS284" s="1145"/>
      <c r="BT284" s="1145"/>
      <c r="BU284" s="1145"/>
      <c r="BV284" s="1145"/>
      <c r="BW284" s="1145"/>
      <c r="BX284" s="1145"/>
      <c r="BY284" s="1145"/>
    </row>
    <row r="285" spans="1:77" ht="51" customHeight="1" hidden="1">
      <c r="A285" s="1377"/>
      <c r="B285" s="1381"/>
      <c r="C285" s="1379"/>
      <c r="D285" s="1367"/>
      <c r="E285" s="1367"/>
      <c r="F285" s="365"/>
      <c r="G285" s="1379"/>
      <c r="H285" s="693"/>
      <c r="I285" s="751" t="s">
        <v>1308</v>
      </c>
      <c r="J285" s="692" t="s">
        <v>1309</v>
      </c>
      <c r="K285" s="367">
        <v>1</v>
      </c>
      <c r="L285" s="367">
        <v>0</v>
      </c>
      <c r="M285" s="367"/>
      <c r="N285" s="771"/>
      <c r="O285" s="1214"/>
      <c r="P285" s="1212"/>
      <c r="Q285" s="1212"/>
      <c r="R285" s="1212"/>
      <c r="S285" s="1212"/>
      <c r="T285" s="1212"/>
      <c r="U285" s="1212"/>
      <c r="V285" s="1212"/>
      <c r="W285" s="1212"/>
      <c r="X285" s="1212"/>
      <c r="Y285" s="1212"/>
      <c r="Z285" s="1212"/>
      <c r="AA285" s="1212"/>
      <c r="AB285" s="1212"/>
      <c r="AC285" s="460"/>
      <c r="AD285" s="1212"/>
      <c r="AE285" s="1212"/>
      <c r="AF285" s="1212"/>
      <c r="AG285" s="1212"/>
      <c r="AH285" s="1212"/>
      <c r="AI285" s="460"/>
      <c r="AJ285" s="460"/>
      <c r="AK285" s="460"/>
      <c r="AL285" s="460"/>
      <c r="AM285" s="460"/>
      <c r="AN285" s="460"/>
      <c r="AO285" s="460"/>
      <c r="AP285" s="460"/>
      <c r="AQ285" s="460"/>
      <c r="AR285" s="1212"/>
      <c r="AS285" s="1212"/>
      <c r="AT285" s="1212"/>
      <c r="AU285" s="1212"/>
      <c r="AV285" s="1212"/>
      <c r="AW285" s="1215">
        <f t="shared" si="31"/>
        <v>0</v>
      </c>
      <c r="BA285" s="1209"/>
      <c r="BB285" s="1209"/>
      <c r="BC285" s="1209"/>
      <c r="BD285" s="1209"/>
      <c r="BE285" s="1209"/>
      <c r="BF285" s="1209"/>
      <c r="BG285" s="1209"/>
      <c r="BH285" s="1145"/>
      <c r="BI285" s="1145"/>
      <c r="BJ285" s="1145"/>
      <c r="BK285" s="1145"/>
      <c r="BL285" s="1145"/>
      <c r="BM285" s="1145"/>
      <c r="BN285" s="1145"/>
      <c r="BO285" s="1145"/>
      <c r="BP285" s="1145"/>
      <c r="BQ285" s="1145"/>
      <c r="BR285" s="1145"/>
      <c r="BS285" s="1145"/>
      <c r="BT285" s="1145"/>
      <c r="BU285" s="1145"/>
      <c r="BV285" s="1145"/>
      <c r="BW285" s="1145"/>
      <c r="BX285" s="1145"/>
      <c r="BY285" s="1145"/>
    </row>
    <row r="286" spans="1:77" ht="89.25">
      <c r="A286" s="1377"/>
      <c r="B286" s="1381"/>
      <c r="C286" s="1379"/>
      <c r="D286" s="1367"/>
      <c r="E286" s="1367"/>
      <c r="F286" s="365"/>
      <c r="G286" s="1379"/>
      <c r="H286" s="693"/>
      <c r="I286" s="751" t="s">
        <v>1310</v>
      </c>
      <c r="J286" s="692" t="s">
        <v>1311</v>
      </c>
      <c r="K286" s="367"/>
      <c r="L286" s="367">
        <v>1</v>
      </c>
      <c r="M286" s="367">
        <v>1</v>
      </c>
      <c r="N286" s="771">
        <v>1</v>
      </c>
      <c r="O286" s="1214"/>
      <c r="P286" s="1212"/>
      <c r="Q286" s="1212"/>
      <c r="R286" s="1212"/>
      <c r="S286" s="1212"/>
      <c r="T286" s="1212"/>
      <c r="U286" s="1212"/>
      <c r="V286" s="1212"/>
      <c r="W286" s="1212"/>
      <c r="X286" s="1212"/>
      <c r="Y286" s="1212"/>
      <c r="Z286" s="1212"/>
      <c r="AA286" s="1212"/>
      <c r="AB286" s="1212"/>
      <c r="AC286" s="460"/>
      <c r="AD286" s="1212"/>
      <c r="AE286" s="1212"/>
      <c r="AF286" s="1212"/>
      <c r="AG286" s="1212"/>
      <c r="AH286" s="1212"/>
      <c r="AI286" s="460"/>
      <c r="AJ286" s="460"/>
      <c r="AK286" s="460"/>
      <c r="AL286" s="460"/>
      <c r="AM286" s="460"/>
      <c r="AN286" s="460"/>
      <c r="AO286" s="460"/>
      <c r="AP286" s="460"/>
      <c r="AQ286" s="460"/>
      <c r="AR286" s="1212"/>
      <c r="AS286" s="1212"/>
      <c r="AT286" s="1212"/>
      <c r="AU286" s="1212"/>
      <c r="AV286" s="1212"/>
      <c r="AW286" s="1215">
        <f t="shared" si="31"/>
        <v>0</v>
      </c>
      <c r="BA286" s="1209"/>
      <c r="BB286" s="1209"/>
      <c r="BC286" s="1209"/>
      <c r="BD286" s="1209"/>
      <c r="BE286" s="1209"/>
      <c r="BF286" s="1209"/>
      <c r="BG286" s="1209"/>
      <c r="BH286" s="1145"/>
      <c r="BI286" s="1145"/>
      <c r="BJ286" s="1145"/>
      <c r="BK286" s="1145"/>
      <c r="BL286" s="1145"/>
      <c r="BM286" s="1145"/>
      <c r="BN286" s="1145"/>
      <c r="BO286" s="1145"/>
      <c r="BP286" s="1145"/>
      <c r="BQ286" s="1145"/>
      <c r="BR286" s="1145"/>
      <c r="BS286" s="1145"/>
      <c r="BT286" s="1145"/>
      <c r="BU286" s="1145"/>
      <c r="BV286" s="1145"/>
      <c r="BW286" s="1145"/>
      <c r="BX286" s="1145"/>
      <c r="BY286" s="1145"/>
    </row>
    <row r="287" spans="1:77" ht="76.5">
      <c r="A287" s="1377"/>
      <c r="B287" s="1381"/>
      <c r="C287" s="1379"/>
      <c r="D287" s="1367"/>
      <c r="E287" s="1367"/>
      <c r="F287" s="365"/>
      <c r="G287" s="1379"/>
      <c r="H287" s="693"/>
      <c r="I287" s="751" t="s">
        <v>1312</v>
      </c>
      <c r="J287" s="692" t="s">
        <v>1313</v>
      </c>
      <c r="K287" s="367">
        <v>1</v>
      </c>
      <c r="L287" s="367">
        <v>1</v>
      </c>
      <c r="M287" s="367">
        <v>1</v>
      </c>
      <c r="N287" s="771">
        <v>1</v>
      </c>
      <c r="O287" s="1214"/>
      <c r="P287" s="1212"/>
      <c r="Q287" s="1212"/>
      <c r="R287" s="1212"/>
      <c r="S287" s="1212"/>
      <c r="T287" s="1212"/>
      <c r="U287" s="1212"/>
      <c r="V287" s="1212"/>
      <c r="W287" s="1212"/>
      <c r="X287" s="1212"/>
      <c r="Y287" s="1212"/>
      <c r="Z287" s="1212"/>
      <c r="AA287" s="1212"/>
      <c r="AB287" s="1212"/>
      <c r="AC287" s="460"/>
      <c r="AD287" s="1212"/>
      <c r="AE287" s="1212"/>
      <c r="AF287" s="1212"/>
      <c r="AG287" s="1212"/>
      <c r="AH287" s="1212"/>
      <c r="AI287" s="460"/>
      <c r="AJ287" s="460"/>
      <c r="AK287" s="460"/>
      <c r="AL287" s="460"/>
      <c r="AM287" s="460"/>
      <c r="AN287" s="460"/>
      <c r="AO287" s="460"/>
      <c r="AP287" s="460"/>
      <c r="AQ287" s="460"/>
      <c r="AR287" s="1212"/>
      <c r="AS287" s="1212"/>
      <c r="AT287" s="1212"/>
      <c r="AU287" s="1212"/>
      <c r="AV287" s="1212"/>
      <c r="AW287" s="1215">
        <f t="shared" si="31"/>
        <v>0</v>
      </c>
      <c r="BA287" s="1209"/>
      <c r="BB287" s="1209"/>
      <c r="BC287" s="1209"/>
      <c r="BD287" s="1209"/>
      <c r="BE287" s="1209"/>
      <c r="BF287" s="1209"/>
      <c r="BG287" s="1209"/>
      <c r="BH287" s="1145"/>
      <c r="BI287" s="1145"/>
      <c r="BJ287" s="1145"/>
      <c r="BK287" s="1145"/>
      <c r="BL287" s="1145"/>
      <c r="BM287" s="1145"/>
      <c r="BN287" s="1145"/>
      <c r="BO287" s="1145"/>
      <c r="BP287" s="1145"/>
      <c r="BQ287" s="1145"/>
      <c r="BR287" s="1145"/>
      <c r="BS287" s="1145"/>
      <c r="BT287" s="1145"/>
      <c r="BU287" s="1145"/>
      <c r="BV287" s="1145"/>
      <c r="BW287" s="1145"/>
      <c r="BX287" s="1145"/>
      <c r="BY287" s="1145"/>
    </row>
    <row r="288" spans="1:77" ht="51" customHeight="1" hidden="1">
      <c r="A288" s="1377"/>
      <c r="B288" s="1381"/>
      <c r="C288" s="1379"/>
      <c r="D288" s="1367"/>
      <c r="E288" s="1367"/>
      <c r="F288" s="365"/>
      <c r="G288" s="1379"/>
      <c r="H288" s="693"/>
      <c r="I288" s="751" t="s">
        <v>1314</v>
      </c>
      <c r="J288" s="692" t="s">
        <v>1315</v>
      </c>
      <c r="K288" s="367"/>
      <c r="L288" s="367">
        <v>1</v>
      </c>
      <c r="M288" s="367"/>
      <c r="N288" s="771"/>
      <c r="O288" s="1214"/>
      <c r="P288" s="1212"/>
      <c r="Q288" s="1212"/>
      <c r="R288" s="1212"/>
      <c r="S288" s="1212"/>
      <c r="T288" s="1212"/>
      <c r="U288" s="1212"/>
      <c r="V288" s="1212"/>
      <c r="W288" s="1212"/>
      <c r="X288" s="1212"/>
      <c r="Y288" s="1212"/>
      <c r="Z288" s="1212"/>
      <c r="AA288" s="1212"/>
      <c r="AB288" s="1212"/>
      <c r="AC288" s="460"/>
      <c r="AD288" s="1212"/>
      <c r="AE288" s="1212"/>
      <c r="AF288" s="1212"/>
      <c r="AG288" s="1212"/>
      <c r="AH288" s="1212"/>
      <c r="AI288" s="460"/>
      <c r="AJ288" s="460"/>
      <c r="AK288" s="460"/>
      <c r="AL288" s="460"/>
      <c r="AM288" s="460"/>
      <c r="AN288" s="460"/>
      <c r="AO288" s="460"/>
      <c r="AP288" s="460"/>
      <c r="AQ288" s="460"/>
      <c r="AR288" s="1212"/>
      <c r="AS288" s="1212"/>
      <c r="AT288" s="1212"/>
      <c r="AU288" s="1212"/>
      <c r="AV288" s="1212"/>
      <c r="AW288" s="1215">
        <f t="shared" si="31"/>
        <v>0</v>
      </c>
      <c r="BA288" s="1209"/>
      <c r="BB288" s="1209"/>
      <c r="BC288" s="1209"/>
      <c r="BD288" s="1209"/>
      <c r="BE288" s="1209"/>
      <c r="BF288" s="1209"/>
      <c r="BG288" s="1209"/>
      <c r="BH288" s="1145"/>
      <c r="BI288" s="1145"/>
      <c r="BJ288" s="1145"/>
      <c r="BK288" s="1145"/>
      <c r="BL288" s="1145"/>
      <c r="BM288" s="1145"/>
      <c r="BN288" s="1145"/>
      <c r="BO288" s="1145"/>
      <c r="BP288" s="1145"/>
      <c r="BQ288" s="1145"/>
      <c r="BR288" s="1145"/>
      <c r="BS288" s="1145"/>
      <c r="BT288" s="1145"/>
      <c r="BU288" s="1145"/>
      <c r="BV288" s="1145"/>
      <c r="BW288" s="1145"/>
      <c r="BX288" s="1145"/>
      <c r="BY288" s="1145"/>
    </row>
    <row r="289" spans="1:77" ht="63.75">
      <c r="A289" s="1377"/>
      <c r="B289" s="1381"/>
      <c r="C289" s="1379"/>
      <c r="D289" s="1367"/>
      <c r="E289" s="1367"/>
      <c r="F289" s="365"/>
      <c r="G289" s="1379"/>
      <c r="H289" s="693"/>
      <c r="I289" s="751" t="s">
        <v>1316</v>
      </c>
      <c r="J289" s="692" t="s">
        <v>1317</v>
      </c>
      <c r="K289" s="367">
        <v>1</v>
      </c>
      <c r="L289" s="367">
        <v>1</v>
      </c>
      <c r="M289" s="367">
        <v>1</v>
      </c>
      <c r="N289" s="771">
        <v>1</v>
      </c>
      <c r="O289" s="1214"/>
      <c r="P289" s="1212"/>
      <c r="Q289" s="1212"/>
      <c r="R289" s="1212"/>
      <c r="S289" s="1212"/>
      <c r="T289" s="1212"/>
      <c r="U289" s="1212"/>
      <c r="V289" s="1212"/>
      <c r="W289" s="1212"/>
      <c r="X289" s="1212"/>
      <c r="Y289" s="1212"/>
      <c r="Z289" s="1212"/>
      <c r="AA289" s="1212"/>
      <c r="AB289" s="1212"/>
      <c r="AC289" s="460"/>
      <c r="AD289" s="1212"/>
      <c r="AE289" s="1212"/>
      <c r="AF289" s="1212"/>
      <c r="AG289" s="1212"/>
      <c r="AH289" s="1212"/>
      <c r="AI289" s="460"/>
      <c r="AJ289" s="460"/>
      <c r="AK289" s="460"/>
      <c r="AL289" s="460"/>
      <c r="AM289" s="460"/>
      <c r="AN289" s="460"/>
      <c r="AO289" s="460"/>
      <c r="AP289" s="460"/>
      <c r="AQ289" s="460"/>
      <c r="AR289" s="1212"/>
      <c r="AS289" s="1212"/>
      <c r="AT289" s="1212"/>
      <c r="AU289" s="1212"/>
      <c r="AV289" s="1212"/>
      <c r="AW289" s="1215">
        <f t="shared" si="31"/>
        <v>0</v>
      </c>
      <c r="BA289" s="1209"/>
      <c r="BB289" s="1209"/>
      <c r="BC289" s="1209"/>
      <c r="BD289" s="1209"/>
      <c r="BE289" s="1209"/>
      <c r="BF289" s="1209"/>
      <c r="BG289" s="1209"/>
      <c r="BH289" s="1145"/>
      <c r="BI289" s="1145"/>
      <c r="BJ289" s="1145"/>
      <c r="BK289" s="1145"/>
      <c r="BL289" s="1145"/>
      <c r="BM289" s="1145"/>
      <c r="BN289" s="1145"/>
      <c r="BO289" s="1145"/>
      <c r="BP289" s="1145"/>
      <c r="BQ289" s="1145"/>
      <c r="BR289" s="1145"/>
      <c r="BS289" s="1145"/>
      <c r="BT289" s="1145"/>
      <c r="BU289" s="1145"/>
      <c r="BV289" s="1145"/>
      <c r="BW289" s="1145"/>
      <c r="BX289" s="1145"/>
      <c r="BY289" s="1145"/>
    </row>
    <row r="290" spans="1:77" ht="63.75">
      <c r="A290" s="1377"/>
      <c r="B290" s="1381"/>
      <c r="C290" s="1379"/>
      <c r="D290" s="1367"/>
      <c r="E290" s="1367"/>
      <c r="F290" s="365"/>
      <c r="G290" s="1379"/>
      <c r="H290" s="693"/>
      <c r="I290" s="751" t="s">
        <v>1318</v>
      </c>
      <c r="J290" s="692" t="s">
        <v>1319</v>
      </c>
      <c r="K290" s="367"/>
      <c r="L290" s="367">
        <v>1</v>
      </c>
      <c r="M290" s="367">
        <v>1</v>
      </c>
      <c r="N290" s="771">
        <v>1</v>
      </c>
      <c r="O290" s="1214"/>
      <c r="P290" s="1212"/>
      <c r="Q290" s="1212"/>
      <c r="R290" s="1212"/>
      <c r="S290" s="1212"/>
      <c r="T290" s="1212"/>
      <c r="U290" s="1212"/>
      <c r="V290" s="1212"/>
      <c r="W290" s="1212"/>
      <c r="X290" s="1212"/>
      <c r="Y290" s="1212"/>
      <c r="Z290" s="1212"/>
      <c r="AA290" s="1212"/>
      <c r="AB290" s="1212"/>
      <c r="AC290" s="460"/>
      <c r="AD290" s="1212"/>
      <c r="AE290" s="1212"/>
      <c r="AF290" s="1212"/>
      <c r="AG290" s="1212"/>
      <c r="AH290" s="1212"/>
      <c r="AI290" s="460"/>
      <c r="AJ290" s="460"/>
      <c r="AK290" s="460"/>
      <c r="AL290" s="460"/>
      <c r="AM290" s="460"/>
      <c r="AN290" s="460"/>
      <c r="AO290" s="460"/>
      <c r="AP290" s="460"/>
      <c r="AQ290" s="460"/>
      <c r="AR290" s="1212"/>
      <c r="AS290" s="1212"/>
      <c r="AT290" s="1212"/>
      <c r="AU290" s="1212"/>
      <c r="AV290" s="1212"/>
      <c r="AW290" s="1215">
        <f t="shared" si="31"/>
        <v>0</v>
      </c>
      <c r="BA290" s="1209"/>
      <c r="BB290" s="1209"/>
      <c r="BC290" s="1209"/>
      <c r="BD290" s="1209"/>
      <c r="BE290" s="1209"/>
      <c r="BF290" s="1209"/>
      <c r="BG290" s="1209"/>
      <c r="BH290" s="1145"/>
      <c r="BI290" s="1145"/>
      <c r="BJ290" s="1145"/>
      <c r="BK290" s="1145"/>
      <c r="BL290" s="1145"/>
      <c r="BM290" s="1145"/>
      <c r="BN290" s="1145"/>
      <c r="BO290" s="1145"/>
      <c r="BP290" s="1145"/>
      <c r="BQ290" s="1145"/>
      <c r="BR290" s="1145"/>
      <c r="BS290" s="1145"/>
      <c r="BT290" s="1145"/>
      <c r="BU290" s="1145"/>
      <c r="BV290" s="1145"/>
      <c r="BW290" s="1145"/>
      <c r="BX290" s="1145"/>
      <c r="BY290" s="1145"/>
    </row>
    <row r="291" spans="1:77" ht="63.75" customHeight="1" hidden="1">
      <c r="A291" s="1377"/>
      <c r="B291" s="1381"/>
      <c r="C291" s="1379"/>
      <c r="D291" s="1367"/>
      <c r="E291" s="1367"/>
      <c r="F291" s="365"/>
      <c r="G291" s="1379"/>
      <c r="H291" s="693"/>
      <c r="I291" s="752" t="s">
        <v>1320</v>
      </c>
      <c r="J291" s="692" t="s">
        <v>1321</v>
      </c>
      <c r="K291" s="367">
        <v>1</v>
      </c>
      <c r="L291" s="367">
        <v>1</v>
      </c>
      <c r="M291" s="367"/>
      <c r="N291" s="771"/>
      <c r="O291" s="869"/>
      <c r="P291" s="1212"/>
      <c r="Q291" s="1212"/>
      <c r="R291" s="1212"/>
      <c r="S291" s="1212"/>
      <c r="T291" s="1212"/>
      <c r="U291" s="883"/>
      <c r="V291" s="1212"/>
      <c r="W291" s="1212"/>
      <c r="X291" s="1212"/>
      <c r="Y291" s="1212"/>
      <c r="Z291" s="1212"/>
      <c r="AA291" s="1212"/>
      <c r="AB291" s="1212"/>
      <c r="AC291" s="460"/>
      <c r="AD291" s="1212">
        <v>270000000</v>
      </c>
      <c r="AE291" s="1212"/>
      <c r="AF291" s="1212"/>
      <c r="AG291" s="1212"/>
      <c r="AH291" s="1212"/>
      <c r="AI291" s="460"/>
      <c r="AJ291" s="460"/>
      <c r="AK291" s="460"/>
      <c r="AL291" s="460"/>
      <c r="AM291" s="460"/>
      <c r="AN291" s="460"/>
      <c r="AO291" s="460"/>
      <c r="AP291" s="460"/>
      <c r="AQ291" s="460"/>
      <c r="AR291" s="1212"/>
      <c r="AS291" s="1212"/>
      <c r="AT291" s="1212"/>
      <c r="AU291" s="1212"/>
      <c r="AV291" s="1212"/>
      <c r="AW291" s="1215">
        <f>SUM(P291:AV291)</f>
        <v>270000000</v>
      </c>
      <c r="BA291" s="1209"/>
      <c r="BB291" s="1209"/>
      <c r="BC291" s="1209"/>
      <c r="BD291" s="1209"/>
      <c r="BE291" s="1209"/>
      <c r="BF291" s="1209"/>
      <c r="BG291" s="1209"/>
      <c r="BH291" s="1145"/>
      <c r="BI291" s="1145"/>
      <c r="BJ291" s="1145"/>
      <c r="BK291" s="1145"/>
      <c r="BL291" s="1145"/>
      <c r="BM291" s="1145"/>
      <c r="BN291" s="1145"/>
      <c r="BO291" s="1145"/>
      <c r="BP291" s="1145"/>
      <c r="BQ291" s="1145"/>
      <c r="BR291" s="1145"/>
      <c r="BS291" s="1145"/>
      <c r="BT291" s="1145"/>
      <c r="BU291" s="1145"/>
      <c r="BV291" s="1145"/>
      <c r="BW291" s="1145"/>
      <c r="BX291" s="1145"/>
      <c r="BY291" s="1145"/>
    </row>
    <row r="292" spans="1:77" ht="51" customHeight="1" hidden="1">
      <c r="A292" s="1377"/>
      <c r="B292" s="1381"/>
      <c r="C292" s="1379"/>
      <c r="D292" s="1367"/>
      <c r="E292" s="1367"/>
      <c r="F292" s="365"/>
      <c r="G292" s="1379"/>
      <c r="H292" s="693"/>
      <c r="I292" s="751" t="s">
        <v>1322</v>
      </c>
      <c r="J292" s="692" t="s">
        <v>1323</v>
      </c>
      <c r="K292" s="367"/>
      <c r="L292" s="367">
        <v>1</v>
      </c>
      <c r="M292" s="367"/>
      <c r="N292" s="771"/>
      <c r="O292" s="869"/>
      <c r="P292" s="1212"/>
      <c r="Q292" s="1212"/>
      <c r="R292" s="1212"/>
      <c r="S292" s="1212"/>
      <c r="T292" s="1212"/>
      <c r="U292" s="883"/>
      <c r="V292" s="1212"/>
      <c r="W292" s="1212"/>
      <c r="X292" s="1212"/>
      <c r="Y292" s="1212"/>
      <c r="Z292" s="1212"/>
      <c r="AA292" s="1212"/>
      <c r="AB292" s="1212"/>
      <c r="AC292" s="460"/>
      <c r="AD292" s="1212"/>
      <c r="AE292" s="1212"/>
      <c r="AF292" s="1212"/>
      <c r="AG292" s="1212"/>
      <c r="AH292" s="1212"/>
      <c r="AI292" s="460"/>
      <c r="AJ292" s="460"/>
      <c r="AK292" s="460"/>
      <c r="AL292" s="460"/>
      <c r="AM292" s="460"/>
      <c r="AN292" s="460"/>
      <c r="AO292" s="460"/>
      <c r="AP292" s="460"/>
      <c r="AQ292" s="460"/>
      <c r="AR292" s="1212"/>
      <c r="AS292" s="1212"/>
      <c r="AT292" s="1212"/>
      <c r="AU292" s="1212"/>
      <c r="AV292" s="1212"/>
      <c r="AW292" s="1215">
        <f t="shared" si="31"/>
        <v>0</v>
      </c>
      <c r="BA292" s="1209"/>
      <c r="BB292" s="1209"/>
      <c r="BC292" s="1209"/>
      <c r="BD292" s="1209"/>
      <c r="BE292" s="1209"/>
      <c r="BF292" s="1209"/>
      <c r="BG292" s="1209"/>
      <c r="BH292" s="1145"/>
      <c r="BI292" s="1145"/>
      <c r="BJ292" s="1145"/>
      <c r="BK292" s="1145"/>
      <c r="BL292" s="1145"/>
      <c r="BM292" s="1145"/>
      <c r="BN292" s="1145"/>
      <c r="BO292" s="1145"/>
      <c r="BP292" s="1145"/>
      <c r="BQ292" s="1145"/>
      <c r="BR292" s="1145"/>
      <c r="BS292" s="1145"/>
      <c r="BT292" s="1145"/>
      <c r="BU292" s="1145"/>
      <c r="BV292" s="1145"/>
      <c r="BW292" s="1145"/>
      <c r="BX292" s="1145"/>
      <c r="BY292" s="1145"/>
    </row>
    <row r="293" spans="1:77" ht="76.5">
      <c r="A293" s="1377"/>
      <c r="B293" s="1381"/>
      <c r="C293" s="1379"/>
      <c r="D293" s="1367"/>
      <c r="E293" s="1367"/>
      <c r="F293" s="365"/>
      <c r="G293" s="1379"/>
      <c r="H293" s="745"/>
      <c r="I293" s="1329" t="s">
        <v>1324</v>
      </c>
      <c r="J293" s="738" t="s">
        <v>1325</v>
      </c>
      <c r="K293" s="367">
        <v>1</v>
      </c>
      <c r="L293" s="1331">
        <v>1</v>
      </c>
      <c r="M293" s="1331">
        <v>1</v>
      </c>
      <c r="N293" s="771"/>
      <c r="O293" s="1214" t="s">
        <v>1696</v>
      </c>
      <c r="P293" s="1212"/>
      <c r="Q293" s="1212"/>
      <c r="R293" s="1212"/>
      <c r="S293" s="1212"/>
      <c r="T293" s="1212"/>
      <c r="U293" s="1212"/>
      <c r="V293" s="1212"/>
      <c r="W293" s="1212"/>
      <c r="X293" s="1212"/>
      <c r="Y293" s="1212"/>
      <c r="Z293" s="1212"/>
      <c r="AA293" s="1212"/>
      <c r="AB293" s="1212"/>
      <c r="AC293" s="460"/>
      <c r="AD293" s="1212"/>
      <c r="AE293" s="1212"/>
      <c r="AF293" s="1212"/>
      <c r="AG293" s="1212"/>
      <c r="AH293" s="1212"/>
      <c r="AI293" s="460"/>
      <c r="AJ293" s="460"/>
      <c r="AK293" s="460"/>
      <c r="AL293" s="460"/>
      <c r="AM293" s="460"/>
      <c r="AN293" s="460"/>
      <c r="AO293" s="460"/>
      <c r="AP293" s="460"/>
      <c r="AQ293" s="460"/>
      <c r="AR293" s="1212"/>
      <c r="AS293" s="1212"/>
      <c r="AT293" s="1212"/>
      <c r="AU293" s="1212"/>
      <c r="AV293" s="1212"/>
      <c r="AW293" s="1215">
        <f t="shared" si="31"/>
        <v>0</v>
      </c>
      <c r="BA293" s="1209"/>
      <c r="BB293" s="1209"/>
      <c r="BC293" s="1209"/>
      <c r="BD293" s="1209"/>
      <c r="BE293" s="1209"/>
      <c r="BF293" s="1209"/>
      <c r="BG293" s="1209"/>
      <c r="BH293" s="1145"/>
      <c r="BI293" s="1145"/>
      <c r="BJ293" s="1145"/>
      <c r="BK293" s="1145"/>
      <c r="BL293" s="1145"/>
      <c r="BM293" s="1145"/>
      <c r="BN293" s="1145"/>
      <c r="BO293" s="1145"/>
      <c r="BP293" s="1145"/>
      <c r="BQ293" s="1145"/>
      <c r="BR293" s="1145"/>
      <c r="BS293" s="1145"/>
      <c r="BT293" s="1145"/>
      <c r="BU293" s="1145"/>
      <c r="BV293" s="1145"/>
      <c r="BW293" s="1145"/>
      <c r="BX293" s="1145"/>
      <c r="BY293" s="1145"/>
    </row>
    <row r="294" spans="1:77" ht="15">
      <c r="A294" s="1377"/>
      <c r="B294" s="1381"/>
      <c r="C294" s="1379"/>
      <c r="D294" s="1367"/>
      <c r="E294" s="1367"/>
      <c r="F294" s="365"/>
      <c r="G294" s="1379"/>
      <c r="H294" s="745"/>
      <c r="I294" s="1330"/>
      <c r="J294" s="738"/>
      <c r="K294" s="367"/>
      <c r="L294" s="1332"/>
      <c r="M294" s="1332"/>
      <c r="N294" s="771"/>
      <c r="O294" s="1214"/>
      <c r="P294" s="1212"/>
      <c r="Q294" s="1212"/>
      <c r="R294" s="1212"/>
      <c r="S294" s="1212"/>
      <c r="T294" s="1212"/>
      <c r="U294" s="1212"/>
      <c r="V294" s="1212"/>
      <c r="W294" s="1212"/>
      <c r="X294" s="1212"/>
      <c r="Y294" s="1212"/>
      <c r="Z294" s="1212"/>
      <c r="AA294" s="1212"/>
      <c r="AB294" s="1212"/>
      <c r="AC294" s="460"/>
      <c r="AD294" s="1212"/>
      <c r="AE294" s="1212"/>
      <c r="AF294" s="1212"/>
      <c r="AG294" s="1212"/>
      <c r="AH294" s="1212"/>
      <c r="AI294" s="460"/>
      <c r="AJ294" s="460"/>
      <c r="AK294" s="460"/>
      <c r="AL294" s="460"/>
      <c r="AM294" s="460"/>
      <c r="AN294" s="460"/>
      <c r="AO294" s="460"/>
      <c r="AP294" s="460"/>
      <c r="AQ294" s="460"/>
      <c r="AR294" s="1212"/>
      <c r="AS294" s="1212"/>
      <c r="AT294" s="1212"/>
      <c r="AU294" s="1212"/>
      <c r="AV294" s="1212"/>
      <c r="AW294" s="1215">
        <f t="shared" si="31"/>
        <v>0</v>
      </c>
      <c r="BA294" s="1209"/>
      <c r="BB294" s="1209"/>
      <c r="BC294" s="1209"/>
      <c r="BD294" s="1209"/>
      <c r="BE294" s="1209"/>
      <c r="BF294" s="1209"/>
      <c r="BG294" s="1209"/>
      <c r="BH294" s="1145"/>
      <c r="BI294" s="1145"/>
      <c r="BJ294" s="1145"/>
      <c r="BK294" s="1145"/>
      <c r="BL294" s="1145"/>
      <c r="BM294" s="1145"/>
      <c r="BN294" s="1145"/>
      <c r="BO294" s="1145"/>
      <c r="BP294" s="1145"/>
      <c r="BQ294" s="1145"/>
      <c r="BR294" s="1145"/>
      <c r="BS294" s="1145"/>
      <c r="BT294" s="1145"/>
      <c r="BU294" s="1145"/>
      <c r="BV294" s="1145"/>
      <c r="BW294" s="1145"/>
      <c r="BX294" s="1145"/>
      <c r="BY294" s="1145"/>
    </row>
    <row r="295" spans="1:77" ht="15">
      <c r="A295" s="1377"/>
      <c r="B295" s="1381"/>
      <c r="C295" s="1379"/>
      <c r="D295" s="1367"/>
      <c r="E295" s="1367"/>
      <c r="F295" s="365"/>
      <c r="G295" s="1379"/>
      <c r="H295" s="1070"/>
      <c r="I295" s="1064"/>
      <c r="J295" s="1067"/>
      <c r="K295" s="367"/>
      <c r="L295" s="1065"/>
      <c r="M295" s="1065"/>
      <c r="N295" s="771"/>
      <c r="O295" s="1074" t="s">
        <v>1765</v>
      </c>
      <c r="P295" s="1062"/>
      <c r="Q295" s="1062"/>
      <c r="R295" s="1062"/>
      <c r="S295" s="1062"/>
      <c r="T295" s="1062"/>
      <c r="U295" s="1062"/>
      <c r="V295" s="1062"/>
      <c r="W295" s="1062"/>
      <c r="X295" s="1062"/>
      <c r="Y295" s="1062"/>
      <c r="Z295" s="1062"/>
      <c r="AA295" s="1062"/>
      <c r="AB295" s="1062"/>
      <c r="AC295" s="460"/>
      <c r="AD295" s="1068">
        <v>206700200</v>
      </c>
      <c r="AE295" s="1062"/>
      <c r="AF295" s="1062"/>
      <c r="AG295" s="1062"/>
      <c r="AH295" s="1062"/>
      <c r="AI295" s="460"/>
      <c r="AJ295" s="460"/>
      <c r="AK295" s="460"/>
      <c r="AL295" s="460"/>
      <c r="AM295" s="460"/>
      <c r="AN295" s="460"/>
      <c r="AO295" s="460"/>
      <c r="AP295" s="460"/>
      <c r="AQ295" s="460"/>
      <c r="AR295" s="1062"/>
      <c r="AS295" s="1062"/>
      <c r="AT295" s="1062"/>
      <c r="AU295" s="1062"/>
      <c r="AV295" s="1062"/>
      <c r="AW295" s="1063">
        <f>SUM(P295:AV295)</f>
        <v>206700200</v>
      </c>
      <c r="AY295" s="904"/>
      <c r="AZ295" s="904"/>
      <c r="BA295" s="1209"/>
      <c r="BB295" s="1209"/>
      <c r="BC295" s="1209"/>
      <c r="BD295" s="1209"/>
      <c r="BE295" s="1209"/>
      <c r="BF295" s="1209"/>
      <c r="BG295" s="1209"/>
      <c r="BH295" s="1145"/>
      <c r="BI295" s="1145"/>
      <c r="BJ295" s="1145"/>
      <c r="BK295" s="1145"/>
      <c r="BL295" s="1145"/>
      <c r="BM295" s="1145"/>
      <c r="BN295" s="1145"/>
      <c r="BO295" s="1145"/>
      <c r="BP295" s="1145"/>
      <c r="BQ295" s="1145"/>
      <c r="BR295" s="1145"/>
      <c r="BS295" s="1145"/>
      <c r="BT295" s="1145"/>
      <c r="BU295" s="1145"/>
      <c r="BV295" s="1145"/>
      <c r="BW295" s="1145"/>
      <c r="BX295" s="1145"/>
      <c r="BY295" s="1145"/>
    </row>
    <row r="296" spans="1:77" ht="76.5">
      <c r="A296" s="1377"/>
      <c r="B296" s="1381"/>
      <c r="C296" s="1379"/>
      <c r="D296" s="1367"/>
      <c r="E296" s="1367"/>
      <c r="F296" s="365"/>
      <c r="G296" s="1379"/>
      <c r="H296" s="745"/>
      <c r="I296" s="751" t="s">
        <v>1298</v>
      </c>
      <c r="J296" s="738" t="s">
        <v>1299</v>
      </c>
      <c r="K296" s="367">
        <v>1</v>
      </c>
      <c r="L296" s="367">
        <v>1</v>
      </c>
      <c r="M296" s="367">
        <v>1</v>
      </c>
      <c r="N296" s="771">
        <v>1</v>
      </c>
      <c r="O296" s="827" t="s">
        <v>1669</v>
      </c>
      <c r="P296" s="460"/>
      <c r="Q296" s="460"/>
      <c r="R296" s="460"/>
      <c r="S296" s="460"/>
      <c r="T296" s="460"/>
      <c r="U296" s="460"/>
      <c r="V296" s="460"/>
      <c r="W296" s="460"/>
      <c r="X296" s="460"/>
      <c r="Y296" s="460"/>
      <c r="Z296" s="460"/>
      <c r="AA296" s="460"/>
      <c r="AB296" s="460"/>
      <c r="AC296" s="460"/>
      <c r="AD296" s="460">
        <v>450000000</v>
      </c>
      <c r="AE296" s="460"/>
      <c r="AF296" s="460"/>
      <c r="AG296" s="460"/>
      <c r="AH296" s="460">
        <v>130000000</v>
      </c>
      <c r="AI296" s="460"/>
      <c r="AJ296" s="460"/>
      <c r="AK296" s="460"/>
      <c r="AL296" s="460"/>
      <c r="AM296" s="460"/>
      <c r="AN296" s="460"/>
      <c r="AO296" s="460"/>
      <c r="AP296" s="460"/>
      <c r="AQ296" s="460"/>
      <c r="AR296" s="460"/>
      <c r="AS296" s="460"/>
      <c r="AT296" s="460"/>
      <c r="AU296" s="460"/>
      <c r="AV296" s="460"/>
      <c r="AW296" s="775">
        <f t="shared" si="31"/>
        <v>580000000</v>
      </c>
      <c r="BA296" s="1209"/>
      <c r="BB296" s="1209"/>
      <c r="BC296" s="1209"/>
      <c r="BD296" s="1209"/>
      <c r="BE296" s="1209"/>
      <c r="BF296" s="1209"/>
      <c r="BG296" s="1209"/>
      <c r="BH296" s="1145"/>
      <c r="BI296" s="1145"/>
      <c r="BJ296" s="1145"/>
      <c r="BK296" s="1145"/>
      <c r="BL296" s="1145"/>
      <c r="BM296" s="1145"/>
      <c r="BN296" s="1145"/>
      <c r="BO296" s="1145"/>
      <c r="BP296" s="1145"/>
      <c r="BQ296" s="1145"/>
      <c r="BR296" s="1145"/>
      <c r="BS296" s="1145"/>
      <c r="BT296" s="1145"/>
      <c r="BU296" s="1145"/>
      <c r="BV296" s="1145"/>
      <c r="BW296" s="1145"/>
      <c r="BX296" s="1145"/>
      <c r="BY296" s="1145"/>
    </row>
    <row r="297" spans="1:77" ht="45">
      <c r="A297" s="1377"/>
      <c r="B297" s="1381"/>
      <c r="C297" s="1379"/>
      <c r="D297" s="1367"/>
      <c r="E297" s="1367"/>
      <c r="F297" s="365"/>
      <c r="G297" s="1379"/>
      <c r="H297" s="1169"/>
      <c r="I297" s="751" t="s">
        <v>1854</v>
      </c>
      <c r="J297" s="1159"/>
      <c r="K297" s="367"/>
      <c r="L297" s="367"/>
      <c r="M297" s="367">
        <v>1</v>
      </c>
      <c r="N297" s="771"/>
      <c r="O297" s="1164"/>
      <c r="P297" s="460"/>
      <c r="Q297" s="460"/>
      <c r="R297" s="460"/>
      <c r="S297" s="460"/>
      <c r="T297" s="460"/>
      <c r="U297" s="460"/>
      <c r="V297" s="460"/>
      <c r="W297" s="460"/>
      <c r="X297" s="460"/>
      <c r="Y297" s="460"/>
      <c r="Z297" s="460"/>
      <c r="AA297" s="460"/>
      <c r="AB297" s="460"/>
      <c r="AC297" s="460"/>
      <c r="AD297" s="460"/>
      <c r="AE297" s="460"/>
      <c r="AF297" s="460"/>
      <c r="AG297" s="460"/>
      <c r="AH297" s="460"/>
      <c r="AI297" s="460"/>
      <c r="AJ297" s="460"/>
      <c r="AK297" s="460"/>
      <c r="AL297" s="460"/>
      <c r="AM297" s="460"/>
      <c r="AN297" s="460"/>
      <c r="AO297" s="460"/>
      <c r="AP297" s="460"/>
      <c r="AQ297" s="460"/>
      <c r="AR297" s="460"/>
      <c r="AS297" s="460"/>
      <c r="AT297" s="460"/>
      <c r="AU297" s="460"/>
      <c r="AV297" s="460"/>
      <c r="AW297" s="775"/>
      <c r="AY297" s="904"/>
      <c r="AZ297" s="904"/>
      <c r="BA297" s="1209"/>
      <c r="BB297" s="1209"/>
      <c r="BC297" s="1209"/>
      <c r="BD297" s="1209"/>
      <c r="BE297" s="1209"/>
      <c r="BF297" s="1209"/>
      <c r="BG297" s="1209"/>
      <c r="BH297" s="1145"/>
      <c r="BI297" s="1145"/>
      <c r="BJ297" s="1145"/>
      <c r="BK297" s="1145"/>
      <c r="BL297" s="1145"/>
      <c r="BM297" s="1145"/>
      <c r="BN297" s="1145"/>
      <c r="BO297" s="1145"/>
      <c r="BP297" s="1145"/>
      <c r="BQ297" s="1145"/>
      <c r="BR297" s="1145"/>
      <c r="BS297" s="1145"/>
      <c r="BT297" s="1145"/>
      <c r="BU297" s="1145"/>
      <c r="BV297" s="1145"/>
      <c r="BW297" s="1145"/>
      <c r="BX297" s="1145"/>
      <c r="BY297" s="1145"/>
    </row>
    <row r="298" spans="1:77" ht="45">
      <c r="A298" s="1377"/>
      <c r="B298" s="1381"/>
      <c r="C298" s="1379"/>
      <c r="D298" s="1367"/>
      <c r="E298" s="1367"/>
      <c r="F298" s="365"/>
      <c r="G298" s="1379"/>
      <c r="H298" s="1169"/>
      <c r="I298" s="751" t="s">
        <v>1320</v>
      </c>
      <c r="J298" s="1159"/>
      <c r="K298" s="367"/>
      <c r="L298" s="367"/>
      <c r="M298" s="367">
        <v>1</v>
      </c>
      <c r="N298" s="771"/>
      <c r="O298" s="1164"/>
      <c r="P298" s="460"/>
      <c r="Q298" s="460"/>
      <c r="R298" s="460"/>
      <c r="S298" s="460"/>
      <c r="T298" s="460"/>
      <c r="U298" s="460"/>
      <c r="V298" s="460"/>
      <c r="W298" s="460"/>
      <c r="X298" s="460"/>
      <c r="Y298" s="460"/>
      <c r="Z298" s="460"/>
      <c r="AA298" s="460"/>
      <c r="AB298" s="460"/>
      <c r="AC298" s="460"/>
      <c r="AD298" s="460"/>
      <c r="AE298" s="460"/>
      <c r="AF298" s="460"/>
      <c r="AG298" s="460"/>
      <c r="AH298" s="460"/>
      <c r="AI298" s="460"/>
      <c r="AJ298" s="460"/>
      <c r="AK298" s="460"/>
      <c r="AL298" s="460"/>
      <c r="AM298" s="460"/>
      <c r="AN298" s="460"/>
      <c r="AO298" s="460"/>
      <c r="AP298" s="460"/>
      <c r="AQ298" s="460"/>
      <c r="AR298" s="460"/>
      <c r="AS298" s="460"/>
      <c r="AT298" s="460"/>
      <c r="AU298" s="460"/>
      <c r="AV298" s="460"/>
      <c r="AW298" s="775"/>
      <c r="AY298" s="904"/>
      <c r="AZ298" s="904"/>
      <c r="BA298" s="1209"/>
      <c r="BB298" s="1209"/>
      <c r="BC298" s="1209"/>
      <c r="BD298" s="1209"/>
      <c r="BE298" s="1209"/>
      <c r="BF298" s="1209"/>
      <c r="BG298" s="1209"/>
      <c r="BH298" s="1145"/>
      <c r="BI298" s="1145"/>
      <c r="BJ298" s="1145"/>
      <c r="BK298" s="1145"/>
      <c r="BL298" s="1145"/>
      <c r="BM298" s="1145"/>
      <c r="BN298" s="1145"/>
      <c r="BO298" s="1145"/>
      <c r="BP298" s="1145"/>
      <c r="BQ298" s="1145"/>
      <c r="BR298" s="1145"/>
      <c r="BS298" s="1145"/>
      <c r="BT298" s="1145"/>
      <c r="BU298" s="1145"/>
      <c r="BV298" s="1145"/>
      <c r="BW298" s="1145"/>
      <c r="BX298" s="1145"/>
      <c r="BY298" s="1145"/>
    </row>
    <row r="299" spans="1:77" ht="63.75">
      <c r="A299" s="1377"/>
      <c r="B299" s="1381"/>
      <c r="C299" s="1379"/>
      <c r="D299" s="1367"/>
      <c r="E299" s="1367"/>
      <c r="F299" s="365"/>
      <c r="G299" s="1379"/>
      <c r="H299" s="745"/>
      <c r="I299" s="751" t="s">
        <v>1284</v>
      </c>
      <c r="J299" s="738" t="s">
        <v>1285</v>
      </c>
      <c r="K299" s="367">
        <v>1</v>
      </c>
      <c r="L299" s="367">
        <v>1</v>
      </c>
      <c r="M299" s="367">
        <v>1</v>
      </c>
      <c r="N299" s="771">
        <v>1</v>
      </c>
      <c r="O299" s="827" t="s">
        <v>1666</v>
      </c>
      <c r="P299" s="460"/>
      <c r="Q299" s="460"/>
      <c r="R299" s="460"/>
      <c r="S299" s="460"/>
      <c r="T299" s="460"/>
      <c r="U299" s="460"/>
      <c r="V299" s="460"/>
      <c r="W299" s="460"/>
      <c r="X299" s="460"/>
      <c r="Y299" s="460"/>
      <c r="Z299" s="460"/>
      <c r="AA299" s="460"/>
      <c r="AB299" s="460"/>
      <c r="AC299" s="460"/>
      <c r="AD299" s="460">
        <v>470000000</v>
      </c>
      <c r="AE299" s="460"/>
      <c r="AF299" s="460"/>
      <c r="AG299" s="460"/>
      <c r="AH299" s="460"/>
      <c r="AI299" s="460"/>
      <c r="AJ299" s="460"/>
      <c r="AK299" s="460"/>
      <c r="AL299" s="460"/>
      <c r="AM299" s="460"/>
      <c r="AN299" s="460"/>
      <c r="AO299" s="460"/>
      <c r="AP299" s="460"/>
      <c r="AQ299" s="460"/>
      <c r="AR299" s="460"/>
      <c r="AS299" s="460"/>
      <c r="AT299" s="460"/>
      <c r="AU299" s="460"/>
      <c r="AV299" s="460"/>
      <c r="AW299" s="775">
        <f t="shared" si="31"/>
        <v>470000000</v>
      </c>
      <c r="BA299" s="1209"/>
      <c r="BB299" s="1209"/>
      <c r="BC299" s="1209"/>
      <c r="BD299" s="1209"/>
      <c r="BE299" s="1209"/>
      <c r="BF299" s="1209"/>
      <c r="BG299" s="1209"/>
      <c r="BH299" s="1145"/>
      <c r="BI299" s="1145"/>
      <c r="BJ299" s="1145"/>
      <c r="BK299" s="1145"/>
      <c r="BL299" s="1145"/>
      <c r="BM299" s="1145"/>
      <c r="BN299" s="1145"/>
      <c r="BO299" s="1145"/>
      <c r="BP299" s="1145"/>
      <c r="BQ299" s="1145"/>
      <c r="BR299" s="1145"/>
      <c r="BS299" s="1145"/>
      <c r="BT299" s="1145"/>
      <c r="BU299" s="1145"/>
      <c r="BV299" s="1145"/>
      <c r="BW299" s="1145"/>
      <c r="BX299" s="1145"/>
      <c r="BY299" s="1145"/>
    </row>
    <row r="300" spans="1:77" ht="33.75">
      <c r="A300" s="1377"/>
      <c r="B300" s="1381"/>
      <c r="C300" s="1379"/>
      <c r="D300" s="1367"/>
      <c r="E300" s="1367"/>
      <c r="F300" s="365"/>
      <c r="G300" s="1379"/>
      <c r="H300" s="1169"/>
      <c r="I300" s="762" t="s">
        <v>1286</v>
      </c>
      <c r="J300" s="803"/>
      <c r="K300" s="1162"/>
      <c r="L300" s="1162"/>
      <c r="M300" s="1162">
        <v>1</v>
      </c>
      <c r="N300" s="773"/>
      <c r="O300" s="1165"/>
      <c r="P300" s="1167"/>
      <c r="Q300" s="1167"/>
      <c r="R300" s="1167"/>
      <c r="S300" s="1167"/>
      <c r="T300" s="1167"/>
      <c r="U300" s="1167"/>
      <c r="V300" s="1167"/>
      <c r="W300" s="1167"/>
      <c r="X300" s="1167"/>
      <c r="Y300" s="1167"/>
      <c r="Z300" s="1167"/>
      <c r="AA300" s="1167"/>
      <c r="AB300" s="1167"/>
      <c r="AC300" s="1167"/>
      <c r="AD300" s="1167"/>
      <c r="AE300" s="1167"/>
      <c r="AF300" s="1167"/>
      <c r="AG300" s="1167"/>
      <c r="AH300" s="1167"/>
      <c r="AI300" s="1167"/>
      <c r="AJ300" s="1167"/>
      <c r="AK300" s="1167"/>
      <c r="AL300" s="1167"/>
      <c r="AM300" s="1167"/>
      <c r="AN300" s="1167"/>
      <c r="AO300" s="1167"/>
      <c r="AP300" s="1167"/>
      <c r="AQ300" s="1167"/>
      <c r="AR300" s="1167"/>
      <c r="AS300" s="1167"/>
      <c r="AT300" s="1167"/>
      <c r="AU300" s="1167"/>
      <c r="AV300" s="1167"/>
      <c r="AW300" s="834"/>
      <c r="AY300" s="904"/>
      <c r="AZ300" s="904"/>
      <c r="BA300" s="1209"/>
      <c r="BB300" s="1209"/>
      <c r="BC300" s="1209"/>
      <c r="BD300" s="1209"/>
      <c r="BE300" s="1209"/>
      <c r="BF300" s="1209"/>
      <c r="BG300" s="1209"/>
      <c r="BH300" s="1145"/>
      <c r="BI300" s="1145"/>
      <c r="BJ300" s="1145"/>
      <c r="BK300" s="1145"/>
      <c r="BL300" s="1145"/>
      <c r="BM300" s="1145"/>
      <c r="BN300" s="1145"/>
      <c r="BO300" s="1145"/>
      <c r="BP300" s="1145"/>
      <c r="BQ300" s="1145"/>
      <c r="BR300" s="1145"/>
      <c r="BS300" s="1145"/>
      <c r="BT300" s="1145"/>
      <c r="BU300" s="1145"/>
      <c r="BV300" s="1145"/>
      <c r="BW300" s="1145"/>
      <c r="BX300" s="1145"/>
      <c r="BY300" s="1145"/>
    </row>
    <row r="301" spans="1:77" ht="77.25" thickBot="1">
      <c r="A301" s="1377"/>
      <c r="B301" s="1381"/>
      <c r="C301" s="1379"/>
      <c r="D301" s="1367"/>
      <c r="E301" s="1367"/>
      <c r="F301" s="365"/>
      <c r="G301" s="1379"/>
      <c r="H301" s="693"/>
      <c r="I301" s="762" t="s">
        <v>1288</v>
      </c>
      <c r="J301" s="803" t="s">
        <v>1289</v>
      </c>
      <c r="K301" s="728">
        <v>1</v>
      </c>
      <c r="L301" s="728">
        <v>1</v>
      </c>
      <c r="M301" s="728">
        <v>1</v>
      </c>
      <c r="N301" s="773">
        <v>1</v>
      </c>
      <c r="O301" s="870" t="s">
        <v>1667</v>
      </c>
      <c r="P301" s="835"/>
      <c r="Q301" s="835"/>
      <c r="R301" s="835"/>
      <c r="S301" s="835"/>
      <c r="T301" s="835"/>
      <c r="U301" s="835"/>
      <c r="V301" s="835"/>
      <c r="W301" s="835"/>
      <c r="X301" s="835"/>
      <c r="Y301" s="835"/>
      <c r="Z301" s="835"/>
      <c r="AA301" s="835"/>
      <c r="AB301" s="835"/>
      <c r="AC301" s="835"/>
      <c r="AD301" s="835">
        <v>50000000</v>
      </c>
      <c r="AE301" s="835"/>
      <c r="AF301" s="835"/>
      <c r="AG301" s="835"/>
      <c r="AH301" s="835"/>
      <c r="AI301" s="835"/>
      <c r="AJ301" s="835"/>
      <c r="AK301" s="835"/>
      <c r="AL301" s="835"/>
      <c r="AM301" s="835"/>
      <c r="AN301" s="835"/>
      <c r="AO301" s="835"/>
      <c r="AP301" s="835"/>
      <c r="AQ301" s="835"/>
      <c r="AR301" s="835"/>
      <c r="AS301" s="835"/>
      <c r="AT301" s="835"/>
      <c r="AU301" s="835"/>
      <c r="AV301" s="835"/>
      <c r="AW301" s="842">
        <f t="shared" si="31"/>
        <v>50000000</v>
      </c>
      <c r="BA301" s="1210"/>
      <c r="BB301" s="1210"/>
      <c r="BC301" s="1210"/>
      <c r="BD301" s="1210"/>
      <c r="BE301" s="1210"/>
      <c r="BF301" s="1210"/>
      <c r="BG301" s="1210"/>
      <c r="BH301" s="1145"/>
      <c r="BI301" s="1145"/>
      <c r="BJ301" s="1145"/>
      <c r="BK301" s="1145"/>
      <c r="BL301" s="1145"/>
      <c r="BM301" s="1145"/>
      <c r="BN301" s="1145"/>
      <c r="BO301" s="1145"/>
      <c r="BP301" s="1145"/>
      <c r="BQ301" s="1145"/>
      <c r="BR301" s="1145"/>
      <c r="BS301" s="1145"/>
      <c r="BT301" s="1145"/>
      <c r="BU301" s="1145"/>
      <c r="BV301" s="1145"/>
      <c r="BW301" s="1145"/>
      <c r="BX301" s="1145"/>
      <c r="BY301" s="1145"/>
    </row>
    <row r="302" spans="1:77" ht="32.25" customHeight="1" thickBot="1">
      <c r="A302" s="1377"/>
      <c r="B302" s="1381"/>
      <c r="C302" s="723"/>
      <c r="D302" s="718"/>
      <c r="E302" s="718"/>
      <c r="F302" s="365"/>
      <c r="G302" s="723"/>
      <c r="H302" s="776"/>
      <c r="I302" s="1225" t="s">
        <v>1722</v>
      </c>
      <c r="J302" s="1226"/>
      <c r="K302" s="1226"/>
      <c r="L302" s="1226"/>
      <c r="M302" s="1226"/>
      <c r="N302" s="1226"/>
      <c r="O302" s="1227"/>
      <c r="P302" s="850">
        <f>SUM(P271:P301)</f>
        <v>0</v>
      </c>
      <c r="Q302" s="850">
        <f aca="true" t="shared" si="32" ref="Q302:AV302">SUM(Q271:Q301)</f>
        <v>0</v>
      </c>
      <c r="R302" s="850">
        <f t="shared" si="32"/>
        <v>0</v>
      </c>
      <c r="S302" s="850">
        <f t="shared" si="32"/>
        <v>0</v>
      </c>
      <c r="T302" s="850">
        <f t="shared" si="32"/>
        <v>0</v>
      </c>
      <c r="U302" s="850">
        <f t="shared" si="32"/>
        <v>0</v>
      </c>
      <c r="V302" s="850">
        <f t="shared" si="32"/>
        <v>0</v>
      </c>
      <c r="W302" s="850">
        <f t="shared" si="32"/>
        <v>0</v>
      </c>
      <c r="X302" s="850">
        <f t="shared" si="32"/>
        <v>0</v>
      </c>
      <c r="Y302" s="850">
        <f t="shared" si="32"/>
        <v>0</v>
      </c>
      <c r="Z302" s="850">
        <f t="shared" si="32"/>
        <v>0</v>
      </c>
      <c r="AA302" s="850">
        <f t="shared" si="32"/>
        <v>0</v>
      </c>
      <c r="AB302" s="850">
        <f t="shared" si="32"/>
        <v>0</v>
      </c>
      <c r="AC302" s="850">
        <f t="shared" si="32"/>
        <v>0</v>
      </c>
      <c r="AD302" s="909">
        <f>SUM(AD271:AD301)</f>
        <v>2146700200</v>
      </c>
      <c r="AE302" s="850">
        <f>SUM(AE271:AE301)</f>
        <v>0</v>
      </c>
      <c r="AF302" s="850">
        <f t="shared" si="32"/>
        <v>0</v>
      </c>
      <c r="AG302" s="850">
        <f t="shared" si="32"/>
        <v>0</v>
      </c>
      <c r="AH302" s="850">
        <f t="shared" si="32"/>
        <v>130000000</v>
      </c>
      <c r="AI302" s="850">
        <f t="shared" si="32"/>
        <v>0</v>
      </c>
      <c r="AJ302" s="850">
        <f t="shared" si="32"/>
        <v>0</v>
      </c>
      <c r="AK302" s="850">
        <f t="shared" si="32"/>
        <v>0</v>
      </c>
      <c r="AL302" s="850">
        <f t="shared" si="32"/>
        <v>0</v>
      </c>
      <c r="AM302" s="850">
        <f t="shared" si="32"/>
        <v>0</v>
      </c>
      <c r="AN302" s="850">
        <f t="shared" si="32"/>
        <v>0</v>
      </c>
      <c r="AO302" s="850">
        <f t="shared" si="32"/>
        <v>0</v>
      </c>
      <c r="AP302" s="850">
        <f t="shared" si="32"/>
        <v>0</v>
      </c>
      <c r="AQ302" s="850">
        <f t="shared" si="32"/>
        <v>0</v>
      </c>
      <c r="AR302" s="850">
        <f t="shared" si="32"/>
        <v>0</v>
      </c>
      <c r="AS302" s="850">
        <f t="shared" si="32"/>
        <v>0</v>
      </c>
      <c r="AT302" s="850">
        <f t="shared" si="32"/>
        <v>0</v>
      </c>
      <c r="AU302" s="850">
        <f t="shared" si="32"/>
        <v>0</v>
      </c>
      <c r="AV302" s="850">
        <f t="shared" si="32"/>
        <v>0</v>
      </c>
      <c r="AW302" s="851">
        <f>SUM(AW271:AW301)</f>
        <v>2276700200</v>
      </c>
      <c r="BA302" s="1155"/>
      <c r="BB302" s="1155"/>
      <c r="BC302" s="1155"/>
      <c r="BD302" s="1155"/>
      <c r="BE302" s="1155"/>
      <c r="BF302" s="1155"/>
      <c r="BG302" s="1155"/>
      <c r="BH302" s="1145"/>
      <c r="BI302" s="1145"/>
      <c r="BJ302" s="1145"/>
      <c r="BK302" s="1145"/>
      <c r="BL302" s="1145"/>
      <c r="BM302" s="1145"/>
      <c r="BN302" s="1145"/>
      <c r="BO302" s="1145"/>
      <c r="BP302" s="1145"/>
      <c r="BQ302" s="1145"/>
      <c r="BR302" s="1145"/>
      <c r="BS302" s="1145"/>
      <c r="BT302" s="1145"/>
      <c r="BU302" s="1145"/>
      <c r="BV302" s="1145"/>
      <c r="BW302" s="1145"/>
      <c r="BX302" s="1145"/>
      <c r="BY302" s="1145"/>
    </row>
    <row r="303" spans="1:77" ht="114.75">
      <c r="A303" s="1377"/>
      <c r="B303" s="1381"/>
      <c r="C303" s="1379" t="s">
        <v>1326</v>
      </c>
      <c r="D303" s="1367" t="s">
        <v>1327</v>
      </c>
      <c r="E303" s="1367" t="s">
        <v>1328</v>
      </c>
      <c r="F303" s="365"/>
      <c r="G303" s="1379"/>
      <c r="H303" s="693"/>
      <c r="I303" s="814" t="s">
        <v>1330</v>
      </c>
      <c r="J303" s="818" t="s">
        <v>1331</v>
      </c>
      <c r="K303" s="729">
        <v>1</v>
      </c>
      <c r="L303" s="729">
        <v>1</v>
      </c>
      <c r="M303" s="729">
        <v>1</v>
      </c>
      <c r="N303" s="801">
        <v>1</v>
      </c>
      <c r="O303" s="1213" t="s">
        <v>1670</v>
      </c>
      <c r="P303" s="1211"/>
      <c r="Q303" s="1211"/>
      <c r="R303" s="1211"/>
      <c r="S303" s="1211"/>
      <c r="T303" s="1211"/>
      <c r="U303" s="1211"/>
      <c r="V303" s="1211"/>
      <c r="W303" s="1211"/>
      <c r="X303" s="1211"/>
      <c r="Y303" s="1211"/>
      <c r="Z303" s="1211"/>
      <c r="AA303" s="1211"/>
      <c r="AB303" s="1211"/>
      <c r="AC303" s="826"/>
      <c r="AD303" s="1211">
        <v>100000000</v>
      </c>
      <c r="AE303" s="1211"/>
      <c r="AF303" s="1211"/>
      <c r="AG303" s="1211"/>
      <c r="AH303" s="1211"/>
      <c r="AI303" s="826"/>
      <c r="AJ303" s="826"/>
      <c r="AK303" s="826"/>
      <c r="AL303" s="826"/>
      <c r="AM303" s="826"/>
      <c r="AN303" s="826"/>
      <c r="AO303" s="826"/>
      <c r="AP303" s="826"/>
      <c r="AQ303" s="826"/>
      <c r="AR303" s="1211"/>
      <c r="AS303" s="1211"/>
      <c r="AT303" s="1211"/>
      <c r="AU303" s="1211"/>
      <c r="AV303" s="1211"/>
      <c r="AW303" s="1216">
        <f t="shared" si="31"/>
        <v>100000000</v>
      </c>
      <c r="BA303" s="1208" t="s">
        <v>1843</v>
      </c>
      <c r="BB303" s="1208" t="s">
        <v>1850</v>
      </c>
      <c r="BC303" s="1208" t="s">
        <v>1850</v>
      </c>
      <c r="BD303" s="1208" t="s">
        <v>1850</v>
      </c>
      <c r="BE303" s="1208" t="s">
        <v>1850</v>
      </c>
      <c r="BF303" s="1208" t="s">
        <v>1851</v>
      </c>
      <c r="BG303" s="1208">
        <v>4</v>
      </c>
      <c r="BH303" s="1145"/>
      <c r="BI303" s="1145"/>
      <c r="BJ303" s="1145"/>
      <c r="BK303" s="1145"/>
      <c r="BL303" s="1145"/>
      <c r="BM303" s="1145"/>
      <c r="BN303" s="1145"/>
      <c r="BO303" s="1145"/>
      <c r="BP303" s="1145"/>
      <c r="BQ303" s="1145"/>
      <c r="BR303" s="1145"/>
      <c r="BS303" s="1145"/>
      <c r="BT303" s="1145"/>
      <c r="BU303" s="1145"/>
      <c r="BV303" s="1145"/>
      <c r="BW303" s="1145"/>
      <c r="BX303" s="1145"/>
      <c r="BY303" s="1145"/>
    </row>
    <row r="304" spans="1:77" ht="75" customHeight="1" hidden="1">
      <c r="A304" s="1377"/>
      <c r="B304" s="1381"/>
      <c r="C304" s="1379"/>
      <c r="D304" s="1367"/>
      <c r="E304" s="1367"/>
      <c r="F304" s="365"/>
      <c r="G304" s="1379"/>
      <c r="H304" s="693"/>
      <c r="I304" s="751" t="s">
        <v>1332</v>
      </c>
      <c r="J304" s="692" t="s">
        <v>1333</v>
      </c>
      <c r="K304" s="367"/>
      <c r="L304" s="367">
        <v>1</v>
      </c>
      <c r="M304" s="367"/>
      <c r="N304" s="771"/>
      <c r="O304" s="1214"/>
      <c r="P304" s="1212"/>
      <c r="Q304" s="1212"/>
      <c r="R304" s="1212"/>
      <c r="S304" s="1212"/>
      <c r="T304" s="1212"/>
      <c r="U304" s="1212"/>
      <c r="V304" s="1212"/>
      <c r="W304" s="1212"/>
      <c r="X304" s="1212"/>
      <c r="Y304" s="1212"/>
      <c r="Z304" s="1212"/>
      <c r="AA304" s="1212"/>
      <c r="AB304" s="1212"/>
      <c r="AC304" s="460"/>
      <c r="AD304" s="1212"/>
      <c r="AE304" s="1212"/>
      <c r="AF304" s="1212"/>
      <c r="AG304" s="1212"/>
      <c r="AH304" s="1212"/>
      <c r="AI304" s="460"/>
      <c r="AJ304" s="460"/>
      <c r="AK304" s="460"/>
      <c r="AL304" s="460"/>
      <c r="AM304" s="460"/>
      <c r="AN304" s="460"/>
      <c r="AO304" s="460"/>
      <c r="AP304" s="460"/>
      <c r="AQ304" s="460"/>
      <c r="AR304" s="1212"/>
      <c r="AS304" s="1212"/>
      <c r="AT304" s="1212"/>
      <c r="AU304" s="1212"/>
      <c r="AV304" s="1212"/>
      <c r="AW304" s="1215">
        <f t="shared" si="31"/>
        <v>0</v>
      </c>
      <c r="BA304" s="1209"/>
      <c r="BB304" s="1209"/>
      <c r="BC304" s="1209"/>
      <c r="BD304" s="1209"/>
      <c r="BE304" s="1209"/>
      <c r="BF304" s="1209"/>
      <c r="BG304" s="1209"/>
      <c r="BH304" s="1145"/>
      <c r="BI304" s="1145"/>
      <c r="BJ304" s="1145"/>
      <c r="BK304" s="1145"/>
      <c r="BL304" s="1145"/>
      <c r="BM304" s="1145"/>
      <c r="BN304" s="1145"/>
      <c r="BO304" s="1145"/>
      <c r="BP304" s="1145"/>
      <c r="BQ304" s="1145"/>
      <c r="BR304" s="1145"/>
      <c r="BS304" s="1145"/>
      <c r="BT304" s="1145"/>
      <c r="BU304" s="1145"/>
      <c r="BV304" s="1145"/>
      <c r="BW304" s="1145"/>
      <c r="BX304" s="1145"/>
      <c r="BY304" s="1145"/>
    </row>
    <row r="305" spans="1:77" ht="50.25" customHeight="1">
      <c r="A305" s="1377"/>
      <c r="B305" s="1381"/>
      <c r="C305" s="1379"/>
      <c r="D305" s="1367"/>
      <c r="E305" s="1367"/>
      <c r="F305" s="365"/>
      <c r="G305" s="1379"/>
      <c r="H305" s="693"/>
      <c r="I305" s="751" t="s">
        <v>1334</v>
      </c>
      <c r="J305" s="692" t="s">
        <v>1335</v>
      </c>
      <c r="K305" s="367">
        <v>1</v>
      </c>
      <c r="L305" s="367">
        <v>1</v>
      </c>
      <c r="M305" s="367">
        <v>1</v>
      </c>
      <c r="N305" s="771">
        <v>1</v>
      </c>
      <c r="O305" s="1214"/>
      <c r="P305" s="1212"/>
      <c r="Q305" s="1212"/>
      <c r="R305" s="1212"/>
      <c r="S305" s="1212"/>
      <c r="T305" s="1212"/>
      <c r="U305" s="1212"/>
      <c r="V305" s="1212"/>
      <c r="W305" s="1212"/>
      <c r="X305" s="1212"/>
      <c r="Y305" s="1212"/>
      <c r="Z305" s="1212"/>
      <c r="AA305" s="1212"/>
      <c r="AB305" s="1212"/>
      <c r="AC305" s="460"/>
      <c r="AD305" s="1212"/>
      <c r="AE305" s="1212"/>
      <c r="AF305" s="1212"/>
      <c r="AG305" s="1212"/>
      <c r="AH305" s="1212"/>
      <c r="AI305" s="460"/>
      <c r="AJ305" s="460"/>
      <c r="AK305" s="460"/>
      <c r="AL305" s="460"/>
      <c r="AM305" s="460"/>
      <c r="AN305" s="460"/>
      <c r="AO305" s="460"/>
      <c r="AP305" s="460"/>
      <c r="AQ305" s="460"/>
      <c r="AR305" s="1212"/>
      <c r="AS305" s="1212"/>
      <c r="AT305" s="1212"/>
      <c r="AU305" s="1212"/>
      <c r="AV305" s="1212"/>
      <c r="AW305" s="1215">
        <f t="shared" si="31"/>
        <v>0</v>
      </c>
      <c r="BA305" s="1209"/>
      <c r="BB305" s="1209"/>
      <c r="BC305" s="1209"/>
      <c r="BD305" s="1209"/>
      <c r="BE305" s="1209"/>
      <c r="BF305" s="1209"/>
      <c r="BG305" s="1209"/>
      <c r="BH305" s="1145"/>
      <c r="BI305" s="1145"/>
      <c r="BJ305" s="1145"/>
      <c r="BK305" s="1145"/>
      <c r="BL305" s="1145"/>
      <c r="BM305" s="1145"/>
      <c r="BN305" s="1145"/>
      <c r="BO305" s="1145"/>
      <c r="BP305" s="1145"/>
      <c r="BQ305" s="1145"/>
      <c r="BR305" s="1145"/>
      <c r="BS305" s="1145"/>
      <c r="BT305" s="1145"/>
      <c r="BU305" s="1145"/>
      <c r="BV305" s="1145"/>
      <c r="BW305" s="1145"/>
      <c r="BX305" s="1145"/>
      <c r="BY305" s="1145"/>
    </row>
    <row r="306" spans="1:77" ht="57" customHeight="1">
      <c r="A306" s="1377"/>
      <c r="B306" s="1381"/>
      <c r="C306" s="1379"/>
      <c r="D306" s="1367"/>
      <c r="E306" s="1367"/>
      <c r="F306" s="365"/>
      <c r="G306" s="1379"/>
      <c r="H306" s="693"/>
      <c r="I306" s="751" t="s">
        <v>1336</v>
      </c>
      <c r="J306" s="692" t="s">
        <v>1337</v>
      </c>
      <c r="K306" s="367">
        <v>1</v>
      </c>
      <c r="L306" s="367">
        <v>1</v>
      </c>
      <c r="M306" s="367">
        <v>1</v>
      </c>
      <c r="N306" s="771">
        <v>1</v>
      </c>
      <c r="O306" s="1214"/>
      <c r="P306" s="1212"/>
      <c r="Q306" s="1212"/>
      <c r="R306" s="1212"/>
      <c r="S306" s="1212"/>
      <c r="T306" s="1212"/>
      <c r="U306" s="1212"/>
      <c r="V306" s="1212"/>
      <c r="W306" s="1212"/>
      <c r="X306" s="1212"/>
      <c r="Y306" s="1212"/>
      <c r="Z306" s="1212"/>
      <c r="AA306" s="1212"/>
      <c r="AB306" s="1212"/>
      <c r="AC306" s="460"/>
      <c r="AD306" s="1212"/>
      <c r="AE306" s="1212"/>
      <c r="AF306" s="1212"/>
      <c r="AG306" s="1212"/>
      <c r="AH306" s="1212"/>
      <c r="AI306" s="460"/>
      <c r="AJ306" s="460"/>
      <c r="AK306" s="460"/>
      <c r="AL306" s="460"/>
      <c r="AM306" s="460"/>
      <c r="AN306" s="460"/>
      <c r="AO306" s="460"/>
      <c r="AP306" s="460"/>
      <c r="AQ306" s="460"/>
      <c r="AR306" s="1212"/>
      <c r="AS306" s="1212"/>
      <c r="AT306" s="1212"/>
      <c r="AU306" s="1212"/>
      <c r="AV306" s="1212"/>
      <c r="AW306" s="1215">
        <f t="shared" si="31"/>
        <v>0</v>
      </c>
      <c r="BA306" s="1209"/>
      <c r="BB306" s="1209"/>
      <c r="BC306" s="1209"/>
      <c r="BD306" s="1209"/>
      <c r="BE306" s="1209"/>
      <c r="BF306" s="1209"/>
      <c r="BG306" s="1209"/>
      <c r="BH306" s="1145"/>
      <c r="BI306" s="1145"/>
      <c r="BJ306" s="1145"/>
      <c r="BK306" s="1145"/>
      <c r="BL306" s="1145"/>
      <c r="BM306" s="1145"/>
      <c r="BN306" s="1145"/>
      <c r="BO306" s="1145"/>
      <c r="BP306" s="1145"/>
      <c r="BQ306" s="1145"/>
      <c r="BR306" s="1145"/>
      <c r="BS306" s="1145"/>
      <c r="BT306" s="1145"/>
      <c r="BU306" s="1145"/>
      <c r="BV306" s="1145"/>
      <c r="BW306" s="1145"/>
      <c r="BX306" s="1145"/>
      <c r="BY306" s="1145"/>
    </row>
    <row r="307" spans="1:77" ht="57" customHeight="1">
      <c r="A307" s="1377"/>
      <c r="B307" s="1381"/>
      <c r="C307" s="1379"/>
      <c r="D307" s="1367"/>
      <c r="E307" s="1367"/>
      <c r="F307" s="365"/>
      <c r="G307" s="1379"/>
      <c r="H307" s="902"/>
      <c r="I307" s="762" t="s">
        <v>1338</v>
      </c>
      <c r="J307" s="385" t="s">
        <v>1339</v>
      </c>
      <c r="K307" s="890"/>
      <c r="L307" s="890">
        <v>1</v>
      </c>
      <c r="M307" s="890">
        <v>1</v>
      </c>
      <c r="N307" s="773"/>
      <c r="O307" s="1214"/>
      <c r="P307" s="1212"/>
      <c r="Q307" s="1212"/>
      <c r="R307" s="1212"/>
      <c r="S307" s="1212"/>
      <c r="T307" s="1212"/>
      <c r="U307" s="1212"/>
      <c r="V307" s="1212"/>
      <c r="W307" s="1212"/>
      <c r="X307" s="1212"/>
      <c r="Y307" s="1212"/>
      <c r="Z307" s="1212"/>
      <c r="AA307" s="1212"/>
      <c r="AB307" s="1212"/>
      <c r="AC307" s="460"/>
      <c r="AD307" s="1212"/>
      <c r="AE307" s="1212"/>
      <c r="AF307" s="1212"/>
      <c r="AG307" s="1212"/>
      <c r="AH307" s="1212"/>
      <c r="AI307" s="460"/>
      <c r="AJ307" s="460"/>
      <c r="AK307" s="460"/>
      <c r="AL307" s="460"/>
      <c r="AM307" s="460"/>
      <c r="AN307" s="460"/>
      <c r="AO307" s="460"/>
      <c r="AP307" s="460"/>
      <c r="AQ307" s="460"/>
      <c r="AR307" s="1212"/>
      <c r="AS307" s="1212"/>
      <c r="AT307" s="1212"/>
      <c r="AU307" s="1212"/>
      <c r="AV307" s="1212"/>
      <c r="AW307" s="1215"/>
      <c r="AY307" s="898"/>
      <c r="AZ307" s="898"/>
      <c r="BA307" s="1210"/>
      <c r="BB307" s="1210"/>
      <c r="BC307" s="1210"/>
      <c r="BD307" s="1210"/>
      <c r="BE307" s="1210"/>
      <c r="BF307" s="1210"/>
      <c r="BG307" s="1210"/>
      <c r="BH307" s="1145"/>
      <c r="BI307" s="1145"/>
      <c r="BJ307" s="1145"/>
      <c r="BK307" s="1145"/>
      <c r="BL307" s="1145"/>
      <c r="BM307" s="1145"/>
      <c r="BN307" s="1145"/>
      <c r="BO307" s="1145"/>
      <c r="BP307" s="1145"/>
      <c r="BQ307" s="1145"/>
      <c r="BR307" s="1145"/>
      <c r="BS307" s="1145"/>
      <c r="BT307" s="1145"/>
      <c r="BU307" s="1145"/>
      <c r="BV307" s="1145"/>
      <c r="BW307" s="1145"/>
      <c r="BX307" s="1145"/>
      <c r="BY307" s="1145"/>
    </row>
    <row r="308" spans="1:77" ht="60" customHeight="1" thickBot="1">
      <c r="A308" s="1377"/>
      <c r="B308" s="1381"/>
      <c r="C308" s="1379"/>
      <c r="D308" s="1367"/>
      <c r="E308" s="1367"/>
      <c r="F308" s="365"/>
      <c r="G308" s="1379"/>
      <c r="H308" s="693"/>
      <c r="I308" s="762"/>
      <c r="J308" s="385"/>
      <c r="K308" s="728"/>
      <c r="L308" s="728"/>
      <c r="M308" s="728"/>
      <c r="N308" s="773">
        <v>1</v>
      </c>
      <c r="O308" s="914" t="s">
        <v>1750</v>
      </c>
      <c r="P308" s="886"/>
      <c r="Q308" s="886"/>
      <c r="R308" s="886"/>
      <c r="S308" s="886"/>
      <c r="T308" s="886"/>
      <c r="U308" s="886"/>
      <c r="V308" s="886"/>
      <c r="W308" s="886"/>
      <c r="X308" s="886"/>
      <c r="Y308" s="886"/>
      <c r="Z308" s="886"/>
      <c r="AA308" s="886"/>
      <c r="AB308" s="886"/>
      <c r="AC308" s="835"/>
      <c r="AD308" s="886">
        <v>30000000</v>
      </c>
      <c r="AE308" s="886"/>
      <c r="AF308" s="886"/>
      <c r="AG308" s="886"/>
      <c r="AH308" s="886"/>
      <c r="AI308" s="835"/>
      <c r="AJ308" s="835"/>
      <c r="AK308" s="835"/>
      <c r="AL308" s="835"/>
      <c r="AM308" s="835"/>
      <c r="AN308" s="835"/>
      <c r="AO308" s="835"/>
      <c r="AP308" s="835"/>
      <c r="AQ308" s="835"/>
      <c r="AR308" s="886"/>
      <c r="AS308" s="886"/>
      <c r="AT308" s="886"/>
      <c r="AU308" s="886"/>
      <c r="AV308" s="886"/>
      <c r="AW308" s="887">
        <f t="shared" si="31"/>
        <v>30000000</v>
      </c>
      <c r="BA308" s="1155"/>
      <c r="BB308" s="1155"/>
      <c r="BC308" s="1155"/>
      <c r="BD308" s="1155"/>
      <c r="BE308" s="1155"/>
      <c r="BF308" s="1155"/>
      <c r="BG308" s="1155"/>
      <c r="BH308" s="1145"/>
      <c r="BI308" s="1145"/>
      <c r="BJ308" s="1145"/>
      <c r="BK308" s="1145"/>
      <c r="BL308" s="1145"/>
      <c r="BM308" s="1145"/>
      <c r="BN308" s="1145"/>
      <c r="BO308" s="1145"/>
      <c r="BP308" s="1145"/>
      <c r="BQ308" s="1145"/>
      <c r="BR308" s="1145"/>
      <c r="BS308" s="1145"/>
      <c r="BT308" s="1145"/>
      <c r="BU308" s="1145"/>
      <c r="BV308" s="1145"/>
      <c r="BW308" s="1145"/>
      <c r="BX308" s="1145"/>
      <c r="BY308" s="1145"/>
    </row>
    <row r="309" spans="1:77" ht="60" customHeight="1" thickBot="1">
      <c r="A309" s="1377"/>
      <c r="B309" s="1381"/>
      <c r="C309" s="723"/>
      <c r="D309" s="718"/>
      <c r="E309" s="718"/>
      <c r="F309" s="365"/>
      <c r="G309" s="723"/>
      <c r="H309" s="776"/>
      <c r="I309" s="1225" t="s">
        <v>1723</v>
      </c>
      <c r="J309" s="1226"/>
      <c r="K309" s="1226"/>
      <c r="L309" s="1226"/>
      <c r="M309" s="1226"/>
      <c r="N309" s="1226"/>
      <c r="O309" s="1227"/>
      <c r="P309" s="837">
        <f aca="true" t="shared" si="33" ref="P309:AB309">SUM(P303:P308)</f>
        <v>0</v>
      </c>
      <c r="Q309" s="837">
        <f t="shared" si="33"/>
        <v>0</v>
      </c>
      <c r="R309" s="837">
        <f t="shared" si="33"/>
        <v>0</v>
      </c>
      <c r="S309" s="837">
        <f t="shared" si="33"/>
        <v>0</v>
      </c>
      <c r="T309" s="837">
        <f t="shared" si="33"/>
        <v>0</v>
      </c>
      <c r="U309" s="837">
        <f t="shared" si="33"/>
        <v>0</v>
      </c>
      <c r="V309" s="837">
        <f t="shared" si="33"/>
        <v>0</v>
      </c>
      <c r="W309" s="837">
        <f t="shared" si="33"/>
        <v>0</v>
      </c>
      <c r="X309" s="837">
        <f t="shared" si="33"/>
        <v>0</v>
      </c>
      <c r="Y309" s="837">
        <f t="shared" si="33"/>
        <v>0</v>
      </c>
      <c r="Z309" s="837">
        <f t="shared" si="33"/>
        <v>0</v>
      </c>
      <c r="AA309" s="837">
        <f t="shared" si="33"/>
        <v>0</v>
      </c>
      <c r="AB309" s="837">
        <f t="shared" si="33"/>
        <v>0</v>
      </c>
      <c r="AC309" s="837">
        <f>SUM(AC303)</f>
        <v>0</v>
      </c>
      <c r="AD309" s="837">
        <f>SUM(AD303:AD308)</f>
        <v>130000000</v>
      </c>
      <c r="AE309" s="837">
        <f aca="true" t="shared" si="34" ref="AE309:AV309">SUM(AE303:AE308)</f>
        <v>0</v>
      </c>
      <c r="AF309" s="837">
        <f t="shared" si="34"/>
        <v>0</v>
      </c>
      <c r="AG309" s="837">
        <f t="shared" si="34"/>
        <v>0</v>
      </c>
      <c r="AH309" s="837">
        <f t="shared" si="34"/>
        <v>0</v>
      </c>
      <c r="AI309" s="837">
        <f t="shared" si="34"/>
        <v>0</v>
      </c>
      <c r="AJ309" s="837">
        <f t="shared" si="34"/>
        <v>0</v>
      </c>
      <c r="AK309" s="837">
        <f t="shared" si="34"/>
        <v>0</v>
      </c>
      <c r="AL309" s="837">
        <f t="shared" si="34"/>
        <v>0</v>
      </c>
      <c r="AM309" s="837">
        <f t="shared" si="34"/>
        <v>0</v>
      </c>
      <c r="AN309" s="837">
        <f t="shared" si="34"/>
        <v>0</v>
      </c>
      <c r="AO309" s="837">
        <f t="shared" si="34"/>
        <v>0</v>
      </c>
      <c r="AP309" s="837">
        <f t="shared" si="34"/>
        <v>0</v>
      </c>
      <c r="AQ309" s="837">
        <f t="shared" si="34"/>
        <v>0</v>
      </c>
      <c r="AR309" s="837">
        <f t="shared" si="34"/>
        <v>0</v>
      </c>
      <c r="AS309" s="837">
        <f t="shared" si="34"/>
        <v>0</v>
      </c>
      <c r="AT309" s="837">
        <f t="shared" si="34"/>
        <v>0</v>
      </c>
      <c r="AU309" s="837">
        <f t="shared" si="34"/>
        <v>0</v>
      </c>
      <c r="AV309" s="837">
        <f t="shared" si="34"/>
        <v>0</v>
      </c>
      <c r="AW309" s="871">
        <f>SUM(AW303:AW308)</f>
        <v>130000000</v>
      </c>
      <c r="BA309" s="1155"/>
      <c r="BB309" s="1155"/>
      <c r="BC309" s="1155"/>
      <c r="BD309" s="1155"/>
      <c r="BE309" s="1155"/>
      <c r="BF309" s="1155"/>
      <c r="BG309" s="1155"/>
      <c r="BH309" s="1145"/>
      <c r="BI309" s="1145"/>
      <c r="BJ309" s="1145"/>
      <c r="BK309" s="1145"/>
      <c r="BL309" s="1145"/>
      <c r="BM309" s="1145"/>
      <c r="BN309" s="1145"/>
      <c r="BO309" s="1145"/>
      <c r="BP309" s="1145"/>
      <c r="BQ309" s="1145"/>
      <c r="BR309" s="1145"/>
      <c r="BS309" s="1145"/>
      <c r="BT309" s="1145"/>
      <c r="BU309" s="1145"/>
      <c r="BV309" s="1145"/>
      <c r="BW309" s="1145"/>
      <c r="BX309" s="1145"/>
      <c r="BY309" s="1145"/>
    </row>
    <row r="310" spans="1:77" ht="102">
      <c r="A310" s="1377"/>
      <c r="B310" s="1381"/>
      <c r="C310" s="1379" t="s">
        <v>1340</v>
      </c>
      <c r="D310" s="1379" t="s">
        <v>1341</v>
      </c>
      <c r="E310" s="1379" t="s">
        <v>1342</v>
      </c>
      <c r="F310" s="365"/>
      <c r="G310" s="1379"/>
      <c r="H310" s="693"/>
      <c r="I310" s="814" t="s">
        <v>1344</v>
      </c>
      <c r="J310" s="818" t="s">
        <v>1345</v>
      </c>
      <c r="K310" s="729">
        <v>2</v>
      </c>
      <c r="L310" s="729">
        <v>2</v>
      </c>
      <c r="M310" s="729">
        <v>2</v>
      </c>
      <c r="N310" s="801">
        <v>2</v>
      </c>
      <c r="O310" s="1320" t="s">
        <v>1665</v>
      </c>
      <c r="P310" s="1211"/>
      <c r="Q310" s="1211"/>
      <c r="R310" s="1211"/>
      <c r="S310" s="1211"/>
      <c r="T310" s="1211"/>
      <c r="U310" s="1211"/>
      <c r="V310" s="1211"/>
      <c r="W310" s="1211"/>
      <c r="X310" s="1211"/>
      <c r="Y310" s="1211"/>
      <c r="Z310" s="1211"/>
      <c r="AA310" s="1211"/>
      <c r="AB310" s="1211"/>
      <c r="AC310" s="826"/>
      <c r="AD310" s="1211">
        <v>120000000</v>
      </c>
      <c r="AE310" s="1211"/>
      <c r="AF310" s="1211"/>
      <c r="AG310" s="1211"/>
      <c r="AH310" s="1211"/>
      <c r="AI310" s="826"/>
      <c r="AJ310" s="826"/>
      <c r="AK310" s="826"/>
      <c r="AL310" s="826"/>
      <c r="AM310" s="826"/>
      <c r="AN310" s="826"/>
      <c r="AO310" s="826"/>
      <c r="AP310" s="826"/>
      <c r="AQ310" s="826"/>
      <c r="AR310" s="1211"/>
      <c r="AS310" s="1211"/>
      <c r="AT310" s="1211"/>
      <c r="AU310" s="1211"/>
      <c r="AV310" s="1211"/>
      <c r="AW310" s="1216">
        <f t="shared" si="31"/>
        <v>120000000</v>
      </c>
      <c r="BA310" s="1208" t="s">
        <v>1844</v>
      </c>
      <c r="BB310" s="1208" t="s">
        <v>1850</v>
      </c>
      <c r="BC310" s="1208" t="s">
        <v>1850</v>
      </c>
      <c r="BD310" s="1208" t="s">
        <v>1850</v>
      </c>
      <c r="BE310" s="1208" t="s">
        <v>1850</v>
      </c>
      <c r="BF310" s="1208" t="s">
        <v>1851</v>
      </c>
      <c r="BG310" s="1208">
        <v>4</v>
      </c>
      <c r="BH310" s="1145"/>
      <c r="BI310" s="1145"/>
      <c r="BJ310" s="1145"/>
      <c r="BK310" s="1145"/>
      <c r="BL310" s="1145"/>
      <c r="BM310" s="1145"/>
      <c r="BN310" s="1145"/>
      <c r="BO310" s="1145"/>
      <c r="BP310" s="1145"/>
      <c r="BQ310" s="1145"/>
      <c r="BR310" s="1145"/>
      <c r="BS310" s="1145"/>
      <c r="BT310" s="1145"/>
      <c r="BU310" s="1145"/>
      <c r="BV310" s="1145"/>
      <c r="BW310" s="1145"/>
      <c r="BX310" s="1145"/>
      <c r="BY310" s="1145"/>
    </row>
    <row r="311" spans="1:77" ht="90.75" customHeight="1">
      <c r="A311" s="1377"/>
      <c r="B311" s="1381"/>
      <c r="C311" s="1379"/>
      <c r="D311" s="1379"/>
      <c r="E311" s="1379"/>
      <c r="F311" s="365"/>
      <c r="G311" s="1379"/>
      <c r="H311" s="693"/>
      <c r="I311" s="751" t="s">
        <v>1346</v>
      </c>
      <c r="J311" s="692" t="s">
        <v>1347</v>
      </c>
      <c r="K311" s="367">
        <v>2</v>
      </c>
      <c r="L311" s="367">
        <v>2</v>
      </c>
      <c r="M311" s="367">
        <v>2</v>
      </c>
      <c r="N311" s="771">
        <v>2</v>
      </c>
      <c r="O311" s="1321"/>
      <c r="P311" s="1212"/>
      <c r="Q311" s="1212"/>
      <c r="R311" s="1212"/>
      <c r="S311" s="1212"/>
      <c r="T311" s="1212"/>
      <c r="U311" s="1212"/>
      <c r="V311" s="1212"/>
      <c r="W311" s="1212"/>
      <c r="X311" s="1212"/>
      <c r="Y311" s="1212"/>
      <c r="Z311" s="1212"/>
      <c r="AA311" s="1212"/>
      <c r="AB311" s="1212"/>
      <c r="AC311" s="460"/>
      <c r="AD311" s="1212"/>
      <c r="AE311" s="1212"/>
      <c r="AF311" s="1212"/>
      <c r="AG311" s="1212"/>
      <c r="AH311" s="1212"/>
      <c r="AI311" s="460"/>
      <c r="AJ311" s="460"/>
      <c r="AK311" s="460"/>
      <c r="AL311" s="460"/>
      <c r="AM311" s="460"/>
      <c r="AN311" s="460"/>
      <c r="AO311" s="460"/>
      <c r="AP311" s="460"/>
      <c r="AQ311" s="460"/>
      <c r="AR311" s="1212"/>
      <c r="AS311" s="1212"/>
      <c r="AT311" s="1212"/>
      <c r="AU311" s="1212"/>
      <c r="AV311" s="1212"/>
      <c r="AW311" s="1215">
        <f t="shared" si="31"/>
        <v>0</v>
      </c>
      <c r="BA311" s="1209"/>
      <c r="BB311" s="1209"/>
      <c r="BC311" s="1209"/>
      <c r="BD311" s="1209"/>
      <c r="BE311" s="1209"/>
      <c r="BF311" s="1209"/>
      <c r="BG311" s="1209"/>
      <c r="BH311" s="1145"/>
      <c r="BI311" s="1145"/>
      <c r="BJ311" s="1145"/>
      <c r="BK311" s="1145"/>
      <c r="BL311" s="1145"/>
      <c r="BM311" s="1145"/>
      <c r="BN311" s="1145"/>
      <c r="BO311" s="1145"/>
      <c r="BP311" s="1145"/>
      <c r="BQ311" s="1145"/>
      <c r="BR311" s="1145"/>
      <c r="BS311" s="1145"/>
      <c r="BT311" s="1145"/>
      <c r="BU311" s="1145"/>
      <c r="BV311" s="1145"/>
      <c r="BW311" s="1145"/>
      <c r="BX311" s="1145"/>
      <c r="BY311" s="1145"/>
    </row>
    <row r="312" spans="1:77" ht="51" customHeight="1" hidden="1">
      <c r="A312" s="1377"/>
      <c r="B312" s="1381"/>
      <c r="C312" s="1379"/>
      <c r="D312" s="1379"/>
      <c r="E312" s="1379"/>
      <c r="F312" s="365"/>
      <c r="G312" s="1379"/>
      <c r="H312" s="693"/>
      <c r="I312" s="751" t="s">
        <v>1348</v>
      </c>
      <c r="J312" s="692" t="s">
        <v>1349</v>
      </c>
      <c r="K312" s="367"/>
      <c r="L312" s="367">
        <v>1</v>
      </c>
      <c r="M312" s="367"/>
      <c r="N312" s="771"/>
      <c r="O312" s="1321"/>
      <c r="P312" s="1212"/>
      <c r="Q312" s="1212"/>
      <c r="R312" s="1212"/>
      <c r="S312" s="1212"/>
      <c r="T312" s="1212"/>
      <c r="U312" s="1212"/>
      <c r="V312" s="1212"/>
      <c r="W312" s="1212"/>
      <c r="X312" s="1212"/>
      <c r="Y312" s="1212"/>
      <c r="Z312" s="1212"/>
      <c r="AA312" s="1212"/>
      <c r="AB312" s="1212"/>
      <c r="AC312" s="460"/>
      <c r="AD312" s="1212"/>
      <c r="AE312" s="1212"/>
      <c r="AF312" s="1212"/>
      <c r="AG312" s="1212"/>
      <c r="AH312" s="1212"/>
      <c r="AI312" s="460"/>
      <c r="AJ312" s="460"/>
      <c r="AK312" s="460"/>
      <c r="AL312" s="460"/>
      <c r="AM312" s="460"/>
      <c r="AN312" s="460"/>
      <c r="AO312" s="460"/>
      <c r="AP312" s="460"/>
      <c r="AQ312" s="460"/>
      <c r="AR312" s="1212"/>
      <c r="AS312" s="1212"/>
      <c r="AT312" s="1212"/>
      <c r="AU312" s="1212"/>
      <c r="AV312" s="1212"/>
      <c r="AW312" s="1215">
        <f t="shared" si="31"/>
        <v>0</v>
      </c>
      <c r="BA312" s="1209"/>
      <c r="BB312" s="1209"/>
      <c r="BC312" s="1209"/>
      <c r="BD312" s="1209"/>
      <c r="BE312" s="1209"/>
      <c r="BF312" s="1209"/>
      <c r="BG312" s="1209"/>
      <c r="BH312" s="1145"/>
      <c r="BI312" s="1145"/>
      <c r="BJ312" s="1145"/>
      <c r="BK312" s="1145"/>
      <c r="BL312" s="1145"/>
      <c r="BM312" s="1145"/>
      <c r="BN312" s="1145"/>
      <c r="BO312" s="1145"/>
      <c r="BP312" s="1145"/>
      <c r="BQ312" s="1145"/>
      <c r="BR312" s="1145"/>
      <c r="BS312" s="1145"/>
      <c r="BT312" s="1145"/>
      <c r="BU312" s="1145"/>
      <c r="BV312" s="1145"/>
      <c r="BW312" s="1145"/>
      <c r="BX312" s="1145"/>
      <c r="BY312" s="1145"/>
    </row>
    <row r="313" spans="1:77" ht="115.5" thickBot="1">
      <c r="A313" s="1378"/>
      <c r="B313" s="1382"/>
      <c r="C313" s="1379"/>
      <c r="D313" s="1379"/>
      <c r="E313" s="1379"/>
      <c r="F313" s="365"/>
      <c r="G313" s="1379"/>
      <c r="H313" s="693"/>
      <c r="I313" s="762" t="s">
        <v>1350</v>
      </c>
      <c r="J313" s="803" t="s">
        <v>1351</v>
      </c>
      <c r="K313" s="728">
        <v>1</v>
      </c>
      <c r="L313" s="728">
        <v>1</v>
      </c>
      <c r="M313" s="728">
        <v>1</v>
      </c>
      <c r="N313" s="773">
        <v>1</v>
      </c>
      <c r="O313" s="1322"/>
      <c r="P313" s="1228"/>
      <c r="Q313" s="1228"/>
      <c r="R313" s="1228"/>
      <c r="S313" s="1228"/>
      <c r="T313" s="1228"/>
      <c r="U313" s="1228"/>
      <c r="V313" s="1228"/>
      <c r="W313" s="1228"/>
      <c r="X313" s="1228"/>
      <c r="Y313" s="1228"/>
      <c r="Z313" s="1228"/>
      <c r="AA313" s="1228"/>
      <c r="AB313" s="1228"/>
      <c r="AC313" s="899"/>
      <c r="AD313" s="1228"/>
      <c r="AE313" s="1228"/>
      <c r="AF313" s="1228"/>
      <c r="AG313" s="1228"/>
      <c r="AH313" s="1228"/>
      <c r="AI313" s="899"/>
      <c r="AJ313" s="899"/>
      <c r="AK313" s="899"/>
      <c r="AL313" s="899"/>
      <c r="AM313" s="899"/>
      <c r="AN313" s="899"/>
      <c r="AO313" s="899"/>
      <c r="AP313" s="899"/>
      <c r="AQ313" s="899"/>
      <c r="AR313" s="1228"/>
      <c r="AS313" s="1228"/>
      <c r="AT313" s="1228"/>
      <c r="AU313" s="1228"/>
      <c r="AV313" s="1228"/>
      <c r="AW313" s="1253">
        <f t="shared" si="31"/>
        <v>0</v>
      </c>
      <c r="BA313" s="1210"/>
      <c r="BB313" s="1210"/>
      <c r="BC313" s="1210"/>
      <c r="BD313" s="1210"/>
      <c r="BE313" s="1210"/>
      <c r="BF313" s="1210"/>
      <c r="BG313" s="1210"/>
      <c r="BH313" s="1145"/>
      <c r="BI313" s="1145"/>
      <c r="BJ313" s="1145"/>
      <c r="BK313" s="1145"/>
      <c r="BL313" s="1145"/>
      <c r="BM313" s="1145"/>
      <c r="BN313" s="1145"/>
      <c r="BO313" s="1145"/>
      <c r="BP313" s="1145"/>
      <c r="BQ313" s="1145"/>
      <c r="BR313" s="1145"/>
      <c r="BS313" s="1145"/>
      <c r="BT313" s="1145"/>
      <c r="BU313" s="1145"/>
      <c r="BV313" s="1145"/>
      <c r="BW313" s="1145"/>
      <c r="BX313" s="1145"/>
      <c r="BY313" s="1145"/>
    </row>
    <row r="314" spans="1:77" ht="27" thickBot="1">
      <c r="A314" s="721"/>
      <c r="B314" s="725"/>
      <c r="C314" s="723"/>
      <c r="D314" s="723"/>
      <c r="E314" s="723"/>
      <c r="F314" s="365"/>
      <c r="G314" s="723"/>
      <c r="H314" s="776"/>
      <c r="I314" s="1254" t="s">
        <v>1724</v>
      </c>
      <c r="J314" s="1255"/>
      <c r="K314" s="1255"/>
      <c r="L314" s="1255"/>
      <c r="M314" s="1255"/>
      <c r="N314" s="1255"/>
      <c r="O314" s="1255"/>
      <c r="P314" s="821">
        <f>SUM(P310)</f>
        <v>0</v>
      </c>
      <c r="Q314" s="821">
        <f aca="true" t="shared" si="35" ref="Q314:AW314">SUM(Q310)</f>
        <v>0</v>
      </c>
      <c r="R314" s="821">
        <f t="shared" si="35"/>
        <v>0</v>
      </c>
      <c r="S314" s="821">
        <f t="shared" si="35"/>
        <v>0</v>
      </c>
      <c r="T314" s="821">
        <f t="shared" si="35"/>
        <v>0</v>
      </c>
      <c r="U314" s="821">
        <f t="shared" si="35"/>
        <v>0</v>
      </c>
      <c r="V314" s="821">
        <f t="shared" si="35"/>
        <v>0</v>
      </c>
      <c r="W314" s="821">
        <f t="shared" si="35"/>
        <v>0</v>
      </c>
      <c r="X314" s="821">
        <f t="shared" si="35"/>
        <v>0</v>
      </c>
      <c r="Y314" s="821">
        <f t="shared" si="35"/>
        <v>0</v>
      </c>
      <c r="Z314" s="821">
        <f t="shared" si="35"/>
        <v>0</v>
      </c>
      <c r="AA314" s="821">
        <f t="shared" si="35"/>
        <v>0</v>
      </c>
      <c r="AB314" s="821">
        <f t="shared" si="35"/>
        <v>0</v>
      </c>
      <c r="AC314" s="821">
        <f t="shared" si="35"/>
        <v>0</v>
      </c>
      <c r="AD314" s="821">
        <f t="shared" si="35"/>
        <v>120000000</v>
      </c>
      <c r="AE314" s="821">
        <f t="shared" si="35"/>
        <v>0</v>
      </c>
      <c r="AF314" s="821">
        <f t="shared" si="35"/>
        <v>0</v>
      </c>
      <c r="AG314" s="821">
        <f t="shared" si="35"/>
        <v>0</v>
      </c>
      <c r="AH314" s="821">
        <f t="shared" si="35"/>
        <v>0</v>
      </c>
      <c r="AI314" s="821">
        <f t="shared" si="35"/>
        <v>0</v>
      </c>
      <c r="AJ314" s="821">
        <f t="shared" si="35"/>
        <v>0</v>
      </c>
      <c r="AK314" s="821">
        <f t="shared" si="35"/>
        <v>0</v>
      </c>
      <c r="AL314" s="821">
        <f t="shared" si="35"/>
        <v>0</v>
      </c>
      <c r="AM314" s="821">
        <f t="shared" si="35"/>
        <v>0</v>
      </c>
      <c r="AN314" s="821">
        <f t="shared" si="35"/>
        <v>0</v>
      </c>
      <c r="AO314" s="821">
        <f t="shared" si="35"/>
        <v>0</v>
      </c>
      <c r="AP314" s="821">
        <f t="shared" si="35"/>
        <v>0</v>
      </c>
      <c r="AQ314" s="821">
        <f t="shared" si="35"/>
        <v>0</v>
      </c>
      <c r="AR314" s="821">
        <f t="shared" si="35"/>
        <v>0</v>
      </c>
      <c r="AS314" s="821">
        <f t="shared" si="35"/>
        <v>0</v>
      </c>
      <c r="AT314" s="821">
        <f t="shared" si="35"/>
        <v>0</v>
      </c>
      <c r="AU314" s="821">
        <f t="shared" si="35"/>
        <v>0</v>
      </c>
      <c r="AV314" s="821">
        <f t="shared" si="35"/>
        <v>0</v>
      </c>
      <c r="AW314" s="778">
        <f t="shared" si="35"/>
        <v>120000000</v>
      </c>
      <c r="BA314" s="1155"/>
      <c r="BB314" s="1155"/>
      <c r="BC314" s="1155"/>
      <c r="BD314" s="1155"/>
      <c r="BE314" s="1155"/>
      <c r="BF314" s="1155"/>
      <c r="BG314" s="1155"/>
      <c r="BH314" s="1145"/>
      <c r="BI314" s="1145"/>
      <c r="BJ314" s="1145"/>
      <c r="BK314" s="1145"/>
      <c r="BL314" s="1145"/>
      <c r="BM314" s="1145"/>
      <c r="BN314" s="1145"/>
      <c r="BO314" s="1145"/>
      <c r="BP314" s="1145"/>
      <c r="BQ314" s="1145"/>
      <c r="BR314" s="1145"/>
      <c r="BS314" s="1145"/>
      <c r="BT314" s="1145"/>
      <c r="BU314" s="1145"/>
      <c r="BV314" s="1145"/>
      <c r="BW314" s="1145"/>
      <c r="BX314" s="1145"/>
      <c r="BY314" s="1145"/>
    </row>
    <row r="315" spans="1:77" ht="48.75" customHeight="1" thickBot="1">
      <c r="A315" s="721"/>
      <c r="B315" s="725"/>
      <c r="C315" s="723"/>
      <c r="D315" s="723"/>
      <c r="E315" s="723"/>
      <c r="F315" s="365"/>
      <c r="G315" s="723"/>
      <c r="H315" s="776"/>
      <c r="I315" s="1223" t="s">
        <v>1734</v>
      </c>
      <c r="J315" s="1224"/>
      <c r="K315" s="1224"/>
      <c r="L315" s="1224"/>
      <c r="M315" s="1224"/>
      <c r="N315" s="1224"/>
      <c r="O315" s="1224"/>
      <c r="P315" s="864">
        <f aca="true" t="shared" si="36" ref="P315:AW315">+P269+P302+P309+P314</f>
        <v>0</v>
      </c>
      <c r="Q315" s="864">
        <f t="shared" si="36"/>
        <v>0</v>
      </c>
      <c r="R315" s="864">
        <f t="shared" si="36"/>
        <v>0</v>
      </c>
      <c r="S315" s="864">
        <f t="shared" si="36"/>
        <v>0</v>
      </c>
      <c r="T315" s="864">
        <f t="shared" si="36"/>
        <v>0</v>
      </c>
      <c r="U315" s="864">
        <f t="shared" si="36"/>
        <v>0</v>
      </c>
      <c r="V315" s="864">
        <f t="shared" si="36"/>
        <v>0</v>
      </c>
      <c r="W315" s="864">
        <f t="shared" si="36"/>
        <v>0</v>
      </c>
      <c r="X315" s="864">
        <f t="shared" si="36"/>
        <v>0</v>
      </c>
      <c r="Y315" s="864">
        <f t="shared" si="36"/>
        <v>0</v>
      </c>
      <c r="Z315" s="864">
        <f t="shared" si="36"/>
        <v>0</v>
      </c>
      <c r="AA315" s="864">
        <f t="shared" si="36"/>
        <v>0</v>
      </c>
      <c r="AB315" s="864">
        <f t="shared" si="36"/>
        <v>0</v>
      </c>
      <c r="AC315" s="864">
        <f t="shared" si="36"/>
        <v>0</v>
      </c>
      <c r="AD315" s="908">
        <f t="shared" si="36"/>
        <v>2546700200</v>
      </c>
      <c r="AE315" s="864">
        <f t="shared" si="36"/>
        <v>0</v>
      </c>
      <c r="AF315" s="864">
        <f t="shared" si="36"/>
        <v>0</v>
      </c>
      <c r="AG315" s="864">
        <f t="shared" si="36"/>
        <v>0</v>
      </c>
      <c r="AH315" s="864">
        <f t="shared" si="36"/>
        <v>130000000</v>
      </c>
      <c r="AI315" s="864">
        <f t="shared" si="36"/>
        <v>0</v>
      </c>
      <c r="AJ315" s="864">
        <f t="shared" si="36"/>
        <v>0</v>
      </c>
      <c r="AK315" s="864">
        <f t="shared" si="36"/>
        <v>0</v>
      </c>
      <c r="AL315" s="864">
        <f t="shared" si="36"/>
        <v>0</v>
      </c>
      <c r="AM315" s="864">
        <f t="shared" si="36"/>
        <v>0</v>
      </c>
      <c r="AN315" s="864">
        <f t="shared" si="36"/>
        <v>0</v>
      </c>
      <c r="AO315" s="864">
        <f t="shared" si="36"/>
        <v>0</v>
      </c>
      <c r="AP315" s="864">
        <f t="shared" si="36"/>
        <v>0</v>
      </c>
      <c r="AQ315" s="864">
        <f t="shared" si="36"/>
        <v>0</v>
      </c>
      <c r="AR315" s="864">
        <f t="shared" si="36"/>
        <v>0</v>
      </c>
      <c r="AS315" s="864">
        <f t="shared" si="36"/>
        <v>0</v>
      </c>
      <c r="AT315" s="864">
        <f t="shared" si="36"/>
        <v>0</v>
      </c>
      <c r="AU315" s="864">
        <f t="shared" si="36"/>
        <v>0</v>
      </c>
      <c r="AV315" s="864">
        <f t="shared" si="36"/>
        <v>3500000000</v>
      </c>
      <c r="AW315" s="864">
        <f t="shared" si="36"/>
        <v>6176700200</v>
      </c>
      <c r="BA315" s="1155"/>
      <c r="BB315" s="1155"/>
      <c r="BC315" s="1155"/>
      <c r="BD315" s="1155"/>
      <c r="BE315" s="1155"/>
      <c r="BF315" s="1155"/>
      <c r="BG315" s="1155"/>
      <c r="BH315" s="1145"/>
      <c r="BI315" s="1145"/>
      <c r="BJ315" s="1145"/>
      <c r="BK315" s="1145"/>
      <c r="BL315" s="1145"/>
      <c r="BM315" s="1145"/>
      <c r="BN315" s="1145"/>
      <c r="BO315" s="1145"/>
      <c r="BP315" s="1145"/>
      <c r="BQ315" s="1145"/>
      <c r="BR315" s="1145"/>
      <c r="BS315" s="1145"/>
      <c r="BT315" s="1145"/>
      <c r="BU315" s="1145"/>
      <c r="BV315" s="1145"/>
      <c r="BW315" s="1145"/>
      <c r="BX315" s="1145"/>
      <c r="BY315" s="1145"/>
    </row>
    <row r="316" spans="1:77" ht="56.25">
      <c r="A316" s="1376">
        <v>20</v>
      </c>
      <c r="B316" s="1374" t="s">
        <v>1352</v>
      </c>
      <c r="C316" s="1374" t="s">
        <v>1353</v>
      </c>
      <c r="D316" s="1374" t="s">
        <v>1354</v>
      </c>
      <c r="E316" s="1374" t="s">
        <v>1355</v>
      </c>
      <c r="F316" s="1374"/>
      <c r="G316" s="1374" t="s">
        <v>1114</v>
      </c>
      <c r="H316" s="688"/>
      <c r="I316" s="765" t="s">
        <v>1356</v>
      </c>
      <c r="J316" s="739" t="s">
        <v>1357</v>
      </c>
      <c r="K316" s="739"/>
      <c r="L316" s="739">
        <v>1</v>
      </c>
      <c r="M316" s="739"/>
      <c r="N316" s="786"/>
      <c r="O316" s="1323" t="s">
        <v>1697</v>
      </c>
      <c r="P316" s="1251"/>
      <c r="Q316" s="1251"/>
      <c r="R316" s="1251"/>
      <c r="S316" s="1251"/>
      <c r="T316" s="1251"/>
      <c r="U316" s="1251"/>
      <c r="V316" s="1251"/>
      <c r="W316" s="1251"/>
      <c r="X316" s="1251"/>
      <c r="Y316" s="1251"/>
      <c r="Z316" s="1251"/>
      <c r="AA316" s="1251"/>
      <c r="AB316" s="1251">
        <v>41629558</v>
      </c>
      <c r="AC316" s="900"/>
      <c r="AD316" s="1251">
        <v>350000000</v>
      </c>
      <c r="AE316" s="1251"/>
      <c r="AF316" s="1251"/>
      <c r="AG316" s="1251"/>
      <c r="AH316" s="1251"/>
      <c r="AI316" s="900"/>
      <c r="AJ316" s="900"/>
      <c r="AK316" s="900"/>
      <c r="AL316" s="900"/>
      <c r="AM316" s="900"/>
      <c r="AN316" s="900"/>
      <c r="AO316" s="900"/>
      <c r="AP316" s="900"/>
      <c r="AQ316" s="900"/>
      <c r="AR316" s="1251"/>
      <c r="AS316" s="1251"/>
      <c r="AT316" s="1251"/>
      <c r="AU316" s="1251"/>
      <c r="AV316" s="1251"/>
      <c r="AW316" s="1246">
        <f t="shared" si="31"/>
        <v>391629558</v>
      </c>
      <c r="BA316" s="1208" t="s">
        <v>1845</v>
      </c>
      <c r="BB316" s="1155"/>
      <c r="BC316" s="1155"/>
      <c r="BD316" s="1155"/>
      <c r="BE316" s="1155"/>
      <c r="BF316" s="1155"/>
      <c r="BG316" s="1155"/>
      <c r="BH316" s="1145"/>
      <c r="BI316" s="1145"/>
      <c r="BJ316" s="1145"/>
      <c r="BK316" s="1145"/>
      <c r="BL316" s="1145"/>
      <c r="BM316" s="1145"/>
      <c r="BN316" s="1145"/>
      <c r="BO316" s="1145"/>
      <c r="BP316" s="1145"/>
      <c r="BQ316" s="1145"/>
      <c r="BR316" s="1145"/>
      <c r="BS316" s="1145"/>
      <c r="BT316" s="1145"/>
      <c r="BU316" s="1145"/>
      <c r="BV316" s="1145"/>
      <c r="BW316" s="1145"/>
      <c r="BX316" s="1145"/>
      <c r="BY316" s="1145"/>
    </row>
    <row r="317" spans="1:77" ht="51.75" customHeight="1">
      <c r="A317" s="1377"/>
      <c r="B317" s="1374"/>
      <c r="C317" s="1374"/>
      <c r="D317" s="1374"/>
      <c r="E317" s="1374"/>
      <c r="F317" s="1374"/>
      <c r="G317" s="1374"/>
      <c r="H317" s="688"/>
      <c r="I317" s="750" t="s">
        <v>1358</v>
      </c>
      <c r="J317" s="688" t="s">
        <v>1359</v>
      </c>
      <c r="K317" s="688">
        <v>1</v>
      </c>
      <c r="L317" s="688">
        <v>1</v>
      </c>
      <c r="M317" s="688">
        <v>1</v>
      </c>
      <c r="N317" s="374">
        <v>1</v>
      </c>
      <c r="O317" s="1214"/>
      <c r="P317" s="1212"/>
      <c r="Q317" s="1212"/>
      <c r="R317" s="1212"/>
      <c r="S317" s="1212"/>
      <c r="T317" s="1212"/>
      <c r="U317" s="1212"/>
      <c r="V317" s="1212"/>
      <c r="W317" s="1212"/>
      <c r="X317" s="1212"/>
      <c r="Y317" s="1212"/>
      <c r="Z317" s="1212"/>
      <c r="AA317" s="1212"/>
      <c r="AB317" s="1212"/>
      <c r="AC317" s="460"/>
      <c r="AD317" s="1212"/>
      <c r="AE317" s="1212"/>
      <c r="AF317" s="1212"/>
      <c r="AG317" s="1212"/>
      <c r="AH317" s="1212"/>
      <c r="AI317" s="460"/>
      <c r="AJ317" s="460"/>
      <c r="AK317" s="460"/>
      <c r="AL317" s="460"/>
      <c r="AM317" s="460"/>
      <c r="AN317" s="460"/>
      <c r="AO317" s="460"/>
      <c r="AP317" s="460"/>
      <c r="AQ317" s="460"/>
      <c r="AR317" s="1212"/>
      <c r="AS317" s="1212"/>
      <c r="AT317" s="1212"/>
      <c r="AU317" s="1212"/>
      <c r="AV317" s="1212"/>
      <c r="AW317" s="1215">
        <f t="shared" si="31"/>
        <v>0</v>
      </c>
      <c r="BA317" s="1209"/>
      <c r="BB317" s="1155"/>
      <c r="BC317" s="1155"/>
      <c r="BD317" s="1155"/>
      <c r="BE317" s="1155"/>
      <c r="BF317" s="1155"/>
      <c r="BG317" s="1155"/>
      <c r="BH317" s="1145"/>
      <c r="BI317" s="1145"/>
      <c r="BJ317" s="1145"/>
      <c r="BK317" s="1145"/>
      <c r="BL317" s="1145"/>
      <c r="BM317" s="1145"/>
      <c r="BN317" s="1145"/>
      <c r="BO317" s="1145"/>
      <c r="BP317" s="1145"/>
      <c r="BQ317" s="1145"/>
      <c r="BR317" s="1145"/>
      <c r="BS317" s="1145"/>
      <c r="BT317" s="1145"/>
      <c r="BU317" s="1145"/>
      <c r="BV317" s="1145"/>
      <c r="BW317" s="1145"/>
      <c r="BX317" s="1145"/>
      <c r="BY317" s="1145"/>
    </row>
    <row r="318" spans="1:77" ht="63.75" customHeight="1" hidden="1">
      <c r="A318" s="1377"/>
      <c r="B318" s="1374"/>
      <c r="C318" s="1374"/>
      <c r="D318" s="1374"/>
      <c r="E318" s="1374"/>
      <c r="F318" s="1374"/>
      <c r="G318" s="1374"/>
      <c r="H318" s="688"/>
      <c r="I318" s="750" t="s">
        <v>1360</v>
      </c>
      <c r="J318" s="688" t="s">
        <v>1361</v>
      </c>
      <c r="K318" s="688">
        <v>1</v>
      </c>
      <c r="L318" s="688">
        <v>1</v>
      </c>
      <c r="M318" s="688"/>
      <c r="N318" s="374"/>
      <c r="O318" s="1214"/>
      <c r="P318" s="1212"/>
      <c r="Q318" s="1212"/>
      <c r="R318" s="1212"/>
      <c r="S318" s="1212"/>
      <c r="T318" s="1212"/>
      <c r="U318" s="1212"/>
      <c r="V318" s="1212"/>
      <c r="W318" s="1212"/>
      <c r="X318" s="1212"/>
      <c r="Y318" s="1212"/>
      <c r="Z318" s="1212"/>
      <c r="AA318" s="1212"/>
      <c r="AB318" s="1212"/>
      <c r="AC318" s="460"/>
      <c r="AD318" s="1212"/>
      <c r="AE318" s="1212"/>
      <c r="AF318" s="1212"/>
      <c r="AG318" s="1212"/>
      <c r="AH318" s="1212"/>
      <c r="AI318" s="460"/>
      <c r="AJ318" s="460"/>
      <c r="AK318" s="460"/>
      <c r="AL318" s="460"/>
      <c r="AM318" s="460"/>
      <c r="AN318" s="460"/>
      <c r="AO318" s="460"/>
      <c r="AP318" s="460"/>
      <c r="AQ318" s="460"/>
      <c r="AR318" s="1212"/>
      <c r="AS318" s="1212"/>
      <c r="AT318" s="1212"/>
      <c r="AU318" s="1212"/>
      <c r="AV318" s="1212"/>
      <c r="AW318" s="1215">
        <f t="shared" si="31"/>
        <v>0</v>
      </c>
      <c r="BA318" s="1209"/>
      <c r="BB318" s="1155"/>
      <c r="BC318" s="1155"/>
      <c r="BD318" s="1155"/>
      <c r="BE318" s="1155"/>
      <c r="BF318" s="1155"/>
      <c r="BG318" s="1155"/>
      <c r="BH318" s="1145"/>
      <c r="BI318" s="1145"/>
      <c r="BJ318" s="1145"/>
      <c r="BK318" s="1145"/>
      <c r="BL318" s="1145"/>
      <c r="BM318" s="1145"/>
      <c r="BN318" s="1145"/>
      <c r="BO318" s="1145"/>
      <c r="BP318" s="1145"/>
      <c r="BQ318" s="1145"/>
      <c r="BR318" s="1145"/>
      <c r="BS318" s="1145"/>
      <c r="BT318" s="1145"/>
      <c r="BU318" s="1145"/>
      <c r="BV318" s="1145"/>
      <c r="BW318" s="1145"/>
      <c r="BX318" s="1145"/>
      <c r="BY318" s="1145"/>
    </row>
    <row r="319" spans="1:77" ht="56.25" customHeight="1" hidden="1">
      <c r="A319" s="1377"/>
      <c r="B319" s="1374"/>
      <c r="C319" s="1374"/>
      <c r="D319" s="1374"/>
      <c r="E319" s="1374"/>
      <c r="F319" s="1374"/>
      <c r="G319" s="1374"/>
      <c r="H319" s="688"/>
      <c r="I319" s="750" t="s">
        <v>1362</v>
      </c>
      <c r="J319" s="688" t="s">
        <v>1363</v>
      </c>
      <c r="K319" s="688"/>
      <c r="L319" s="688">
        <v>1</v>
      </c>
      <c r="M319" s="688"/>
      <c r="N319" s="374"/>
      <c r="O319" s="1214"/>
      <c r="P319" s="1212"/>
      <c r="Q319" s="1212"/>
      <c r="R319" s="1212"/>
      <c r="S319" s="1212"/>
      <c r="T319" s="1212"/>
      <c r="U319" s="1212"/>
      <c r="V319" s="1212"/>
      <c r="W319" s="1212"/>
      <c r="X319" s="1212"/>
      <c r="Y319" s="1212"/>
      <c r="Z319" s="1212"/>
      <c r="AA319" s="1212"/>
      <c r="AB319" s="1212"/>
      <c r="AC319" s="460"/>
      <c r="AD319" s="1212"/>
      <c r="AE319" s="1212"/>
      <c r="AF319" s="1212"/>
      <c r="AG319" s="1212"/>
      <c r="AH319" s="1212"/>
      <c r="AI319" s="460"/>
      <c r="AJ319" s="460"/>
      <c r="AK319" s="460"/>
      <c r="AL319" s="460"/>
      <c r="AM319" s="460"/>
      <c r="AN319" s="460"/>
      <c r="AO319" s="460"/>
      <c r="AP319" s="460"/>
      <c r="AQ319" s="460"/>
      <c r="AR319" s="1212"/>
      <c r="AS319" s="1212"/>
      <c r="AT319" s="1212"/>
      <c r="AU319" s="1212"/>
      <c r="AV319" s="1212"/>
      <c r="AW319" s="1215">
        <f t="shared" si="31"/>
        <v>0</v>
      </c>
      <c r="BA319" s="1209"/>
      <c r="BB319" s="1155"/>
      <c r="BC319" s="1155"/>
      <c r="BD319" s="1155"/>
      <c r="BE319" s="1155"/>
      <c r="BF319" s="1155"/>
      <c r="BG319" s="1155"/>
      <c r="BH319" s="1145"/>
      <c r="BI319" s="1145"/>
      <c r="BJ319" s="1145"/>
      <c r="BK319" s="1145"/>
      <c r="BL319" s="1145"/>
      <c r="BM319" s="1145"/>
      <c r="BN319" s="1145"/>
      <c r="BO319" s="1145"/>
      <c r="BP319" s="1145"/>
      <c r="BQ319" s="1145"/>
      <c r="BR319" s="1145"/>
      <c r="BS319" s="1145"/>
      <c r="BT319" s="1145"/>
      <c r="BU319" s="1145"/>
      <c r="BV319" s="1145"/>
      <c r="BW319" s="1145"/>
      <c r="BX319" s="1145"/>
      <c r="BY319" s="1145"/>
    </row>
    <row r="320" spans="1:77" ht="69" customHeight="1">
      <c r="A320" s="1377"/>
      <c r="B320" s="1374"/>
      <c r="C320" s="1374"/>
      <c r="D320" s="1374"/>
      <c r="E320" s="1374"/>
      <c r="F320" s="1374"/>
      <c r="G320" s="1374"/>
      <c r="H320" s="688"/>
      <c r="I320" s="750" t="s">
        <v>1364</v>
      </c>
      <c r="J320" s="688" t="s">
        <v>1365</v>
      </c>
      <c r="K320" s="688">
        <v>1</v>
      </c>
      <c r="L320" s="688">
        <v>1</v>
      </c>
      <c r="M320" s="688">
        <v>1</v>
      </c>
      <c r="N320" s="374">
        <v>1</v>
      </c>
      <c r="O320" s="1214"/>
      <c r="P320" s="1212"/>
      <c r="Q320" s="1212"/>
      <c r="R320" s="1212"/>
      <c r="S320" s="1212"/>
      <c r="T320" s="1212"/>
      <c r="U320" s="1212"/>
      <c r="V320" s="1212"/>
      <c r="W320" s="1212"/>
      <c r="X320" s="1212"/>
      <c r="Y320" s="1212"/>
      <c r="Z320" s="1212"/>
      <c r="AA320" s="1212"/>
      <c r="AB320" s="1212"/>
      <c r="AC320" s="460"/>
      <c r="AD320" s="1212"/>
      <c r="AE320" s="1212"/>
      <c r="AF320" s="1212"/>
      <c r="AG320" s="1212"/>
      <c r="AH320" s="1212"/>
      <c r="AI320" s="460"/>
      <c r="AJ320" s="460"/>
      <c r="AK320" s="460"/>
      <c r="AL320" s="460"/>
      <c r="AM320" s="460"/>
      <c r="AN320" s="460"/>
      <c r="AO320" s="460"/>
      <c r="AP320" s="460"/>
      <c r="AQ320" s="460"/>
      <c r="AR320" s="1212"/>
      <c r="AS320" s="1212"/>
      <c r="AT320" s="1212"/>
      <c r="AU320" s="1212"/>
      <c r="AV320" s="1212"/>
      <c r="AW320" s="1215">
        <f t="shared" si="31"/>
        <v>0</v>
      </c>
      <c r="BA320" s="1209"/>
      <c r="BB320" s="1155"/>
      <c r="BC320" s="1155"/>
      <c r="BD320" s="1155"/>
      <c r="BE320" s="1155"/>
      <c r="BF320" s="1155"/>
      <c r="BG320" s="1155"/>
      <c r="BH320" s="1145"/>
      <c r="BI320" s="1145"/>
      <c r="BJ320" s="1145"/>
      <c r="BK320" s="1145"/>
      <c r="BL320" s="1145"/>
      <c r="BM320" s="1145"/>
      <c r="BN320" s="1145"/>
      <c r="BO320" s="1145"/>
      <c r="BP320" s="1145"/>
      <c r="BQ320" s="1145"/>
      <c r="BR320" s="1145"/>
      <c r="BS320" s="1145"/>
      <c r="BT320" s="1145"/>
      <c r="BU320" s="1145"/>
      <c r="BV320" s="1145"/>
      <c r="BW320" s="1145"/>
      <c r="BX320" s="1145"/>
      <c r="BY320" s="1145"/>
    </row>
    <row r="321" spans="1:77" ht="49.5" customHeight="1" thickBot="1">
      <c r="A321" s="1377"/>
      <c r="B321" s="1374"/>
      <c r="C321" s="1374"/>
      <c r="D321" s="1374"/>
      <c r="E321" s="1374"/>
      <c r="F321" s="1374"/>
      <c r="G321" s="1374"/>
      <c r="H321" s="688"/>
      <c r="I321" s="764" t="s">
        <v>1366</v>
      </c>
      <c r="J321" s="732" t="s">
        <v>1367</v>
      </c>
      <c r="K321" s="732"/>
      <c r="L321" s="732">
        <v>1</v>
      </c>
      <c r="M321" s="732">
        <v>1</v>
      </c>
      <c r="N321" s="376"/>
      <c r="O321" s="1324"/>
      <c r="P321" s="1252"/>
      <c r="Q321" s="1252"/>
      <c r="R321" s="1252"/>
      <c r="S321" s="1252"/>
      <c r="T321" s="1252"/>
      <c r="U321" s="1252"/>
      <c r="V321" s="1252"/>
      <c r="W321" s="1252"/>
      <c r="X321" s="1252"/>
      <c r="Y321" s="1252"/>
      <c r="Z321" s="1252"/>
      <c r="AA321" s="1252"/>
      <c r="AB321" s="1252"/>
      <c r="AC321" s="835"/>
      <c r="AD321" s="1252"/>
      <c r="AE321" s="1252"/>
      <c r="AF321" s="1252"/>
      <c r="AG321" s="1252"/>
      <c r="AH321" s="1252"/>
      <c r="AI321" s="835"/>
      <c r="AJ321" s="835"/>
      <c r="AK321" s="835"/>
      <c r="AL321" s="835"/>
      <c r="AM321" s="835"/>
      <c r="AN321" s="835"/>
      <c r="AO321" s="835"/>
      <c r="AP321" s="835"/>
      <c r="AQ321" s="835"/>
      <c r="AR321" s="1252"/>
      <c r="AS321" s="1252"/>
      <c r="AT321" s="1252"/>
      <c r="AU321" s="1252"/>
      <c r="AV321" s="1252"/>
      <c r="AW321" s="1247">
        <f t="shared" si="31"/>
        <v>0</v>
      </c>
      <c r="BA321" s="1210"/>
      <c r="BB321" s="1155"/>
      <c r="BC321" s="1155"/>
      <c r="BD321" s="1155"/>
      <c r="BE321" s="1155"/>
      <c r="BF321" s="1155"/>
      <c r="BG321" s="1155"/>
      <c r="BH321" s="1145"/>
      <c r="BI321" s="1145"/>
      <c r="BJ321" s="1145"/>
      <c r="BK321" s="1145"/>
      <c r="BL321" s="1145"/>
      <c r="BM321" s="1145"/>
      <c r="BN321" s="1145"/>
      <c r="BO321" s="1145"/>
      <c r="BP321" s="1145"/>
      <c r="BQ321" s="1145"/>
      <c r="BR321" s="1145"/>
      <c r="BS321" s="1145"/>
      <c r="BT321" s="1145"/>
      <c r="BU321" s="1145"/>
      <c r="BV321" s="1145"/>
      <c r="BW321" s="1145"/>
      <c r="BX321" s="1145"/>
      <c r="BY321" s="1145"/>
    </row>
    <row r="322" spans="1:77" ht="49.5" customHeight="1" thickBot="1">
      <c r="A322" s="1377"/>
      <c r="B322" s="1374"/>
      <c r="C322" s="406"/>
      <c r="D322" s="406"/>
      <c r="E322" s="406"/>
      <c r="F322" s="406"/>
      <c r="G322" s="406"/>
      <c r="H322" s="374"/>
      <c r="I322" s="1248" t="s">
        <v>1725</v>
      </c>
      <c r="J322" s="1249"/>
      <c r="K322" s="1249"/>
      <c r="L322" s="1249"/>
      <c r="M322" s="1249"/>
      <c r="N322" s="1249"/>
      <c r="O322" s="1250"/>
      <c r="P322" s="872">
        <f>SUM(P316)</f>
        <v>0</v>
      </c>
      <c r="Q322" s="872">
        <f aca="true" t="shared" si="37" ref="Q322:AW322">SUM(Q316)</f>
        <v>0</v>
      </c>
      <c r="R322" s="872">
        <f t="shared" si="37"/>
        <v>0</v>
      </c>
      <c r="S322" s="872">
        <f t="shared" si="37"/>
        <v>0</v>
      </c>
      <c r="T322" s="872">
        <f t="shared" si="37"/>
        <v>0</v>
      </c>
      <c r="U322" s="872">
        <f t="shared" si="37"/>
        <v>0</v>
      </c>
      <c r="V322" s="872">
        <f t="shared" si="37"/>
        <v>0</v>
      </c>
      <c r="W322" s="872">
        <f t="shared" si="37"/>
        <v>0</v>
      </c>
      <c r="X322" s="872">
        <f t="shared" si="37"/>
        <v>0</v>
      </c>
      <c r="Y322" s="872">
        <f t="shared" si="37"/>
        <v>0</v>
      </c>
      <c r="Z322" s="872">
        <f t="shared" si="37"/>
        <v>0</v>
      </c>
      <c r="AA322" s="872">
        <f t="shared" si="37"/>
        <v>0</v>
      </c>
      <c r="AB322" s="872">
        <f t="shared" si="37"/>
        <v>41629558</v>
      </c>
      <c r="AC322" s="872">
        <f t="shared" si="37"/>
        <v>0</v>
      </c>
      <c r="AD322" s="872">
        <f t="shared" si="37"/>
        <v>350000000</v>
      </c>
      <c r="AE322" s="872">
        <f t="shared" si="37"/>
        <v>0</v>
      </c>
      <c r="AF322" s="872">
        <f t="shared" si="37"/>
        <v>0</v>
      </c>
      <c r="AG322" s="872">
        <f t="shared" si="37"/>
        <v>0</v>
      </c>
      <c r="AH322" s="872">
        <f t="shared" si="37"/>
        <v>0</v>
      </c>
      <c r="AI322" s="872">
        <f t="shared" si="37"/>
        <v>0</v>
      </c>
      <c r="AJ322" s="872">
        <f t="shared" si="37"/>
        <v>0</v>
      </c>
      <c r="AK322" s="872">
        <f t="shared" si="37"/>
        <v>0</v>
      </c>
      <c r="AL322" s="872">
        <f t="shared" si="37"/>
        <v>0</v>
      </c>
      <c r="AM322" s="872">
        <f t="shared" si="37"/>
        <v>0</v>
      </c>
      <c r="AN322" s="872">
        <f t="shared" si="37"/>
        <v>0</v>
      </c>
      <c r="AO322" s="872">
        <f t="shared" si="37"/>
        <v>0</v>
      </c>
      <c r="AP322" s="872">
        <f t="shared" si="37"/>
        <v>0</v>
      </c>
      <c r="AQ322" s="872">
        <f t="shared" si="37"/>
        <v>0</v>
      </c>
      <c r="AR322" s="872">
        <f t="shared" si="37"/>
        <v>0</v>
      </c>
      <c r="AS322" s="872">
        <f t="shared" si="37"/>
        <v>0</v>
      </c>
      <c r="AT322" s="872">
        <f t="shared" si="37"/>
        <v>0</v>
      </c>
      <c r="AU322" s="872">
        <f t="shared" si="37"/>
        <v>0</v>
      </c>
      <c r="AV322" s="872">
        <f t="shared" si="37"/>
        <v>0</v>
      </c>
      <c r="AW322" s="873">
        <f t="shared" si="37"/>
        <v>391629558</v>
      </c>
      <c r="BA322" s="1155"/>
      <c r="BB322" s="1155"/>
      <c r="BC322" s="1155"/>
      <c r="BD322" s="1155"/>
      <c r="BE322" s="1155"/>
      <c r="BF322" s="1155"/>
      <c r="BG322" s="1155"/>
      <c r="BH322" s="1145"/>
      <c r="BI322" s="1145"/>
      <c r="BJ322" s="1145"/>
      <c r="BK322" s="1145"/>
      <c r="BL322" s="1145"/>
      <c r="BM322" s="1145"/>
      <c r="BN322" s="1145"/>
      <c r="BO322" s="1145"/>
      <c r="BP322" s="1145"/>
      <c r="BQ322" s="1145"/>
      <c r="BR322" s="1145"/>
      <c r="BS322" s="1145"/>
      <c r="BT322" s="1145"/>
      <c r="BU322" s="1145"/>
      <c r="BV322" s="1145"/>
      <c r="BW322" s="1145"/>
      <c r="BX322" s="1145"/>
      <c r="BY322" s="1145"/>
    </row>
    <row r="323" spans="1:77" ht="15" customHeight="1" hidden="1">
      <c r="A323" s="1377"/>
      <c r="B323" s="1374"/>
      <c r="C323" s="1373" t="s">
        <v>1368</v>
      </c>
      <c r="D323" s="1367" t="s">
        <v>1369</v>
      </c>
      <c r="E323" s="1367" t="s">
        <v>1370</v>
      </c>
      <c r="F323" s="1373"/>
      <c r="G323" s="1373" t="s">
        <v>1114</v>
      </c>
      <c r="H323" s="688"/>
      <c r="I323" s="1372" t="s">
        <v>1371</v>
      </c>
      <c r="J323" s="739"/>
      <c r="K323" s="739"/>
      <c r="L323" s="739"/>
      <c r="M323" s="739"/>
      <c r="N323" s="739"/>
      <c r="BA323" s="1155"/>
      <c r="BB323" s="1155"/>
      <c r="BC323" s="1155"/>
      <c r="BD323" s="1155"/>
      <c r="BE323" s="1155"/>
      <c r="BF323" s="1155"/>
      <c r="BG323" s="1155"/>
      <c r="BH323" s="1145"/>
      <c r="BI323" s="1145"/>
      <c r="BJ323" s="1145"/>
      <c r="BK323" s="1145"/>
      <c r="BL323" s="1145"/>
      <c r="BM323" s="1145"/>
      <c r="BN323" s="1145"/>
      <c r="BO323" s="1145"/>
      <c r="BP323" s="1145"/>
      <c r="BQ323" s="1145"/>
      <c r="BR323" s="1145"/>
      <c r="BS323" s="1145"/>
      <c r="BT323" s="1145"/>
      <c r="BU323" s="1145"/>
      <c r="BV323" s="1145"/>
      <c r="BW323" s="1145"/>
      <c r="BX323" s="1145"/>
      <c r="BY323" s="1145"/>
    </row>
    <row r="324" spans="1:77" ht="63.75" customHeight="1">
      <c r="A324" s="1377"/>
      <c r="B324" s="1374"/>
      <c r="C324" s="1373"/>
      <c r="D324" s="1367"/>
      <c r="E324" s="1367"/>
      <c r="F324" s="1373"/>
      <c r="G324" s="1373"/>
      <c r="H324" s="688"/>
      <c r="I324" s="1292"/>
      <c r="J324" s="688" t="s">
        <v>1372</v>
      </c>
      <c r="K324" s="688"/>
      <c r="L324" s="688">
        <v>1</v>
      </c>
      <c r="M324" s="688">
        <v>1</v>
      </c>
      <c r="N324" s="374">
        <v>1</v>
      </c>
      <c r="O324" s="1325" t="s">
        <v>1748</v>
      </c>
      <c r="P324" s="1239"/>
      <c r="Q324" s="1239"/>
      <c r="R324" s="1239"/>
      <c r="S324" s="1239"/>
      <c r="T324" s="1239"/>
      <c r="U324" s="1239"/>
      <c r="V324" s="1239"/>
      <c r="W324" s="1239"/>
      <c r="X324" s="1239"/>
      <c r="Y324" s="1239"/>
      <c r="Z324" s="1239"/>
      <c r="AA324" s="1239"/>
      <c r="AB324" s="1239"/>
      <c r="AC324" s="826"/>
      <c r="AD324" s="1239">
        <v>100000000</v>
      </c>
      <c r="AE324" s="1239"/>
      <c r="AF324" s="1239"/>
      <c r="AG324" s="1239"/>
      <c r="AH324" s="1239"/>
      <c r="AI324" s="826"/>
      <c r="AJ324" s="826"/>
      <c r="AK324" s="826"/>
      <c r="AL324" s="826"/>
      <c r="AM324" s="826"/>
      <c r="AN324" s="826"/>
      <c r="AO324" s="826"/>
      <c r="AP324" s="826"/>
      <c r="AQ324" s="826"/>
      <c r="AR324" s="1239"/>
      <c r="AS324" s="1239"/>
      <c r="AT324" s="1239"/>
      <c r="AU324" s="1239"/>
      <c r="AV324" s="1239"/>
      <c r="AW324" s="1241">
        <f aca="true" t="shared" si="38" ref="AW324:AW332">SUM(P324:AV324)</f>
        <v>100000000</v>
      </c>
      <c r="BA324" s="1208" t="s">
        <v>1846</v>
      </c>
      <c r="BB324" s="1155"/>
      <c r="BC324" s="1155"/>
      <c r="BD324" s="1155"/>
      <c r="BE324" s="1155"/>
      <c r="BF324" s="1155"/>
      <c r="BG324" s="1155"/>
      <c r="BH324" s="1145"/>
      <c r="BI324" s="1145"/>
      <c r="BJ324" s="1145"/>
      <c r="BK324" s="1145"/>
      <c r="BL324" s="1145"/>
      <c r="BM324" s="1145"/>
      <c r="BN324" s="1145"/>
      <c r="BO324" s="1145"/>
      <c r="BP324" s="1145"/>
      <c r="BQ324" s="1145"/>
      <c r="BR324" s="1145"/>
      <c r="BS324" s="1145"/>
      <c r="BT324" s="1145"/>
      <c r="BU324" s="1145"/>
      <c r="BV324" s="1145"/>
      <c r="BW324" s="1145"/>
      <c r="BX324" s="1145"/>
      <c r="BY324" s="1145"/>
    </row>
    <row r="325" spans="1:77" ht="72" customHeight="1">
      <c r="A325" s="1377"/>
      <c r="B325" s="1374"/>
      <c r="C325" s="1373"/>
      <c r="D325" s="1367"/>
      <c r="E325" s="1367"/>
      <c r="F325" s="1373"/>
      <c r="G325" s="1373"/>
      <c r="H325" s="688"/>
      <c r="I325" s="750" t="s">
        <v>1373</v>
      </c>
      <c r="J325" s="688" t="s">
        <v>1374</v>
      </c>
      <c r="K325" s="688">
        <v>200</v>
      </c>
      <c r="L325" s="688">
        <v>200</v>
      </c>
      <c r="M325" s="688">
        <v>200</v>
      </c>
      <c r="N325" s="374"/>
      <c r="O325" s="1326"/>
      <c r="P325" s="1240"/>
      <c r="Q325" s="1240"/>
      <c r="R325" s="1240"/>
      <c r="S325" s="1240"/>
      <c r="T325" s="1240"/>
      <c r="U325" s="1240"/>
      <c r="V325" s="1240"/>
      <c r="W325" s="1240"/>
      <c r="X325" s="1240"/>
      <c r="Y325" s="1240"/>
      <c r="Z325" s="1240"/>
      <c r="AA325" s="1240"/>
      <c r="AB325" s="1240"/>
      <c r="AC325" s="460"/>
      <c r="AD325" s="1240"/>
      <c r="AE325" s="1240"/>
      <c r="AF325" s="1240"/>
      <c r="AG325" s="1240"/>
      <c r="AH325" s="1240"/>
      <c r="AI325" s="460"/>
      <c r="AJ325" s="460"/>
      <c r="AK325" s="460"/>
      <c r="AL325" s="460"/>
      <c r="AM325" s="460"/>
      <c r="AN325" s="460"/>
      <c r="AO325" s="460"/>
      <c r="AP325" s="460"/>
      <c r="AQ325" s="460"/>
      <c r="AR325" s="1240"/>
      <c r="AS325" s="1240"/>
      <c r="AT325" s="1240"/>
      <c r="AU325" s="1240"/>
      <c r="AV325" s="1240"/>
      <c r="AW325" s="1242">
        <f t="shared" si="38"/>
        <v>0</v>
      </c>
      <c r="BA325" s="1209"/>
      <c r="BB325" s="1155"/>
      <c r="BC325" s="1155"/>
      <c r="BD325" s="1155"/>
      <c r="BE325" s="1155"/>
      <c r="BF325" s="1155"/>
      <c r="BG325" s="1155"/>
      <c r="BH325" s="1145"/>
      <c r="BI325" s="1145"/>
      <c r="BJ325" s="1145"/>
      <c r="BK325" s="1145"/>
      <c r="BL325" s="1145"/>
      <c r="BM325" s="1145"/>
      <c r="BN325" s="1145"/>
      <c r="BO325" s="1145"/>
      <c r="BP325" s="1145"/>
      <c r="BQ325" s="1145"/>
      <c r="BR325" s="1145"/>
      <c r="BS325" s="1145"/>
      <c r="BT325" s="1145"/>
      <c r="BU325" s="1145"/>
      <c r="BV325" s="1145"/>
      <c r="BW325" s="1145"/>
      <c r="BX325" s="1145"/>
      <c r="BY325" s="1145"/>
    </row>
    <row r="326" spans="1:77" ht="73.5" customHeight="1">
      <c r="A326" s="1377"/>
      <c r="B326" s="1374"/>
      <c r="C326" s="1373"/>
      <c r="D326" s="1367"/>
      <c r="E326" s="1367"/>
      <c r="F326" s="1373"/>
      <c r="G326" s="1373"/>
      <c r="H326" s="688"/>
      <c r="I326" s="750" t="s">
        <v>1375</v>
      </c>
      <c r="J326" s="688" t="s">
        <v>1376</v>
      </c>
      <c r="K326" s="688"/>
      <c r="L326" s="688">
        <v>1</v>
      </c>
      <c r="M326" s="688">
        <v>1</v>
      </c>
      <c r="N326" s="374"/>
      <c r="O326" s="1326"/>
      <c r="P326" s="1240"/>
      <c r="Q326" s="1240"/>
      <c r="R326" s="1240"/>
      <c r="S326" s="1240"/>
      <c r="T326" s="1240"/>
      <c r="U326" s="1240"/>
      <c r="V326" s="1240"/>
      <c r="W326" s="1240"/>
      <c r="X326" s="1240"/>
      <c r="Y326" s="1240"/>
      <c r="Z326" s="1240"/>
      <c r="AA326" s="1240"/>
      <c r="AB326" s="1240"/>
      <c r="AC326" s="460"/>
      <c r="AD326" s="1240"/>
      <c r="AE326" s="1240"/>
      <c r="AF326" s="1240"/>
      <c r="AG326" s="1240"/>
      <c r="AH326" s="1240"/>
      <c r="AI326" s="460"/>
      <c r="AJ326" s="460"/>
      <c r="AK326" s="460"/>
      <c r="AL326" s="460"/>
      <c r="AM326" s="460"/>
      <c r="AN326" s="460"/>
      <c r="AO326" s="460"/>
      <c r="AP326" s="460"/>
      <c r="AQ326" s="460"/>
      <c r="AR326" s="1240"/>
      <c r="AS326" s="1240"/>
      <c r="AT326" s="1240"/>
      <c r="AU326" s="1240"/>
      <c r="AV326" s="1240"/>
      <c r="AW326" s="1242">
        <f t="shared" si="38"/>
        <v>0</v>
      </c>
      <c r="BA326" s="1209"/>
      <c r="BB326" s="1155"/>
      <c r="BC326" s="1155"/>
      <c r="BD326" s="1155"/>
      <c r="BE326" s="1155"/>
      <c r="BF326" s="1155"/>
      <c r="BG326" s="1155"/>
      <c r="BH326" s="1145"/>
      <c r="BI326" s="1145"/>
      <c r="BJ326" s="1145"/>
      <c r="BK326" s="1145"/>
      <c r="BL326" s="1145"/>
      <c r="BM326" s="1145"/>
      <c r="BN326" s="1145"/>
      <c r="BO326" s="1145"/>
      <c r="BP326" s="1145"/>
      <c r="BQ326" s="1145"/>
      <c r="BR326" s="1145"/>
      <c r="BS326" s="1145"/>
      <c r="BT326" s="1145"/>
      <c r="BU326" s="1145"/>
      <c r="BV326" s="1145"/>
      <c r="BW326" s="1145"/>
      <c r="BX326" s="1145"/>
      <c r="BY326" s="1145"/>
    </row>
    <row r="327" spans="1:77" ht="65.25" customHeight="1">
      <c r="A327" s="1377"/>
      <c r="B327" s="1374"/>
      <c r="C327" s="1373"/>
      <c r="D327" s="1367"/>
      <c r="E327" s="1367"/>
      <c r="F327" s="1373"/>
      <c r="G327" s="1373"/>
      <c r="H327" s="688"/>
      <c r="I327" s="750" t="s">
        <v>1377</v>
      </c>
      <c r="J327" s="688" t="s">
        <v>1378</v>
      </c>
      <c r="K327" s="688"/>
      <c r="L327" s="688">
        <v>25</v>
      </c>
      <c r="M327" s="688">
        <v>25</v>
      </c>
      <c r="N327" s="374"/>
      <c r="O327" s="1326"/>
      <c r="P327" s="1240"/>
      <c r="Q327" s="1240"/>
      <c r="R327" s="1240"/>
      <c r="S327" s="1240"/>
      <c r="T327" s="1240"/>
      <c r="U327" s="1240"/>
      <c r="V327" s="1240"/>
      <c r="W327" s="1240"/>
      <c r="X327" s="1240"/>
      <c r="Y327" s="1240"/>
      <c r="Z327" s="1240"/>
      <c r="AA327" s="1240"/>
      <c r="AB327" s="1240"/>
      <c r="AC327" s="460"/>
      <c r="AD327" s="1240"/>
      <c r="AE327" s="1240"/>
      <c r="AF327" s="1240"/>
      <c r="AG327" s="1240"/>
      <c r="AH327" s="1240"/>
      <c r="AI327" s="460"/>
      <c r="AJ327" s="460"/>
      <c r="AK327" s="460"/>
      <c r="AL327" s="460"/>
      <c r="AM327" s="460"/>
      <c r="AN327" s="460"/>
      <c r="AO327" s="460"/>
      <c r="AP327" s="460"/>
      <c r="AQ327" s="460"/>
      <c r="AR327" s="1240"/>
      <c r="AS327" s="1240"/>
      <c r="AT327" s="1240"/>
      <c r="AU327" s="1240"/>
      <c r="AV327" s="1240"/>
      <c r="AW327" s="1242">
        <f t="shared" si="38"/>
        <v>0</v>
      </c>
      <c r="BA327" s="1209"/>
      <c r="BB327" s="1155"/>
      <c r="BC327" s="1155"/>
      <c r="BD327" s="1155"/>
      <c r="BE327" s="1155"/>
      <c r="BF327" s="1155"/>
      <c r="BG327" s="1155"/>
      <c r="BH327" s="1145"/>
      <c r="BI327" s="1145"/>
      <c r="BJ327" s="1145"/>
      <c r="BK327" s="1145"/>
      <c r="BL327" s="1145"/>
      <c r="BM327" s="1145"/>
      <c r="BN327" s="1145"/>
      <c r="BO327" s="1145"/>
      <c r="BP327" s="1145"/>
      <c r="BQ327" s="1145"/>
      <c r="BR327" s="1145"/>
      <c r="BS327" s="1145"/>
      <c r="BT327" s="1145"/>
      <c r="BU327" s="1145"/>
      <c r="BV327" s="1145"/>
      <c r="BW327" s="1145"/>
      <c r="BX327" s="1145"/>
      <c r="BY327" s="1145"/>
    </row>
    <row r="328" spans="1:77" ht="68.25" customHeight="1">
      <c r="A328" s="1377"/>
      <c r="B328" s="1374"/>
      <c r="C328" s="1373"/>
      <c r="D328" s="1367"/>
      <c r="E328" s="1367"/>
      <c r="F328" s="1373"/>
      <c r="G328" s="1373"/>
      <c r="H328" s="688"/>
      <c r="I328" s="750" t="s">
        <v>1379</v>
      </c>
      <c r="J328" s="688" t="s">
        <v>1380</v>
      </c>
      <c r="K328" s="688">
        <v>1</v>
      </c>
      <c r="L328" s="688">
        <v>1</v>
      </c>
      <c r="M328" s="688">
        <v>1</v>
      </c>
      <c r="N328" s="374">
        <v>1</v>
      </c>
      <c r="O328" s="1326"/>
      <c r="P328" s="1240"/>
      <c r="Q328" s="1240"/>
      <c r="R328" s="1240"/>
      <c r="S328" s="1240"/>
      <c r="T328" s="1240"/>
      <c r="U328" s="1240"/>
      <c r="V328" s="1240"/>
      <c r="W328" s="1240"/>
      <c r="X328" s="1240"/>
      <c r="Y328" s="1240"/>
      <c r="Z328" s="1240"/>
      <c r="AA328" s="1240"/>
      <c r="AB328" s="1240"/>
      <c r="AC328" s="460"/>
      <c r="AD328" s="1240"/>
      <c r="AE328" s="1240"/>
      <c r="AF328" s="1240"/>
      <c r="AG328" s="1240"/>
      <c r="AH328" s="1240"/>
      <c r="AI328" s="460"/>
      <c r="AJ328" s="460"/>
      <c r="AK328" s="460"/>
      <c r="AL328" s="460"/>
      <c r="AM328" s="460"/>
      <c r="AN328" s="460"/>
      <c r="AO328" s="460"/>
      <c r="AP328" s="460"/>
      <c r="AQ328" s="460"/>
      <c r="AR328" s="1240"/>
      <c r="AS328" s="1240"/>
      <c r="AT328" s="1240"/>
      <c r="AU328" s="1240"/>
      <c r="AV328" s="1240"/>
      <c r="AW328" s="1242">
        <f t="shared" si="38"/>
        <v>0</v>
      </c>
      <c r="BA328" s="1209"/>
      <c r="BB328" s="1155"/>
      <c r="BC328" s="1155"/>
      <c r="BD328" s="1155"/>
      <c r="BE328" s="1155"/>
      <c r="BF328" s="1155"/>
      <c r="BG328" s="1155"/>
      <c r="BH328" s="1145"/>
      <c r="BI328" s="1145"/>
      <c r="BJ328" s="1145"/>
      <c r="BK328" s="1145"/>
      <c r="BL328" s="1145"/>
      <c r="BM328" s="1145"/>
      <c r="BN328" s="1145"/>
      <c r="BO328" s="1145"/>
      <c r="BP328" s="1145"/>
      <c r="BQ328" s="1145"/>
      <c r="BR328" s="1145"/>
      <c r="BS328" s="1145"/>
      <c r="BT328" s="1145"/>
      <c r="BU328" s="1145"/>
      <c r="BV328" s="1145"/>
      <c r="BW328" s="1145"/>
      <c r="BX328" s="1145"/>
      <c r="BY328" s="1145"/>
    </row>
    <row r="329" spans="1:77" ht="43.5" customHeight="1">
      <c r="A329" s="1377"/>
      <c r="B329" s="1374"/>
      <c r="C329" s="1373"/>
      <c r="D329" s="1367"/>
      <c r="E329" s="1367"/>
      <c r="F329" s="1373"/>
      <c r="G329" s="1373"/>
      <c r="H329" s="688"/>
      <c r="I329" s="750" t="s">
        <v>1381</v>
      </c>
      <c r="J329" s="688" t="s">
        <v>1382</v>
      </c>
      <c r="K329" s="688">
        <v>1</v>
      </c>
      <c r="L329" s="688">
        <v>2</v>
      </c>
      <c r="M329" s="688">
        <v>2</v>
      </c>
      <c r="N329" s="374"/>
      <c r="O329" s="1326"/>
      <c r="P329" s="1240"/>
      <c r="Q329" s="1240"/>
      <c r="R329" s="1240"/>
      <c r="S329" s="1240"/>
      <c r="T329" s="1240"/>
      <c r="U329" s="1240"/>
      <c r="V329" s="1240"/>
      <c r="W329" s="1240"/>
      <c r="X329" s="1240"/>
      <c r="Y329" s="1240"/>
      <c r="Z329" s="1240"/>
      <c r="AA329" s="1240"/>
      <c r="AB329" s="1240"/>
      <c r="AC329" s="460"/>
      <c r="AD329" s="1240"/>
      <c r="AE329" s="1240"/>
      <c r="AF329" s="1240"/>
      <c r="AG329" s="1240"/>
      <c r="AH329" s="1240"/>
      <c r="AI329" s="460"/>
      <c r="AJ329" s="460"/>
      <c r="AK329" s="460"/>
      <c r="AL329" s="460"/>
      <c r="AM329" s="460"/>
      <c r="AN329" s="460"/>
      <c r="AO329" s="460"/>
      <c r="AP329" s="460"/>
      <c r="AQ329" s="460"/>
      <c r="AR329" s="1240"/>
      <c r="AS329" s="1240"/>
      <c r="AT329" s="1240"/>
      <c r="AU329" s="1240"/>
      <c r="AV329" s="1240"/>
      <c r="AW329" s="1242">
        <f t="shared" si="38"/>
        <v>0</v>
      </c>
      <c r="BA329" s="1209"/>
      <c r="BB329" s="1155"/>
      <c r="BC329" s="1155"/>
      <c r="BD329" s="1155"/>
      <c r="BE329" s="1155"/>
      <c r="BF329" s="1155"/>
      <c r="BG329" s="1155"/>
      <c r="BH329" s="1145"/>
      <c r="BI329" s="1145"/>
      <c r="BJ329" s="1145"/>
      <c r="BK329" s="1145"/>
      <c r="BL329" s="1145"/>
      <c r="BM329" s="1145"/>
      <c r="BN329" s="1145"/>
      <c r="BO329" s="1145"/>
      <c r="BP329" s="1145"/>
      <c r="BQ329" s="1145"/>
      <c r="BR329" s="1145"/>
      <c r="BS329" s="1145"/>
      <c r="BT329" s="1145"/>
      <c r="BU329" s="1145"/>
      <c r="BV329" s="1145"/>
      <c r="BW329" s="1145"/>
      <c r="BX329" s="1145"/>
      <c r="BY329" s="1145"/>
    </row>
    <row r="330" spans="1:77" ht="45" customHeight="1">
      <c r="A330" s="1377"/>
      <c r="B330" s="1374"/>
      <c r="C330" s="1373"/>
      <c r="D330" s="1367"/>
      <c r="E330" s="1367"/>
      <c r="F330" s="1373"/>
      <c r="G330" s="1373"/>
      <c r="H330" s="688"/>
      <c r="I330" s="750" t="s">
        <v>1383</v>
      </c>
      <c r="J330" s="688" t="s">
        <v>1384</v>
      </c>
      <c r="K330" s="688"/>
      <c r="L330" s="688"/>
      <c r="M330" s="688">
        <v>50</v>
      </c>
      <c r="N330" s="374"/>
      <c r="O330" s="1326"/>
      <c r="P330" s="1240"/>
      <c r="Q330" s="1240"/>
      <c r="R330" s="1240"/>
      <c r="S330" s="1240"/>
      <c r="T330" s="1240"/>
      <c r="U330" s="1240"/>
      <c r="V330" s="1240"/>
      <c r="W330" s="1240"/>
      <c r="X330" s="1240"/>
      <c r="Y330" s="1240"/>
      <c r="Z330" s="1240"/>
      <c r="AA330" s="1240"/>
      <c r="AB330" s="1240"/>
      <c r="AC330" s="460"/>
      <c r="AD330" s="1240"/>
      <c r="AE330" s="1240"/>
      <c r="AF330" s="1240"/>
      <c r="AG330" s="1240"/>
      <c r="AH330" s="1240"/>
      <c r="AI330" s="460"/>
      <c r="AJ330" s="460"/>
      <c r="AK330" s="460"/>
      <c r="AL330" s="460"/>
      <c r="AM330" s="460"/>
      <c r="AN330" s="460"/>
      <c r="AO330" s="460"/>
      <c r="AP330" s="460"/>
      <c r="AQ330" s="460"/>
      <c r="AR330" s="1240"/>
      <c r="AS330" s="1240"/>
      <c r="AT330" s="1240"/>
      <c r="AU330" s="1240"/>
      <c r="AV330" s="1240"/>
      <c r="AW330" s="1242">
        <f t="shared" si="38"/>
        <v>0</v>
      </c>
      <c r="BA330" s="1209"/>
      <c r="BB330" s="1155"/>
      <c r="BC330" s="1155"/>
      <c r="BD330" s="1155"/>
      <c r="BE330" s="1155"/>
      <c r="BF330" s="1155"/>
      <c r="BG330" s="1155"/>
      <c r="BH330" s="1145"/>
      <c r="BI330" s="1145"/>
      <c r="BJ330" s="1145"/>
      <c r="BK330" s="1145"/>
      <c r="BL330" s="1145"/>
      <c r="BM330" s="1145"/>
      <c r="BN330" s="1145"/>
      <c r="BO330" s="1145"/>
      <c r="BP330" s="1145"/>
      <c r="BQ330" s="1145"/>
      <c r="BR330" s="1145"/>
      <c r="BS330" s="1145"/>
      <c r="BT330" s="1145"/>
      <c r="BU330" s="1145"/>
      <c r="BV330" s="1145"/>
      <c r="BW330" s="1145"/>
      <c r="BX330" s="1145"/>
      <c r="BY330" s="1145"/>
    </row>
    <row r="331" spans="1:77" ht="60" customHeight="1" hidden="1">
      <c r="A331" s="1377"/>
      <c r="B331" s="1374"/>
      <c r="C331" s="1373"/>
      <c r="D331" s="1367"/>
      <c r="E331" s="1367"/>
      <c r="F331" s="1373"/>
      <c r="G331" s="1373"/>
      <c r="H331" s="693"/>
      <c r="I331" s="750" t="s">
        <v>1385</v>
      </c>
      <c r="J331" s="688" t="s">
        <v>1386</v>
      </c>
      <c r="K331" s="688"/>
      <c r="L331" s="688"/>
      <c r="M331" s="688">
        <v>1</v>
      </c>
      <c r="N331" s="374"/>
      <c r="O331" s="1326"/>
      <c r="P331" s="1240"/>
      <c r="Q331" s="1240"/>
      <c r="R331" s="1240"/>
      <c r="S331" s="1240"/>
      <c r="T331" s="1240"/>
      <c r="U331" s="1240"/>
      <c r="V331" s="1240"/>
      <c r="W331" s="1240"/>
      <c r="X331" s="1240"/>
      <c r="Y331" s="1240"/>
      <c r="Z331" s="1240"/>
      <c r="AA331" s="1240"/>
      <c r="AB331" s="1240"/>
      <c r="AC331" s="460"/>
      <c r="AD331" s="1240"/>
      <c r="AE331" s="1240"/>
      <c r="AF331" s="1240"/>
      <c r="AG331" s="1240"/>
      <c r="AH331" s="1240"/>
      <c r="AI331" s="460"/>
      <c r="AJ331" s="460"/>
      <c r="AK331" s="460"/>
      <c r="AL331" s="460"/>
      <c r="AM331" s="460"/>
      <c r="AN331" s="460"/>
      <c r="AO331" s="460"/>
      <c r="AP331" s="460"/>
      <c r="AQ331" s="460"/>
      <c r="AR331" s="1240"/>
      <c r="AS331" s="1240"/>
      <c r="AT331" s="1240"/>
      <c r="AU331" s="1240"/>
      <c r="AV331" s="1240"/>
      <c r="AW331" s="1242">
        <f t="shared" si="38"/>
        <v>0</v>
      </c>
      <c r="BA331" s="1209"/>
      <c r="BB331" s="1155"/>
      <c r="BC331" s="1155"/>
      <c r="BD331" s="1155"/>
      <c r="BE331" s="1155"/>
      <c r="BF331" s="1155"/>
      <c r="BG331" s="1155"/>
      <c r="BH331" s="1145"/>
      <c r="BI331" s="1145"/>
      <c r="BJ331" s="1145"/>
      <c r="BK331" s="1145"/>
      <c r="BL331" s="1145"/>
      <c r="BM331" s="1145"/>
      <c r="BN331" s="1145"/>
      <c r="BO331" s="1145"/>
      <c r="BP331" s="1145"/>
      <c r="BQ331" s="1145"/>
      <c r="BR331" s="1145"/>
      <c r="BS331" s="1145"/>
      <c r="BT331" s="1145"/>
      <c r="BU331" s="1145"/>
      <c r="BV331" s="1145"/>
      <c r="BW331" s="1145"/>
      <c r="BX331" s="1145"/>
      <c r="BY331" s="1145"/>
    </row>
    <row r="332" spans="1:77" ht="43.5" customHeight="1">
      <c r="A332" s="1377"/>
      <c r="B332" s="1374"/>
      <c r="C332" s="1373"/>
      <c r="D332" s="1367"/>
      <c r="E332" s="1367"/>
      <c r="F332" s="1373"/>
      <c r="G332" s="1373"/>
      <c r="H332" s="693"/>
      <c r="I332" s="750" t="s">
        <v>1391</v>
      </c>
      <c r="J332" s="718" t="s">
        <v>1392</v>
      </c>
      <c r="K332" s="718"/>
      <c r="L332" s="718">
        <v>1</v>
      </c>
      <c r="M332" s="718">
        <v>1</v>
      </c>
      <c r="N332" s="374"/>
      <c r="O332" s="1327"/>
      <c r="P332" s="1240"/>
      <c r="Q332" s="1240"/>
      <c r="R332" s="1240"/>
      <c r="S332" s="1240"/>
      <c r="T332" s="1240"/>
      <c r="U332" s="1240"/>
      <c r="V332" s="1240"/>
      <c r="W332" s="1240"/>
      <c r="X332" s="1240"/>
      <c r="Y332" s="1240"/>
      <c r="Z332" s="1240"/>
      <c r="AA332" s="1240"/>
      <c r="AB332" s="1240"/>
      <c r="AC332" s="460"/>
      <c r="AD332" s="1240"/>
      <c r="AE332" s="1240"/>
      <c r="AF332" s="1240"/>
      <c r="AG332" s="1240"/>
      <c r="AH332" s="1240"/>
      <c r="AI332" s="460"/>
      <c r="AJ332" s="460"/>
      <c r="AK332" s="460"/>
      <c r="AL332" s="460"/>
      <c r="AM332" s="460"/>
      <c r="AN332" s="460"/>
      <c r="AO332" s="460"/>
      <c r="AP332" s="460"/>
      <c r="AQ332" s="460"/>
      <c r="AR332" s="1240"/>
      <c r="AS332" s="1240"/>
      <c r="AT332" s="1240"/>
      <c r="AU332" s="1240"/>
      <c r="AV332" s="1240"/>
      <c r="AW332" s="1242">
        <f t="shared" si="38"/>
        <v>0</v>
      </c>
      <c r="BA332" s="1209"/>
      <c r="BB332" s="1155"/>
      <c r="BC332" s="1155"/>
      <c r="BD332" s="1155"/>
      <c r="BE332" s="1155"/>
      <c r="BF332" s="1155"/>
      <c r="BG332" s="1155"/>
      <c r="BH332" s="1145"/>
      <c r="BI332" s="1145"/>
      <c r="BJ332" s="1145"/>
      <c r="BK332" s="1145"/>
      <c r="BL332" s="1145"/>
      <c r="BM332" s="1145"/>
      <c r="BN332" s="1145"/>
      <c r="BO332" s="1145"/>
      <c r="BP332" s="1145"/>
      <c r="BQ332" s="1145"/>
      <c r="BR332" s="1145"/>
      <c r="BS332" s="1145"/>
      <c r="BT332" s="1145"/>
      <c r="BU332" s="1145"/>
      <c r="BV332" s="1145"/>
      <c r="BW332" s="1145"/>
      <c r="BX332" s="1145"/>
      <c r="BY332" s="1145"/>
    </row>
    <row r="333" spans="1:77" ht="19.5" customHeight="1" hidden="1">
      <c r="A333" s="1377"/>
      <c r="B333" s="1374"/>
      <c r="C333" s="1373"/>
      <c r="D333" s="1367"/>
      <c r="E333" s="1367"/>
      <c r="F333" s="1373"/>
      <c r="G333" s="1373"/>
      <c r="H333" s="693"/>
      <c r="I333" s="1291" t="s">
        <v>1389</v>
      </c>
      <c r="J333" s="688"/>
      <c r="K333" s="688"/>
      <c r="L333" s="688"/>
      <c r="M333" s="688"/>
      <c r="N333" s="374"/>
      <c r="O333" s="874"/>
      <c r="P333" s="460"/>
      <c r="Q333" s="460"/>
      <c r="R333" s="460"/>
      <c r="S333" s="460"/>
      <c r="T333" s="460"/>
      <c r="U333" s="460"/>
      <c r="V333" s="460"/>
      <c r="W333" s="460"/>
      <c r="X333" s="460"/>
      <c r="Y333" s="460"/>
      <c r="Z333" s="460"/>
      <c r="AA333" s="460"/>
      <c r="AB333" s="460"/>
      <c r="AC333" s="460"/>
      <c r="AD333" s="460"/>
      <c r="AE333" s="460"/>
      <c r="AF333" s="460"/>
      <c r="AG333" s="460"/>
      <c r="AH333" s="460"/>
      <c r="AI333" s="460"/>
      <c r="AJ333" s="460"/>
      <c r="AK333" s="460"/>
      <c r="AL333" s="460"/>
      <c r="AM333" s="460"/>
      <c r="AN333" s="460"/>
      <c r="AO333" s="460"/>
      <c r="AP333" s="460"/>
      <c r="AQ333" s="460"/>
      <c r="AR333" s="460"/>
      <c r="AS333" s="460"/>
      <c r="AT333" s="460"/>
      <c r="AU333" s="460"/>
      <c r="AV333" s="460"/>
      <c r="AW333" s="775"/>
      <c r="BA333" s="1209"/>
      <c r="BB333" s="1155"/>
      <c r="BC333" s="1155"/>
      <c r="BD333" s="1155"/>
      <c r="BE333" s="1155"/>
      <c r="BF333" s="1155"/>
      <c r="BG333" s="1155"/>
      <c r="BH333" s="1145"/>
      <c r="BI333" s="1145"/>
      <c r="BJ333" s="1145"/>
      <c r="BK333" s="1145"/>
      <c r="BL333" s="1145"/>
      <c r="BM333" s="1145"/>
      <c r="BN333" s="1145"/>
      <c r="BO333" s="1145"/>
      <c r="BP333" s="1145"/>
      <c r="BQ333" s="1145"/>
      <c r="BR333" s="1145"/>
      <c r="BS333" s="1145"/>
      <c r="BT333" s="1145"/>
      <c r="BU333" s="1145"/>
      <c r="BV333" s="1145"/>
      <c r="BW333" s="1145"/>
      <c r="BX333" s="1145"/>
      <c r="BY333" s="1145"/>
    </row>
    <row r="334" spans="1:77" ht="60" customHeight="1" hidden="1">
      <c r="A334" s="1377"/>
      <c r="B334" s="1374"/>
      <c r="C334" s="1373"/>
      <c r="D334" s="1367"/>
      <c r="E334" s="1367"/>
      <c r="F334" s="1373"/>
      <c r="G334" s="1373"/>
      <c r="H334" s="693"/>
      <c r="I334" s="1292"/>
      <c r="J334" s="688" t="s">
        <v>1390</v>
      </c>
      <c r="K334" s="688"/>
      <c r="L334" s="688">
        <v>1</v>
      </c>
      <c r="M334" s="688">
        <v>1</v>
      </c>
      <c r="N334" s="374"/>
      <c r="O334" s="875" t="s">
        <v>1671</v>
      </c>
      <c r="P334" s="460"/>
      <c r="Q334" s="460"/>
      <c r="R334" s="460"/>
      <c r="S334" s="460"/>
      <c r="T334" s="460"/>
      <c r="U334" s="460"/>
      <c r="V334" s="460"/>
      <c r="W334" s="460"/>
      <c r="X334" s="460"/>
      <c r="Y334" s="460"/>
      <c r="Z334" s="460"/>
      <c r="AA334" s="460"/>
      <c r="AB334" s="460"/>
      <c r="AC334" s="460"/>
      <c r="AD334" s="460"/>
      <c r="AE334" s="460"/>
      <c r="AF334" s="460"/>
      <c r="AG334" s="460"/>
      <c r="AH334" s="460"/>
      <c r="AI334" s="460"/>
      <c r="AJ334" s="460"/>
      <c r="AK334" s="460"/>
      <c r="AL334" s="460"/>
      <c r="AM334" s="460"/>
      <c r="AN334" s="460"/>
      <c r="AO334" s="460"/>
      <c r="AP334" s="460"/>
      <c r="AQ334" s="460"/>
      <c r="AR334" s="460"/>
      <c r="AS334" s="460"/>
      <c r="AT334" s="460"/>
      <c r="AU334" s="460"/>
      <c r="AV334" s="460"/>
      <c r="AW334" s="775"/>
      <c r="BA334" s="1209"/>
      <c r="BB334" s="1155"/>
      <c r="BC334" s="1155"/>
      <c r="BD334" s="1155"/>
      <c r="BE334" s="1155"/>
      <c r="BF334" s="1155"/>
      <c r="BG334" s="1155"/>
      <c r="BH334" s="1145"/>
      <c r="BI334" s="1145"/>
      <c r="BJ334" s="1145"/>
      <c r="BK334" s="1145"/>
      <c r="BL334" s="1145"/>
      <c r="BM334" s="1145"/>
      <c r="BN334" s="1145"/>
      <c r="BO334" s="1145"/>
      <c r="BP334" s="1145"/>
      <c r="BQ334" s="1145"/>
      <c r="BR334" s="1145"/>
      <c r="BS334" s="1145"/>
      <c r="BT334" s="1145"/>
      <c r="BU334" s="1145"/>
      <c r="BV334" s="1145"/>
      <c r="BW334" s="1145"/>
      <c r="BX334" s="1145"/>
      <c r="BY334" s="1145"/>
    </row>
    <row r="335" spans="1:77" ht="60" customHeight="1">
      <c r="A335" s="1377"/>
      <c r="B335" s="1374"/>
      <c r="C335" s="1373"/>
      <c r="D335" s="1367"/>
      <c r="E335" s="1367"/>
      <c r="F335" s="1373"/>
      <c r="G335" s="1373"/>
      <c r="H335" s="902"/>
      <c r="I335" s="892"/>
      <c r="J335" s="894"/>
      <c r="K335" s="894"/>
      <c r="L335" s="894"/>
      <c r="M335" s="894"/>
      <c r="N335" s="376"/>
      <c r="O335" s="910" t="s">
        <v>1747</v>
      </c>
      <c r="P335" s="899"/>
      <c r="Q335" s="899"/>
      <c r="R335" s="899"/>
      <c r="S335" s="899"/>
      <c r="T335" s="899"/>
      <c r="U335" s="899"/>
      <c r="V335" s="899"/>
      <c r="W335" s="899"/>
      <c r="X335" s="899"/>
      <c r="Y335" s="899"/>
      <c r="Z335" s="899"/>
      <c r="AA335" s="899"/>
      <c r="AB335" s="899"/>
      <c r="AC335" s="899"/>
      <c r="AD335" s="899">
        <v>500000000</v>
      </c>
      <c r="AE335" s="899"/>
      <c r="AF335" s="899"/>
      <c r="AG335" s="899"/>
      <c r="AH335" s="899"/>
      <c r="AI335" s="899"/>
      <c r="AJ335" s="899"/>
      <c r="AK335" s="899"/>
      <c r="AL335" s="899"/>
      <c r="AM335" s="899"/>
      <c r="AN335" s="899"/>
      <c r="AO335" s="899"/>
      <c r="AP335" s="899"/>
      <c r="AQ335" s="899"/>
      <c r="AR335" s="899"/>
      <c r="AS335" s="899"/>
      <c r="AT335" s="899"/>
      <c r="AU335" s="899"/>
      <c r="AV335" s="899"/>
      <c r="AW335" s="834">
        <f aca="true" t="shared" si="39" ref="AW335:AW353">SUM(P335:AV335)</f>
        <v>500000000</v>
      </c>
      <c r="AY335" s="898"/>
      <c r="AZ335" s="898"/>
      <c r="BA335" s="1209"/>
      <c r="BB335" s="1155"/>
      <c r="BC335" s="1155"/>
      <c r="BD335" s="1155"/>
      <c r="BE335" s="1155"/>
      <c r="BF335" s="1155"/>
      <c r="BG335" s="1155"/>
      <c r="BH335" s="1145"/>
      <c r="BI335" s="1145"/>
      <c r="BJ335" s="1145"/>
      <c r="BK335" s="1145"/>
      <c r="BL335" s="1145"/>
      <c r="BM335" s="1145"/>
      <c r="BN335" s="1145"/>
      <c r="BO335" s="1145"/>
      <c r="BP335" s="1145"/>
      <c r="BQ335" s="1145"/>
      <c r="BR335" s="1145"/>
      <c r="BS335" s="1145"/>
      <c r="BT335" s="1145"/>
      <c r="BU335" s="1145"/>
      <c r="BV335" s="1145"/>
      <c r="BW335" s="1145"/>
      <c r="BX335" s="1145"/>
      <c r="BY335" s="1145"/>
    </row>
    <row r="336" spans="1:77" ht="60" customHeight="1">
      <c r="A336" s="1377"/>
      <c r="B336" s="1374"/>
      <c r="C336" s="1373"/>
      <c r="D336" s="1367"/>
      <c r="E336" s="1367"/>
      <c r="F336" s="1373"/>
      <c r="G336" s="1373"/>
      <c r="H336" s="902"/>
      <c r="I336" s="750" t="s">
        <v>1373</v>
      </c>
      <c r="J336" s="894" t="s">
        <v>1374</v>
      </c>
      <c r="K336" s="894">
        <v>200</v>
      </c>
      <c r="L336" s="894">
        <v>200</v>
      </c>
      <c r="M336" s="894">
        <v>200</v>
      </c>
      <c r="N336" s="376"/>
      <c r="O336" s="910" t="s">
        <v>1746</v>
      </c>
      <c r="P336" s="899"/>
      <c r="Q336" s="899"/>
      <c r="R336" s="899"/>
      <c r="S336" s="899"/>
      <c r="T336" s="899"/>
      <c r="U336" s="899"/>
      <c r="V336" s="899"/>
      <c r="W336" s="899"/>
      <c r="X336" s="899"/>
      <c r="Y336" s="899"/>
      <c r="Z336" s="899"/>
      <c r="AA336" s="899"/>
      <c r="AB336" s="899"/>
      <c r="AC336" s="899"/>
      <c r="AD336" s="899">
        <v>280000000</v>
      </c>
      <c r="AE336" s="899"/>
      <c r="AF336" s="899"/>
      <c r="AG336" s="899"/>
      <c r="AH336" s="899"/>
      <c r="AI336" s="899"/>
      <c r="AJ336" s="899"/>
      <c r="AK336" s="899"/>
      <c r="AL336" s="899"/>
      <c r="AM336" s="899"/>
      <c r="AN336" s="899"/>
      <c r="AO336" s="899"/>
      <c r="AP336" s="899"/>
      <c r="AQ336" s="899"/>
      <c r="AR336" s="899"/>
      <c r="AS336" s="899"/>
      <c r="AT336" s="899"/>
      <c r="AU336" s="899"/>
      <c r="AV336" s="899"/>
      <c r="AW336" s="834">
        <f t="shared" si="39"/>
        <v>280000000</v>
      </c>
      <c r="AY336" s="898"/>
      <c r="AZ336" s="898"/>
      <c r="BA336" s="1209"/>
      <c r="BB336" s="1155"/>
      <c r="BC336" s="1155"/>
      <c r="BD336" s="1155"/>
      <c r="BE336" s="1155"/>
      <c r="BF336" s="1155"/>
      <c r="BG336" s="1155"/>
      <c r="BH336" s="1145"/>
      <c r="BI336" s="1145"/>
      <c r="BJ336" s="1145"/>
      <c r="BK336" s="1145"/>
      <c r="BL336" s="1145"/>
      <c r="BM336" s="1145"/>
      <c r="BN336" s="1145"/>
      <c r="BO336" s="1145"/>
      <c r="BP336" s="1145"/>
      <c r="BQ336" s="1145"/>
      <c r="BR336" s="1145"/>
      <c r="BS336" s="1145"/>
      <c r="BT336" s="1145"/>
      <c r="BU336" s="1145"/>
      <c r="BV336" s="1145"/>
      <c r="BW336" s="1145"/>
      <c r="BX336" s="1145"/>
      <c r="BY336" s="1145"/>
    </row>
    <row r="337" spans="1:77" ht="52.5" customHeight="1" thickBot="1">
      <c r="A337" s="1377"/>
      <c r="B337" s="1374"/>
      <c r="C337" s="1373"/>
      <c r="D337" s="1367"/>
      <c r="E337" s="1367"/>
      <c r="F337" s="1373"/>
      <c r="G337" s="1373"/>
      <c r="H337" s="693"/>
      <c r="I337" s="764" t="s">
        <v>1387</v>
      </c>
      <c r="J337" s="732" t="s">
        <v>1388</v>
      </c>
      <c r="K337" s="732"/>
      <c r="L337" s="732">
        <v>1</v>
      </c>
      <c r="M337" s="732">
        <v>1</v>
      </c>
      <c r="N337" s="376"/>
      <c r="O337" s="876" t="s">
        <v>1749</v>
      </c>
      <c r="P337" s="835"/>
      <c r="Q337" s="835"/>
      <c r="R337" s="835"/>
      <c r="S337" s="835"/>
      <c r="T337" s="835"/>
      <c r="U337" s="835"/>
      <c r="V337" s="835"/>
      <c r="W337" s="835"/>
      <c r="X337" s="835"/>
      <c r="Y337" s="835"/>
      <c r="Z337" s="835"/>
      <c r="AA337" s="835"/>
      <c r="AB337" s="835"/>
      <c r="AC337" s="835"/>
      <c r="AD337" s="835">
        <v>30000000</v>
      </c>
      <c r="AE337" s="835"/>
      <c r="AF337" s="835"/>
      <c r="AG337" s="835"/>
      <c r="AH337" s="835"/>
      <c r="AI337" s="835"/>
      <c r="AJ337" s="835"/>
      <c r="AK337" s="835"/>
      <c r="AL337" s="835"/>
      <c r="AM337" s="835"/>
      <c r="AN337" s="835"/>
      <c r="AO337" s="835"/>
      <c r="AP337" s="835"/>
      <c r="AQ337" s="835"/>
      <c r="AR337" s="835"/>
      <c r="AS337" s="835"/>
      <c r="AT337" s="835"/>
      <c r="AU337" s="835"/>
      <c r="AV337" s="835"/>
      <c r="AW337" s="842">
        <f t="shared" si="39"/>
        <v>30000000</v>
      </c>
      <c r="BA337" s="1210"/>
      <c r="BB337" s="1155"/>
      <c r="BC337" s="1155"/>
      <c r="BD337" s="1155"/>
      <c r="BE337" s="1155"/>
      <c r="BF337" s="1155"/>
      <c r="BG337" s="1155"/>
      <c r="BH337" s="1145"/>
      <c r="BI337" s="1145"/>
      <c r="BJ337" s="1145"/>
      <c r="BK337" s="1145"/>
      <c r="BL337" s="1145"/>
      <c r="BM337" s="1145"/>
      <c r="BN337" s="1145"/>
      <c r="BO337" s="1145"/>
      <c r="BP337" s="1145"/>
      <c r="BQ337" s="1145"/>
      <c r="BR337" s="1145"/>
      <c r="BS337" s="1145"/>
      <c r="BT337" s="1145"/>
      <c r="BU337" s="1145"/>
      <c r="BV337" s="1145"/>
      <c r="BW337" s="1145"/>
      <c r="BX337" s="1145"/>
      <c r="BY337" s="1145"/>
    </row>
    <row r="338" spans="1:77" ht="25.5" customHeight="1" thickBot="1">
      <c r="A338" s="1377"/>
      <c r="B338" s="1374"/>
      <c r="C338" s="717"/>
      <c r="D338" s="718"/>
      <c r="E338" s="718"/>
      <c r="F338" s="717"/>
      <c r="G338" s="717"/>
      <c r="H338" s="776"/>
      <c r="I338" s="1243" t="s">
        <v>1726</v>
      </c>
      <c r="J338" s="1244"/>
      <c r="K338" s="1244"/>
      <c r="L338" s="1244"/>
      <c r="M338" s="1244"/>
      <c r="N338" s="1244"/>
      <c r="O338" s="1245"/>
      <c r="P338" s="877">
        <f aca="true" t="shared" si="40" ref="P338:AW338">SUM(P324:P337)</f>
        <v>0</v>
      </c>
      <c r="Q338" s="872">
        <f t="shared" si="40"/>
        <v>0</v>
      </c>
      <c r="R338" s="872">
        <f t="shared" si="40"/>
        <v>0</v>
      </c>
      <c r="S338" s="872">
        <f t="shared" si="40"/>
        <v>0</v>
      </c>
      <c r="T338" s="872">
        <f t="shared" si="40"/>
        <v>0</v>
      </c>
      <c r="U338" s="872">
        <f t="shared" si="40"/>
        <v>0</v>
      </c>
      <c r="V338" s="872">
        <f t="shared" si="40"/>
        <v>0</v>
      </c>
      <c r="W338" s="872">
        <f t="shared" si="40"/>
        <v>0</v>
      </c>
      <c r="X338" s="872">
        <f t="shared" si="40"/>
        <v>0</v>
      </c>
      <c r="Y338" s="872">
        <f t="shared" si="40"/>
        <v>0</v>
      </c>
      <c r="Z338" s="872">
        <f t="shared" si="40"/>
        <v>0</v>
      </c>
      <c r="AA338" s="872">
        <f t="shared" si="40"/>
        <v>0</v>
      </c>
      <c r="AB338" s="872">
        <f t="shared" si="40"/>
        <v>0</v>
      </c>
      <c r="AC338" s="872">
        <f t="shared" si="40"/>
        <v>0</v>
      </c>
      <c r="AD338" s="911">
        <f t="shared" si="40"/>
        <v>910000000</v>
      </c>
      <c r="AE338" s="872">
        <f t="shared" si="40"/>
        <v>0</v>
      </c>
      <c r="AF338" s="872">
        <f t="shared" si="40"/>
        <v>0</v>
      </c>
      <c r="AG338" s="872">
        <f t="shared" si="40"/>
        <v>0</v>
      </c>
      <c r="AH338" s="872">
        <f t="shared" si="40"/>
        <v>0</v>
      </c>
      <c r="AI338" s="872">
        <f t="shared" si="40"/>
        <v>0</v>
      </c>
      <c r="AJ338" s="872">
        <f t="shared" si="40"/>
        <v>0</v>
      </c>
      <c r="AK338" s="872">
        <f t="shared" si="40"/>
        <v>0</v>
      </c>
      <c r="AL338" s="872">
        <f t="shared" si="40"/>
        <v>0</v>
      </c>
      <c r="AM338" s="872">
        <f t="shared" si="40"/>
        <v>0</v>
      </c>
      <c r="AN338" s="872">
        <f t="shared" si="40"/>
        <v>0</v>
      </c>
      <c r="AO338" s="872">
        <f t="shared" si="40"/>
        <v>0</v>
      </c>
      <c r="AP338" s="872">
        <f t="shared" si="40"/>
        <v>0</v>
      </c>
      <c r="AQ338" s="872">
        <f t="shared" si="40"/>
        <v>0</v>
      </c>
      <c r="AR338" s="872">
        <f t="shared" si="40"/>
        <v>0</v>
      </c>
      <c r="AS338" s="872">
        <f t="shared" si="40"/>
        <v>0</v>
      </c>
      <c r="AT338" s="872">
        <f t="shared" si="40"/>
        <v>0</v>
      </c>
      <c r="AU338" s="872">
        <f t="shared" si="40"/>
        <v>0</v>
      </c>
      <c r="AV338" s="872">
        <f t="shared" si="40"/>
        <v>0</v>
      </c>
      <c r="AW338" s="873">
        <f t="shared" si="40"/>
        <v>910000000</v>
      </c>
      <c r="BA338" s="1155"/>
      <c r="BB338" s="1155"/>
      <c r="BC338" s="1155"/>
      <c r="BD338" s="1155"/>
      <c r="BE338" s="1155"/>
      <c r="BF338" s="1155"/>
      <c r="BG338" s="1155"/>
      <c r="BH338" s="1145"/>
      <c r="BI338" s="1145"/>
      <c r="BJ338" s="1145"/>
      <c r="BK338" s="1145"/>
      <c r="BL338" s="1145"/>
      <c r="BM338" s="1145"/>
      <c r="BN338" s="1145"/>
      <c r="BO338" s="1145"/>
      <c r="BP338" s="1145"/>
      <c r="BQ338" s="1145"/>
      <c r="BR338" s="1145"/>
      <c r="BS338" s="1145"/>
      <c r="BT338" s="1145"/>
      <c r="BU338" s="1145"/>
      <c r="BV338" s="1145"/>
      <c r="BW338" s="1145"/>
      <c r="BX338" s="1145"/>
      <c r="BY338" s="1145"/>
    </row>
    <row r="339" spans="1:77" ht="51">
      <c r="A339" s="1377"/>
      <c r="B339" s="1374"/>
      <c r="C339" s="1374" t="s">
        <v>1393</v>
      </c>
      <c r="D339" s="1367" t="s">
        <v>1394</v>
      </c>
      <c r="E339" s="1367" t="s">
        <v>1395</v>
      </c>
      <c r="F339" s="1367"/>
      <c r="G339" s="1374" t="s">
        <v>1114</v>
      </c>
      <c r="H339" s="688"/>
      <c r="I339" s="765" t="s">
        <v>1397</v>
      </c>
      <c r="J339" s="739" t="s">
        <v>1398</v>
      </c>
      <c r="K339" s="739"/>
      <c r="L339" s="739">
        <v>1</v>
      </c>
      <c r="M339" s="739">
        <v>1</v>
      </c>
      <c r="N339" s="739"/>
      <c r="O339" s="1230" t="s">
        <v>1727</v>
      </c>
      <c r="P339" s="1230"/>
      <c r="Q339" s="1230"/>
      <c r="R339" s="1230"/>
      <c r="S339" s="1230"/>
      <c r="T339" s="1230"/>
      <c r="U339" s="1230"/>
      <c r="V339" s="1230"/>
      <c r="W339" s="1230"/>
      <c r="X339" s="1230"/>
      <c r="Y339" s="1230"/>
      <c r="Z339" s="1230"/>
      <c r="AA339" s="1230"/>
      <c r="AB339" s="1230"/>
      <c r="AD339" s="1230">
        <v>20000000</v>
      </c>
      <c r="AE339" s="1230"/>
      <c r="AF339" s="1230"/>
      <c r="AG339" s="1230"/>
      <c r="AH339" s="1230"/>
      <c r="AR339" s="1230"/>
      <c r="AS339" s="1230"/>
      <c r="AT339" s="1230"/>
      <c r="AU339" s="1230"/>
      <c r="AV339" s="1230"/>
      <c r="AW339" s="1230">
        <f t="shared" si="39"/>
        <v>20000000</v>
      </c>
      <c r="BA339" s="1208" t="s">
        <v>1847</v>
      </c>
      <c r="BB339" s="1155"/>
      <c r="BC339" s="1155"/>
      <c r="BD339" s="1155"/>
      <c r="BE339" s="1155"/>
      <c r="BF339" s="1155"/>
      <c r="BG339" s="1155"/>
      <c r="BH339" s="1145"/>
      <c r="BI339" s="1145"/>
      <c r="BJ339" s="1145"/>
      <c r="BK339" s="1145"/>
      <c r="BL339" s="1145"/>
      <c r="BM339" s="1145"/>
      <c r="BN339" s="1145"/>
      <c r="BO339" s="1145"/>
      <c r="BP339" s="1145"/>
      <c r="BQ339" s="1145"/>
      <c r="BR339" s="1145"/>
      <c r="BS339" s="1145"/>
      <c r="BT339" s="1145"/>
      <c r="BU339" s="1145"/>
      <c r="BV339" s="1145"/>
      <c r="BW339" s="1145"/>
      <c r="BX339" s="1145"/>
      <c r="BY339" s="1145"/>
    </row>
    <row r="340" spans="1:77" ht="66.75" customHeight="1">
      <c r="A340" s="1377"/>
      <c r="B340" s="1374"/>
      <c r="C340" s="1374"/>
      <c r="D340" s="1367"/>
      <c r="E340" s="1367"/>
      <c r="F340" s="1367"/>
      <c r="G340" s="1374"/>
      <c r="H340" s="688"/>
      <c r="I340" s="750" t="s">
        <v>1399</v>
      </c>
      <c r="J340" s="688" t="s">
        <v>1400</v>
      </c>
      <c r="K340" s="688"/>
      <c r="L340" s="688">
        <v>1</v>
      </c>
      <c r="M340" s="688">
        <v>1</v>
      </c>
      <c r="N340" s="688"/>
      <c r="O340" s="1230"/>
      <c r="P340" s="1230"/>
      <c r="Q340" s="1230"/>
      <c r="R340" s="1230"/>
      <c r="S340" s="1230"/>
      <c r="T340" s="1230"/>
      <c r="U340" s="1230"/>
      <c r="V340" s="1230"/>
      <c r="W340" s="1230"/>
      <c r="X340" s="1230"/>
      <c r="Y340" s="1230"/>
      <c r="Z340" s="1230"/>
      <c r="AA340" s="1230"/>
      <c r="AB340" s="1230"/>
      <c r="AD340" s="1230"/>
      <c r="AE340" s="1230"/>
      <c r="AF340" s="1230"/>
      <c r="AG340" s="1230"/>
      <c r="AH340" s="1230"/>
      <c r="AR340" s="1230"/>
      <c r="AS340" s="1230"/>
      <c r="AT340" s="1230"/>
      <c r="AU340" s="1230"/>
      <c r="AV340" s="1230"/>
      <c r="AW340" s="1230">
        <f t="shared" si="39"/>
        <v>0</v>
      </c>
      <c r="BA340" s="1209"/>
      <c r="BB340" s="1155"/>
      <c r="BC340" s="1155"/>
      <c r="BD340" s="1155"/>
      <c r="BE340" s="1155"/>
      <c r="BF340" s="1155"/>
      <c r="BG340" s="1155"/>
      <c r="BH340" s="1145"/>
      <c r="BI340" s="1145"/>
      <c r="BJ340" s="1145"/>
      <c r="BK340" s="1145"/>
      <c r="BL340" s="1145"/>
      <c r="BM340" s="1145"/>
      <c r="BN340" s="1145"/>
      <c r="BO340" s="1145"/>
      <c r="BP340" s="1145"/>
      <c r="BQ340" s="1145"/>
      <c r="BR340" s="1145"/>
      <c r="BS340" s="1145"/>
      <c r="BT340" s="1145"/>
      <c r="BU340" s="1145"/>
      <c r="BV340" s="1145"/>
      <c r="BW340" s="1145"/>
      <c r="BX340" s="1145"/>
      <c r="BY340" s="1145"/>
    </row>
    <row r="341" spans="1:77" ht="83.25" customHeight="1" thickBot="1">
      <c r="A341" s="1377"/>
      <c r="B341" s="1374"/>
      <c r="C341" s="1374"/>
      <c r="D341" s="1367"/>
      <c r="E341" s="1367"/>
      <c r="F341" s="1367"/>
      <c r="G341" s="1374"/>
      <c r="H341" s="688"/>
      <c r="I341" s="764" t="s">
        <v>1401</v>
      </c>
      <c r="J341" s="732" t="s">
        <v>1402</v>
      </c>
      <c r="K341" s="732"/>
      <c r="L341" s="732">
        <v>2</v>
      </c>
      <c r="M341" s="732">
        <v>2</v>
      </c>
      <c r="N341" s="732">
        <v>3</v>
      </c>
      <c r="O341" s="1230"/>
      <c r="P341" s="1230"/>
      <c r="Q341" s="1230"/>
      <c r="R341" s="1230"/>
      <c r="S341" s="1230"/>
      <c r="T341" s="1230"/>
      <c r="U341" s="1230"/>
      <c r="V341" s="1230"/>
      <c r="W341" s="1230"/>
      <c r="X341" s="1230"/>
      <c r="Y341" s="1230"/>
      <c r="Z341" s="1230"/>
      <c r="AA341" s="1230"/>
      <c r="AB341" s="1230"/>
      <c r="AD341" s="1230"/>
      <c r="AE341" s="1230"/>
      <c r="AF341" s="1230"/>
      <c r="AG341" s="1230"/>
      <c r="AH341" s="1230"/>
      <c r="AR341" s="1230"/>
      <c r="AS341" s="1230"/>
      <c r="AT341" s="1230"/>
      <c r="AU341" s="1230"/>
      <c r="AV341" s="1230"/>
      <c r="AW341" s="1230">
        <f t="shared" si="39"/>
        <v>0</v>
      </c>
      <c r="BA341" s="1210"/>
      <c r="BB341" s="1155"/>
      <c r="BC341" s="1155"/>
      <c r="BD341" s="1155"/>
      <c r="BE341" s="1155"/>
      <c r="BF341" s="1155"/>
      <c r="BG341" s="1155"/>
      <c r="BH341" s="1145"/>
      <c r="BI341" s="1145"/>
      <c r="BJ341" s="1145"/>
      <c r="BK341" s="1145"/>
      <c r="BL341" s="1145"/>
      <c r="BM341" s="1145"/>
      <c r="BN341" s="1145"/>
      <c r="BO341" s="1145"/>
      <c r="BP341" s="1145"/>
      <c r="BQ341" s="1145"/>
      <c r="BR341" s="1145"/>
      <c r="BS341" s="1145"/>
      <c r="BT341" s="1145"/>
      <c r="BU341" s="1145"/>
      <c r="BV341" s="1145"/>
      <c r="BW341" s="1145"/>
      <c r="BX341" s="1145"/>
      <c r="BY341" s="1145"/>
    </row>
    <row r="342" spans="1:77" ht="16.5" thickBot="1">
      <c r="A342" s="1377"/>
      <c r="B342" s="1374"/>
      <c r="C342" s="406"/>
      <c r="D342" s="718"/>
      <c r="E342" s="718"/>
      <c r="F342" s="718"/>
      <c r="G342" s="406"/>
      <c r="H342" s="374"/>
      <c r="I342" s="1237" t="s">
        <v>1728</v>
      </c>
      <c r="J342" s="1238"/>
      <c r="K342" s="1238"/>
      <c r="L342" s="1238"/>
      <c r="M342" s="1238"/>
      <c r="N342" s="1238"/>
      <c r="O342" s="1238"/>
      <c r="P342" s="858">
        <f>SUM(P339)</f>
        <v>0</v>
      </c>
      <c r="Q342" s="858">
        <f aca="true" t="shared" si="41" ref="Q342:AW342">SUM(Q339)</f>
        <v>0</v>
      </c>
      <c r="R342" s="858">
        <f t="shared" si="41"/>
        <v>0</v>
      </c>
      <c r="S342" s="858">
        <f t="shared" si="41"/>
        <v>0</v>
      </c>
      <c r="T342" s="858">
        <f t="shared" si="41"/>
        <v>0</v>
      </c>
      <c r="U342" s="858">
        <f t="shared" si="41"/>
        <v>0</v>
      </c>
      <c r="V342" s="858">
        <f t="shared" si="41"/>
        <v>0</v>
      </c>
      <c r="W342" s="858">
        <f t="shared" si="41"/>
        <v>0</v>
      </c>
      <c r="X342" s="858">
        <f t="shared" si="41"/>
        <v>0</v>
      </c>
      <c r="Y342" s="858">
        <f t="shared" si="41"/>
        <v>0</v>
      </c>
      <c r="Z342" s="858">
        <f t="shared" si="41"/>
        <v>0</v>
      </c>
      <c r="AA342" s="858">
        <f t="shared" si="41"/>
        <v>0</v>
      </c>
      <c r="AB342" s="858">
        <f t="shared" si="41"/>
        <v>0</v>
      </c>
      <c r="AC342" s="858">
        <f t="shared" si="41"/>
        <v>0</v>
      </c>
      <c r="AD342" s="858">
        <f t="shared" si="41"/>
        <v>20000000</v>
      </c>
      <c r="AE342" s="858">
        <f t="shared" si="41"/>
        <v>0</v>
      </c>
      <c r="AF342" s="858">
        <f t="shared" si="41"/>
        <v>0</v>
      </c>
      <c r="AG342" s="858">
        <f t="shared" si="41"/>
        <v>0</v>
      </c>
      <c r="AH342" s="858">
        <f t="shared" si="41"/>
        <v>0</v>
      </c>
      <c r="AI342" s="858">
        <f t="shared" si="41"/>
        <v>0</v>
      </c>
      <c r="AJ342" s="858">
        <f t="shared" si="41"/>
        <v>0</v>
      </c>
      <c r="AK342" s="858">
        <f t="shared" si="41"/>
        <v>0</v>
      </c>
      <c r="AL342" s="858">
        <f t="shared" si="41"/>
        <v>0</v>
      </c>
      <c r="AM342" s="858">
        <f t="shared" si="41"/>
        <v>0</v>
      </c>
      <c r="AN342" s="858">
        <f t="shared" si="41"/>
        <v>0</v>
      </c>
      <c r="AO342" s="858">
        <f t="shared" si="41"/>
        <v>0</v>
      </c>
      <c r="AP342" s="858">
        <f t="shared" si="41"/>
        <v>0</v>
      </c>
      <c r="AQ342" s="858">
        <f t="shared" si="41"/>
        <v>0</v>
      </c>
      <c r="AR342" s="858">
        <f t="shared" si="41"/>
        <v>0</v>
      </c>
      <c r="AS342" s="858">
        <f t="shared" si="41"/>
        <v>0</v>
      </c>
      <c r="AT342" s="858">
        <f t="shared" si="41"/>
        <v>0</v>
      </c>
      <c r="AU342" s="858">
        <f t="shared" si="41"/>
        <v>0</v>
      </c>
      <c r="AV342" s="858">
        <f t="shared" si="41"/>
        <v>0</v>
      </c>
      <c r="AW342" s="777">
        <f t="shared" si="41"/>
        <v>20000000</v>
      </c>
      <c r="BA342" s="1155"/>
      <c r="BB342" s="1155"/>
      <c r="BC342" s="1155"/>
      <c r="BD342" s="1155"/>
      <c r="BE342" s="1155"/>
      <c r="BF342" s="1155"/>
      <c r="BG342" s="1155"/>
      <c r="BH342" s="1145"/>
      <c r="BI342" s="1145"/>
      <c r="BJ342" s="1145"/>
      <c r="BK342" s="1145"/>
      <c r="BL342" s="1145"/>
      <c r="BM342" s="1145"/>
      <c r="BN342" s="1145"/>
      <c r="BO342" s="1145"/>
      <c r="BP342" s="1145"/>
      <c r="BQ342" s="1145"/>
      <c r="BR342" s="1145"/>
      <c r="BS342" s="1145"/>
      <c r="BT342" s="1145"/>
      <c r="BU342" s="1145"/>
      <c r="BV342" s="1145"/>
      <c r="BW342" s="1145"/>
      <c r="BX342" s="1145"/>
      <c r="BY342" s="1145"/>
    </row>
    <row r="343" spans="1:77" ht="76.5" customHeight="1">
      <c r="A343" s="1377"/>
      <c r="B343" s="1374"/>
      <c r="C343" s="1375" t="s">
        <v>1403</v>
      </c>
      <c r="D343" s="1367" t="s">
        <v>1404</v>
      </c>
      <c r="E343" s="1367" t="s">
        <v>1405</v>
      </c>
      <c r="F343" s="365"/>
      <c r="G343" s="365"/>
      <c r="H343" s="693"/>
      <c r="I343" s="765" t="s">
        <v>1406</v>
      </c>
      <c r="J343" s="739" t="s">
        <v>1407</v>
      </c>
      <c r="K343" s="729"/>
      <c r="L343" s="739">
        <v>1</v>
      </c>
      <c r="M343" s="739">
        <v>2</v>
      </c>
      <c r="N343" s="739">
        <v>2</v>
      </c>
      <c r="O343" s="1230" t="s">
        <v>1698</v>
      </c>
      <c r="P343" s="1230"/>
      <c r="Q343" s="1230"/>
      <c r="R343" s="1230"/>
      <c r="S343" s="1230"/>
      <c r="T343" s="1230"/>
      <c r="U343" s="1230"/>
      <c r="V343" s="1230"/>
      <c r="W343" s="1230"/>
      <c r="X343" s="1230"/>
      <c r="Y343" s="1230"/>
      <c r="Z343" s="1230"/>
      <c r="AA343" s="1230"/>
      <c r="AB343" s="1230"/>
      <c r="AD343" s="1230">
        <v>40000000</v>
      </c>
      <c r="AE343" s="1230"/>
      <c r="AF343" s="1230"/>
      <c r="AG343" s="1230"/>
      <c r="AH343" s="1230"/>
      <c r="AR343" s="1230"/>
      <c r="AS343" s="1230"/>
      <c r="AT343" s="1230"/>
      <c r="AU343" s="1230"/>
      <c r="AV343" s="1230"/>
      <c r="AW343" s="1230">
        <f t="shared" si="39"/>
        <v>40000000</v>
      </c>
      <c r="BA343" s="1208" t="s">
        <v>1848</v>
      </c>
      <c r="BB343" s="1155"/>
      <c r="BC343" s="1155"/>
      <c r="BD343" s="1155"/>
      <c r="BE343" s="1155"/>
      <c r="BF343" s="1155"/>
      <c r="BG343" s="1155"/>
      <c r="BH343" s="1145"/>
      <c r="BI343" s="1145"/>
      <c r="BJ343" s="1145"/>
      <c r="BK343" s="1145"/>
      <c r="BL343" s="1145"/>
      <c r="BM343" s="1145"/>
      <c r="BN343" s="1145"/>
      <c r="BO343" s="1145"/>
      <c r="BP343" s="1145"/>
      <c r="BQ343" s="1145"/>
      <c r="BR343" s="1145"/>
      <c r="BS343" s="1145"/>
      <c r="BT343" s="1145"/>
      <c r="BU343" s="1145"/>
      <c r="BV343" s="1145"/>
      <c r="BW343" s="1145"/>
      <c r="BX343" s="1145"/>
      <c r="BY343" s="1145"/>
    </row>
    <row r="344" spans="1:77" ht="91.5" customHeight="1">
      <c r="A344" s="1377"/>
      <c r="B344" s="1374"/>
      <c r="C344" s="1375"/>
      <c r="D344" s="1367"/>
      <c r="E344" s="1367"/>
      <c r="F344" s="365"/>
      <c r="G344" s="365"/>
      <c r="H344" s="693"/>
      <c r="I344" s="750" t="s">
        <v>1408</v>
      </c>
      <c r="J344" s="688" t="s">
        <v>1409</v>
      </c>
      <c r="K344" s="367"/>
      <c r="L344" s="367"/>
      <c r="M344" s="688">
        <v>1</v>
      </c>
      <c r="N344" s="367"/>
      <c r="O344" s="1230"/>
      <c r="P344" s="1230"/>
      <c r="Q344" s="1230"/>
      <c r="R344" s="1230"/>
      <c r="S344" s="1230"/>
      <c r="T344" s="1230"/>
      <c r="U344" s="1230"/>
      <c r="V344" s="1230"/>
      <c r="W344" s="1230"/>
      <c r="X344" s="1230"/>
      <c r="Y344" s="1230"/>
      <c r="Z344" s="1230"/>
      <c r="AA344" s="1230"/>
      <c r="AB344" s="1230"/>
      <c r="AD344" s="1230"/>
      <c r="AE344" s="1230"/>
      <c r="AF344" s="1230"/>
      <c r="AG344" s="1230"/>
      <c r="AH344" s="1230"/>
      <c r="AR344" s="1230"/>
      <c r="AS344" s="1230"/>
      <c r="AT344" s="1230"/>
      <c r="AU344" s="1230"/>
      <c r="AV344" s="1230"/>
      <c r="AW344" s="1230">
        <f t="shared" si="39"/>
        <v>0</v>
      </c>
      <c r="BA344" s="1209"/>
      <c r="BB344" s="1155"/>
      <c r="BC344" s="1155"/>
      <c r="BD344" s="1155"/>
      <c r="BE344" s="1155"/>
      <c r="BF344" s="1155"/>
      <c r="BG344" s="1155"/>
      <c r="BH344" s="1145"/>
      <c r="BI344" s="1145"/>
      <c r="BJ344" s="1145"/>
      <c r="BK344" s="1145"/>
      <c r="BL344" s="1145"/>
      <c r="BM344" s="1145"/>
      <c r="BN344" s="1145"/>
      <c r="BO344" s="1145"/>
      <c r="BP344" s="1145"/>
      <c r="BQ344" s="1145"/>
      <c r="BR344" s="1145"/>
      <c r="BS344" s="1145"/>
      <c r="BT344" s="1145"/>
      <c r="BU344" s="1145"/>
      <c r="BV344" s="1145"/>
      <c r="BW344" s="1145"/>
      <c r="BX344" s="1145"/>
      <c r="BY344" s="1145"/>
    </row>
    <row r="345" spans="1:77" ht="69.75" customHeight="1">
      <c r="A345" s="1377"/>
      <c r="B345" s="1374"/>
      <c r="C345" s="1375"/>
      <c r="D345" s="1367"/>
      <c r="E345" s="1367"/>
      <c r="F345" s="365"/>
      <c r="G345" s="365"/>
      <c r="H345" s="693"/>
      <c r="I345" s="750" t="s">
        <v>1410</v>
      </c>
      <c r="J345" s="688" t="s">
        <v>1411</v>
      </c>
      <c r="K345" s="367"/>
      <c r="L345" s="688"/>
      <c r="M345" s="688">
        <v>1</v>
      </c>
      <c r="N345" s="688">
        <v>1</v>
      </c>
      <c r="O345" s="1230"/>
      <c r="P345" s="1230"/>
      <c r="Q345" s="1230"/>
      <c r="R345" s="1230"/>
      <c r="S345" s="1230"/>
      <c r="T345" s="1230"/>
      <c r="U345" s="1230"/>
      <c r="V345" s="1230"/>
      <c r="W345" s="1230"/>
      <c r="X345" s="1230"/>
      <c r="Y345" s="1230"/>
      <c r="Z345" s="1230"/>
      <c r="AA345" s="1230"/>
      <c r="AB345" s="1230"/>
      <c r="AD345" s="1230"/>
      <c r="AE345" s="1230"/>
      <c r="AF345" s="1230"/>
      <c r="AG345" s="1230"/>
      <c r="AH345" s="1230"/>
      <c r="AR345" s="1230"/>
      <c r="AS345" s="1230"/>
      <c r="AT345" s="1230"/>
      <c r="AU345" s="1230"/>
      <c r="AV345" s="1230"/>
      <c r="AW345" s="1230">
        <f t="shared" si="39"/>
        <v>0</v>
      </c>
      <c r="BA345" s="1209"/>
      <c r="BB345" s="1155"/>
      <c r="BC345" s="1155"/>
      <c r="BD345" s="1155"/>
      <c r="BE345" s="1155"/>
      <c r="BF345" s="1155"/>
      <c r="BG345" s="1155"/>
      <c r="BH345" s="1145"/>
      <c r="BI345" s="1145"/>
      <c r="BJ345" s="1145"/>
      <c r="BK345" s="1145"/>
      <c r="BL345" s="1145"/>
      <c r="BM345" s="1145"/>
      <c r="BN345" s="1145"/>
      <c r="BO345" s="1145"/>
      <c r="BP345" s="1145"/>
      <c r="BQ345" s="1145"/>
      <c r="BR345" s="1145"/>
      <c r="BS345" s="1145"/>
      <c r="BT345" s="1145"/>
      <c r="BU345" s="1145"/>
      <c r="BV345" s="1145"/>
      <c r="BW345" s="1145"/>
      <c r="BX345" s="1145"/>
      <c r="BY345" s="1145"/>
    </row>
    <row r="346" spans="1:77" ht="66.75" customHeight="1">
      <c r="A346" s="1377"/>
      <c r="B346" s="1374"/>
      <c r="C346" s="1375"/>
      <c r="D346" s="1367"/>
      <c r="E346" s="1367"/>
      <c r="F346" s="365"/>
      <c r="G346" s="365"/>
      <c r="H346" s="693"/>
      <c r="I346" s="750" t="s">
        <v>1412</v>
      </c>
      <c r="J346" s="688" t="s">
        <v>1413</v>
      </c>
      <c r="K346" s="367"/>
      <c r="L346" s="688">
        <v>1</v>
      </c>
      <c r="M346" s="688">
        <v>1</v>
      </c>
      <c r="N346" s="688">
        <v>1</v>
      </c>
      <c r="O346" s="1230"/>
      <c r="P346" s="1230"/>
      <c r="Q346" s="1230"/>
      <c r="R346" s="1230"/>
      <c r="S346" s="1230"/>
      <c r="T346" s="1230"/>
      <c r="U346" s="1230"/>
      <c r="V346" s="1230"/>
      <c r="W346" s="1230"/>
      <c r="X346" s="1230"/>
      <c r="Y346" s="1230"/>
      <c r="Z346" s="1230"/>
      <c r="AA346" s="1230"/>
      <c r="AB346" s="1230"/>
      <c r="AD346" s="1230"/>
      <c r="AE346" s="1230"/>
      <c r="AF346" s="1230"/>
      <c r="AG346" s="1230"/>
      <c r="AH346" s="1230"/>
      <c r="AR346" s="1230"/>
      <c r="AS346" s="1230"/>
      <c r="AT346" s="1230"/>
      <c r="AU346" s="1230"/>
      <c r="AV346" s="1230"/>
      <c r="AW346" s="1230">
        <f t="shared" si="39"/>
        <v>0</v>
      </c>
      <c r="BA346" s="1209"/>
      <c r="BB346" s="1155"/>
      <c r="BC346" s="1155"/>
      <c r="BD346" s="1155"/>
      <c r="BE346" s="1155"/>
      <c r="BF346" s="1155"/>
      <c r="BG346" s="1155"/>
      <c r="BH346" s="1145"/>
      <c r="BI346" s="1145"/>
      <c r="BJ346" s="1145"/>
      <c r="BK346" s="1145"/>
      <c r="BL346" s="1145"/>
      <c r="BM346" s="1145"/>
      <c r="BN346" s="1145"/>
      <c r="BO346" s="1145"/>
      <c r="BP346" s="1145"/>
      <c r="BQ346" s="1145"/>
      <c r="BR346" s="1145"/>
      <c r="BS346" s="1145"/>
      <c r="BT346" s="1145"/>
      <c r="BU346" s="1145"/>
      <c r="BV346" s="1145"/>
      <c r="BW346" s="1145"/>
      <c r="BX346" s="1145"/>
      <c r="BY346" s="1145"/>
    </row>
    <row r="347" spans="1:77" ht="125.25" customHeight="1" thickBot="1">
      <c r="A347" s="1377"/>
      <c r="B347" s="1374"/>
      <c r="C347" s="1375"/>
      <c r="D347" s="1367"/>
      <c r="E347" s="1367"/>
      <c r="F347" s="365"/>
      <c r="G347" s="365"/>
      <c r="H347" s="693"/>
      <c r="I347" s="764" t="s">
        <v>1414</v>
      </c>
      <c r="J347" s="732" t="s">
        <v>1415</v>
      </c>
      <c r="K347" s="732"/>
      <c r="L347" s="732">
        <v>1</v>
      </c>
      <c r="M347" s="732">
        <v>2</v>
      </c>
      <c r="N347" s="732">
        <v>1</v>
      </c>
      <c r="O347" s="1230"/>
      <c r="P347" s="1230"/>
      <c r="Q347" s="1230"/>
      <c r="R347" s="1230"/>
      <c r="S347" s="1230"/>
      <c r="T347" s="1230"/>
      <c r="U347" s="1230"/>
      <c r="V347" s="1230"/>
      <c r="W347" s="1230"/>
      <c r="X347" s="1230"/>
      <c r="Y347" s="1230"/>
      <c r="Z347" s="1230"/>
      <c r="AA347" s="1230"/>
      <c r="AB347" s="1230"/>
      <c r="AD347" s="1230"/>
      <c r="AE347" s="1230"/>
      <c r="AF347" s="1230"/>
      <c r="AG347" s="1230"/>
      <c r="AH347" s="1230"/>
      <c r="AR347" s="1230"/>
      <c r="AS347" s="1230"/>
      <c r="AT347" s="1230"/>
      <c r="AU347" s="1230"/>
      <c r="AV347" s="1230"/>
      <c r="AW347" s="1230">
        <f t="shared" si="39"/>
        <v>0</v>
      </c>
      <c r="BA347" s="1210"/>
      <c r="BB347" s="1155"/>
      <c r="BC347" s="1155"/>
      <c r="BD347" s="1155"/>
      <c r="BE347" s="1155"/>
      <c r="BF347" s="1155"/>
      <c r="BG347" s="1155"/>
      <c r="BH347" s="1145"/>
      <c r="BI347" s="1145"/>
      <c r="BJ347" s="1145"/>
      <c r="BK347" s="1145"/>
      <c r="BL347" s="1145"/>
      <c r="BM347" s="1145"/>
      <c r="BN347" s="1145"/>
      <c r="BO347" s="1145"/>
      <c r="BP347" s="1145"/>
      <c r="BQ347" s="1145"/>
      <c r="BR347" s="1145"/>
      <c r="BS347" s="1145"/>
      <c r="BT347" s="1145"/>
      <c r="BU347" s="1145"/>
      <c r="BV347" s="1145"/>
      <c r="BW347" s="1145"/>
      <c r="BX347" s="1145"/>
      <c r="BY347" s="1145"/>
    </row>
    <row r="348" spans="1:77" ht="16.5" thickBot="1">
      <c r="A348" s="1377"/>
      <c r="B348" s="1374"/>
      <c r="C348" s="719"/>
      <c r="D348" s="718"/>
      <c r="E348" s="718"/>
      <c r="F348" s="365"/>
      <c r="G348" s="365"/>
      <c r="H348" s="776"/>
      <c r="I348" s="1237" t="s">
        <v>1729</v>
      </c>
      <c r="J348" s="1238"/>
      <c r="K348" s="1238"/>
      <c r="L348" s="1238"/>
      <c r="M348" s="1238"/>
      <c r="N348" s="1238"/>
      <c r="O348" s="1238"/>
      <c r="P348" s="878">
        <f>SUM(P343)</f>
        <v>0</v>
      </c>
      <c r="Q348" s="878">
        <f aca="true" t="shared" si="42" ref="Q348:AW348">SUM(Q343)</f>
        <v>0</v>
      </c>
      <c r="R348" s="878">
        <f t="shared" si="42"/>
        <v>0</v>
      </c>
      <c r="S348" s="878">
        <f t="shared" si="42"/>
        <v>0</v>
      </c>
      <c r="T348" s="878">
        <f t="shared" si="42"/>
        <v>0</v>
      </c>
      <c r="U348" s="878">
        <f t="shared" si="42"/>
        <v>0</v>
      </c>
      <c r="V348" s="878">
        <f t="shared" si="42"/>
        <v>0</v>
      </c>
      <c r="W348" s="878">
        <f t="shared" si="42"/>
        <v>0</v>
      </c>
      <c r="X348" s="878">
        <f t="shared" si="42"/>
        <v>0</v>
      </c>
      <c r="Y348" s="878">
        <f t="shared" si="42"/>
        <v>0</v>
      </c>
      <c r="Z348" s="878">
        <f t="shared" si="42"/>
        <v>0</v>
      </c>
      <c r="AA348" s="878">
        <f t="shared" si="42"/>
        <v>0</v>
      </c>
      <c r="AB348" s="878">
        <f t="shared" si="42"/>
        <v>0</v>
      </c>
      <c r="AC348" s="878">
        <f t="shared" si="42"/>
        <v>0</v>
      </c>
      <c r="AD348" s="878">
        <f t="shared" si="42"/>
        <v>40000000</v>
      </c>
      <c r="AE348" s="878">
        <f t="shared" si="42"/>
        <v>0</v>
      </c>
      <c r="AF348" s="878">
        <f t="shared" si="42"/>
        <v>0</v>
      </c>
      <c r="AG348" s="878">
        <f t="shared" si="42"/>
        <v>0</v>
      </c>
      <c r="AH348" s="878">
        <f t="shared" si="42"/>
        <v>0</v>
      </c>
      <c r="AI348" s="878">
        <f t="shared" si="42"/>
        <v>0</v>
      </c>
      <c r="AJ348" s="878">
        <f t="shared" si="42"/>
        <v>0</v>
      </c>
      <c r="AK348" s="878">
        <f t="shared" si="42"/>
        <v>0</v>
      </c>
      <c r="AL348" s="878">
        <f t="shared" si="42"/>
        <v>0</v>
      </c>
      <c r="AM348" s="878">
        <f t="shared" si="42"/>
        <v>0</v>
      </c>
      <c r="AN348" s="878">
        <f t="shared" si="42"/>
        <v>0</v>
      </c>
      <c r="AO348" s="878">
        <f t="shared" si="42"/>
        <v>0</v>
      </c>
      <c r="AP348" s="878">
        <f t="shared" si="42"/>
        <v>0</v>
      </c>
      <c r="AQ348" s="878">
        <f t="shared" si="42"/>
        <v>0</v>
      </c>
      <c r="AR348" s="878">
        <f t="shared" si="42"/>
        <v>0</v>
      </c>
      <c r="AS348" s="878">
        <f t="shared" si="42"/>
        <v>0</v>
      </c>
      <c r="AT348" s="878">
        <f t="shared" si="42"/>
        <v>0</v>
      </c>
      <c r="AU348" s="878">
        <f t="shared" si="42"/>
        <v>0</v>
      </c>
      <c r="AV348" s="878">
        <f t="shared" si="42"/>
        <v>0</v>
      </c>
      <c r="AW348" s="879">
        <f t="shared" si="42"/>
        <v>40000000</v>
      </c>
      <c r="BA348" s="1155"/>
      <c r="BB348" s="1155"/>
      <c r="BC348" s="1155"/>
      <c r="BD348" s="1155"/>
      <c r="BE348" s="1155"/>
      <c r="BF348" s="1155"/>
      <c r="BG348" s="1155"/>
      <c r="BH348" s="1145"/>
      <c r="BI348" s="1145"/>
      <c r="BJ348" s="1145"/>
      <c r="BK348" s="1145"/>
      <c r="BL348" s="1145"/>
      <c r="BM348" s="1145"/>
      <c r="BN348" s="1145"/>
      <c r="BO348" s="1145"/>
      <c r="BP348" s="1145"/>
      <c r="BQ348" s="1145"/>
      <c r="BR348" s="1145"/>
      <c r="BS348" s="1145"/>
      <c r="BT348" s="1145"/>
      <c r="BU348" s="1145"/>
      <c r="BV348" s="1145"/>
      <c r="BW348" s="1145"/>
      <c r="BX348" s="1145"/>
      <c r="BY348" s="1145"/>
    </row>
    <row r="349" spans="1:77" ht="56.25" customHeight="1">
      <c r="A349" s="1377"/>
      <c r="B349" s="1374"/>
      <c r="C349" s="1374" t="s">
        <v>1416</v>
      </c>
      <c r="D349" s="1367" t="s">
        <v>1417</v>
      </c>
      <c r="E349" s="1367" t="s">
        <v>1418</v>
      </c>
      <c r="F349" s="1374"/>
      <c r="G349" s="1374" t="s">
        <v>1114</v>
      </c>
      <c r="H349" s="688"/>
      <c r="I349" s="765" t="s">
        <v>1419</v>
      </c>
      <c r="J349" s="739" t="s">
        <v>1420</v>
      </c>
      <c r="K349" s="739"/>
      <c r="L349" s="739">
        <v>1</v>
      </c>
      <c r="M349" s="739">
        <v>1</v>
      </c>
      <c r="N349" s="786">
        <v>1</v>
      </c>
      <c r="O349" s="1325" t="s">
        <v>1732</v>
      </c>
      <c r="P349" s="1229"/>
      <c r="Q349" s="1229"/>
      <c r="R349" s="1229"/>
      <c r="S349" s="1229"/>
      <c r="T349" s="1229"/>
      <c r="U349" s="1229"/>
      <c r="V349" s="1229"/>
      <c r="W349" s="1229"/>
      <c r="X349" s="1229"/>
      <c r="Y349" s="1229"/>
      <c r="Z349" s="1229"/>
      <c r="AA349" s="1229"/>
      <c r="AB349" s="1229"/>
      <c r="AC349" s="880"/>
      <c r="AD349" s="1229">
        <v>82316374</v>
      </c>
      <c r="AE349" s="1229"/>
      <c r="AF349" s="1229"/>
      <c r="AG349" s="1229"/>
      <c r="AH349" s="1229"/>
      <c r="AI349" s="880"/>
      <c r="AJ349" s="880"/>
      <c r="AK349" s="880"/>
      <c r="AL349" s="880"/>
      <c r="AM349" s="880"/>
      <c r="AN349" s="880"/>
      <c r="AO349" s="880"/>
      <c r="AP349" s="880"/>
      <c r="AQ349" s="880"/>
      <c r="AR349" s="1229"/>
      <c r="AS349" s="1229"/>
      <c r="AT349" s="1229"/>
      <c r="AU349" s="1229"/>
      <c r="AV349" s="1229"/>
      <c r="AW349" s="1232">
        <f t="shared" si="39"/>
        <v>82316374</v>
      </c>
      <c r="BA349" s="1208" t="s">
        <v>1849</v>
      </c>
      <c r="BB349" s="1155"/>
      <c r="BC349" s="1155"/>
      <c r="BD349" s="1155"/>
      <c r="BE349" s="1155"/>
      <c r="BF349" s="1155"/>
      <c r="BG349" s="1155"/>
      <c r="BH349" s="1145"/>
      <c r="BI349" s="1145"/>
      <c r="BJ349" s="1145"/>
      <c r="BK349" s="1145"/>
      <c r="BL349" s="1145"/>
      <c r="BM349" s="1145"/>
      <c r="BN349" s="1145"/>
      <c r="BO349" s="1145"/>
      <c r="BP349" s="1145"/>
      <c r="BQ349" s="1145"/>
      <c r="BR349" s="1145"/>
      <c r="BS349" s="1145"/>
      <c r="BT349" s="1145"/>
      <c r="BU349" s="1145"/>
      <c r="BV349" s="1145"/>
      <c r="BW349" s="1145"/>
      <c r="BX349" s="1145"/>
      <c r="BY349" s="1145"/>
    </row>
    <row r="350" spans="1:77" ht="79.5" customHeight="1">
      <c r="A350" s="1377"/>
      <c r="B350" s="1374"/>
      <c r="C350" s="1374"/>
      <c r="D350" s="1367"/>
      <c r="E350" s="1367"/>
      <c r="F350" s="1374"/>
      <c r="G350" s="1374"/>
      <c r="H350" s="688"/>
      <c r="I350" s="750" t="s">
        <v>1421</v>
      </c>
      <c r="J350" s="688" t="s">
        <v>1422</v>
      </c>
      <c r="K350" s="688"/>
      <c r="L350" s="688">
        <v>1</v>
      </c>
      <c r="M350" s="688">
        <v>1</v>
      </c>
      <c r="N350" s="374"/>
      <c r="O350" s="1326"/>
      <c r="P350" s="1230"/>
      <c r="Q350" s="1230"/>
      <c r="R350" s="1230"/>
      <c r="S350" s="1230"/>
      <c r="T350" s="1230"/>
      <c r="U350" s="1230"/>
      <c r="V350" s="1230"/>
      <c r="W350" s="1230"/>
      <c r="X350" s="1230"/>
      <c r="Y350" s="1230"/>
      <c r="Z350" s="1230"/>
      <c r="AA350" s="1230"/>
      <c r="AB350" s="1230"/>
      <c r="AC350" s="865"/>
      <c r="AD350" s="1230"/>
      <c r="AE350" s="1230"/>
      <c r="AF350" s="1230"/>
      <c r="AG350" s="1230"/>
      <c r="AH350" s="1230"/>
      <c r="AI350" s="865"/>
      <c r="AJ350" s="865"/>
      <c r="AK350" s="865"/>
      <c r="AL350" s="865"/>
      <c r="AM350" s="865"/>
      <c r="AN350" s="865"/>
      <c r="AO350" s="865"/>
      <c r="AP350" s="865"/>
      <c r="AQ350" s="865"/>
      <c r="AR350" s="1230"/>
      <c r="AS350" s="1230"/>
      <c r="AT350" s="1230"/>
      <c r="AU350" s="1230"/>
      <c r="AV350" s="1230"/>
      <c r="AW350" s="1233">
        <f t="shared" si="39"/>
        <v>0</v>
      </c>
      <c r="BA350" s="1209"/>
      <c r="BB350" s="1155"/>
      <c r="BC350" s="1155"/>
      <c r="BD350" s="1155"/>
      <c r="BE350" s="1155"/>
      <c r="BF350" s="1155"/>
      <c r="BG350" s="1155"/>
      <c r="BH350" s="1145"/>
      <c r="BI350" s="1145"/>
      <c r="BJ350" s="1145"/>
      <c r="BK350" s="1145"/>
      <c r="BL350" s="1145"/>
      <c r="BM350" s="1145"/>
      <c r="BN350" s="1145"/>
      <c r="BO350" s="1145"/>
      <c r="BP350" s="1145"/>
      <c r="BQ350" s="1145"/>
      <c r="BR350" s="1145"/>
      <c r="BS350" s="1145"/>
      <c r="BT350" s="1145"/>
      <c r="BU350" s="1145"/>
      <c r="BV350" s="1145"/>
      <c r="BW350" s="1145"/>
      <c r="BX350" s="1145"/>
      <c r="BY350" s="1145"/>
    </row>
    <row r="351" spans="1:77" ht="69.75" customHeight="1">
      <c r="A351" s="1377"/>
      <c r="B351" s="1374"/>
      <c r="C351" s="1374"/>
      <c r="D351" s="1367"/>
      <c r="E351" s="1367"/>
      <c r="F351" s="1374"/>
      <c r="G351" s="1374"/>
      <c r="H351" s="688"/>
      <c r="I351" s="750" t="s">
        <v>1423</v>
      </c>
      <c r="J351" s="688" t="s">
        <v>1424</v>
      </c>
      <c r="K351" s="688">
        <v>1</v>
      </c>
      <c r="L351" s="688">
        <v>1</v>
      </c>
      <c r="M351" s="688">
        <v>1</v>
      </c>
      <c r="N351" s="374">
        <v>1</v>
      </c>
      <c r="O351" s="1326"/>
      <c r="P351" s="1230"/>
      <c r="Q351" s="1230"/>
      <c r="R351" s="1230"/>
      <c r="S351" s="1230"/>
      <c r="T351" s="1230"/>
      <c r="U351" s="1230"/>
      <c r="V351" s="1230"/>
      <c r="W351" s="1230"/>
      <c r="X351" s="1230"/>
      <c r="Y351" s="1230"/>
      <c r="Z351" s="1230"/>
      <c r="AA351" s="1230"/>
      <c r="AB351" s="1230"/>
      <c r="AC351" s="865"/>
      <c r="AD351" s="1230"/>
      <c r="AE351" s="1230"/>
      <c r="AF351" s="1230"/>
      <c r="AG351" s="1230"/>
      <c r="AH351" s="1230"/>
      <c r="AI351" s="865"/>
      <c r="AJ351" s="865"/>
      <c r="AK351" s="865"/>
      <c r="AL351" s="865"/>
      <c r="AM351" s="865"/>
      <c r="AN351" s="865"/>
      <c r="AO351" s="865"/>
      <c r="AP351" s="865"/>
      <c r="AQ351" s="865"/>
      <c r="AR351" s="1230"/>
      <c r="AS351" s="1230"/>
      <c r="AT351" s="1230"/>
      <c r="AU351" s="1230"/>
      <c r="AV351" s="1230"/>
      <c r="AW351" s="1233">
        <f t="shared" si="39"/>
        <v>0</v>
      </c>
      <c r="BA351" s="1209"/>
      <c r="BB351" s="1155"/>
      <c r="BC351" s="1155"/>
      <c r="BD351" s="1155"/>
      <c r="BE351" s="1155"/>
      <c r="BF351" s="1155"/>
      <c r="BG351" s="1155"/>
      <c r="BH351" s="1145"/>
      <c r="BI351" s="1145"/>
      <c r="BJ351" s="1145"/>
      <c r="BK351" s="1145"/>
      <c r="BL351" s="1145"/>
      <c r="BM351" s="1145"/>
      <c r="BN351" s="1145"/>
      <c r="BO351" s="1145"/>
      <c r="BP351" s="1145"/>
      <c r="BQ351" s="1145"/>
      <c r="BR351" s="1145"/>
      <c r="BS351" s="1145"/>
      <c r="BT351" s="1145"/>
      <c r="BU351" s="1145"/>
      <c r="BV351" s="1145"/>
      <c r="BW351" s="1145"/>
      <c r="BX351" s="1145"/>
      <c r="BY351" s="1145"/>
    </row>
    <row r="352" spans="1:77" ht="76.5" customHeight="1">
      <c r="A352" s="1377"/>
      <c r="B352" s="1374"/>
      <c r="C352" s="1374"/>
      <c r="D352" s="1367"/>
      <c r="E352" s="1367"/>
      <c r="F352" s="1374"/>
      <c r="G352" s="1374"/>
      <c r="H352" s="688"/>
      <c r="I352" s="750" t="s">
        <v>1425</v>
      </c>
      <c r="J352" s="688" t="s">
        <v>1426</v>
      </c>
      <c r="K352" s="688"/>
      <c r="L352" s="688">
        <v>1</v>
      </c>
      <c r="M352" s="688">
        <v>1</v>
      </c>
      <c r="N352" s="374"/>
      <c r="O352" s="1326"/>
      <c r="P352" s="1230"/>
      <c r="Q352" s="1230"/>
      <c r="R352" s="1230"/>
      <c r="S352" s="1230"/>
      <c r="T352" s="1230"/>
      <c r="U352" s="1230"/>
      <c r="V352" s="1230"/>
      <c r="W352" s="1230"/>
      <c r="X352" s="1230"/>
      <c r="Y352" s="1230"/>
      <c r="Z352" s="1230"/>
      <c r="AA352" s="1230"/>
      <c r="AB352" s="1230"/>
      <c r="AC352" s="865"/>
      <c r="AD352" s="1230"/>
      <c r="AE352" s="1230"/>
      <c r="AF352" s="1230"/>
      <c r="AG352" s="1230"/>
      <c r="AH352" s="1230"/>
      <c r="AI352" s="865"/>
      <c r="AJ352" s="865"/>
      <c r="AK352" s="865"/>
      <c r="AL352" s="865"/>
      <c r="AM352" s="865"/>
      <c r="AN352" s="865"/>
      <c r="AO352" s="865"/>
      <c r="AP352" s="865"/>
      <c r="AQ352" s="865"/>
      <c r="AR352" s="1230"/>
      <c r="AS352" s="1230"/>
      <c r="AT352" s="1230"/>
      <c r="AU352" s="1230"/>
      <c r="AV352" s="1230"/>
      <c r="AW352" s="1233">
        <f t="shared" si="39"/>
        <v>0</v>
      </c>
      <c r="BA352" s="1209"/>
      <c r="BB352" s="1155"/>
      <c r="BC352" s="1155"/>
      <c r="BD352" s="1155"/>
      <c r="BE352" s="1155"/>
      <c r="BF352" s="1155"/>
      <c r="BG352" s="1155"/>
      <c r="BH352" s="1145"/>
      <c r="BI352" s="1145"/>
      <c r="BJ352" s="1145"/>
      <c r="BK352" s="1145"/>
      <c r="BL352" s="1145"/>
      <c r="BM352" s="1145"/>
      <c r="BN352" s="1145"/>
      <c r="BO352" s="1145"/>
      <c r="BP352" s="1145"/>
      <c r="BQ352" s="1145"/>
      <c r="BR352" s="1145"/>
      <c r="BS352" s="1145"/>
      <c r="BT352" s="1145"/>
      <c r="BU352" s="1145"/>
      <c r="BV352" s="1145"/>
      <c r="BW352" s="1145"/>
      <c r="BX352" s="1145"/>
      <c r="BY352" s="1145"/>
    </row>
    <row r="353" spans="1:77" ht="39" thickBot="1">
      <c r="A353" s="1378"/>
      <c r="B353" s="1374"/>
      <c r="C353" s="1373"/>
      <c r="D353" s="1367"/>
      <c r="E353" s="1367"/>
      <c r="F353" s="1373"/>
      <c r="G353" s="1373"/>
      <c r="H353" s="688"/>
      <c r="I353" s="764" t="s">
        <v>1427</v>
      </c>
      <c r="J353" s="732" t="s">
        <v>1428</v>
      </c>
      <c r="K353" s="732"/>
      <c r="L353" s="732"/>
      <c r="M353" s="732">
        <v>1</v>
      </c>
      <c r="N353" s="376">
        <v>1</v>
      </c>
      <c r="O353" s="1328"/>
      <c r="P353" s="1231"/>
      <c r="Q353" s="1231"/>
      <c r="R353" s="1231"/>
      <c r="S353" s="1231"/>
      <c r="T353" s="1231"/>
      <c r="U353" s="1231"/>
      <c r="V353" s="1231"/>
      <c r="W353" s="1231"/>
      <c r="X353" s="1231"/>
      <c r="Y353" s="1231"/>
      <c r="Z353" s="1231"/>
      <c r="AA353" s="1231"/>
      <c r="AB353" s="1231"/>
      <c r="AC353" s="866"/>
      <c r="AD353" s="1231"/>
      <c r="AE353" s="1231"/>
      <c r="AF353" s="1231"/>
      <c r="AG353" s="1231"/>
      <c r="AH353" s="1231"/>
      <c r="AI353" s="866"/>
      <c r="AJ353" s="866"/>
      <c r="AK353" s="866"/>
      <c r="AL353" s="866"/>
      <c r="AM353" s="866"/>
      <c r="AN353" s="866"/>
      <c r="AO353" s="866"/>
      <c r="AP353" s="866"/>
      <c r="AQ353" s="866"/>
      <c r="AR353" s="1231"/>
      <c r="AS353" s="1231"/>
      <c r="AT353" s="1231"/>
      <c r="AU353" s="1231"/>
      <c r="AV353" s="1231"/>
      <c r="AW353" s="1234">
        <f t="shared" si="39"/>
        <v>0</v>
      </c>
      <c r="BA353" s="1210"/>
      <c r="BB353" s="1155"/>
      <c r="BC353" s="1155"/>
      <c r="BD353" s="1155"/>
      <c r="BE353" s="1155"/>
      <c r="BF353" s="1155"/>
      <c r="BG353" s="1155"/>
      <c r="BH353" s="1145"/>
      <c r="BI353" s="1145"/>
      <c r="BJ353" s="1145"/>
      <c r="BK353" s="1145"/>
      <c r="BL353" s="1145"/>
      <c r="BM353" s="1145"/>
      <c r="BN353" s="1145"/>
      <c r="BO353" s="1145"/>
      <c r="BP353" s="1145"/>
      <c r="BQ353" s="1145"/>
      <c r="BR353" s="1145"/>
      <c r="BS353" s="1145"/>
      <c r="BT353" s="1145"/>
      <c r="BU353" s="1145"/>
      <c r="BV353" s="1145"/>
      <c r="BW353" s="1145"/>
      <c r="BX353" s="1145"/>
      <c r="BY353" s="1145"/>
    </row>
    <row r="354" spans="1:77" ht="16.5" thickBot="1">
      <c r="A354" s="386"/>
      <c r="B354" s="386"/>
      <c r="C354" s="386"/>
      <c r="D354" s="386"/>
      <c r="E354" s="386"/>
      <c r="F354" s="386"/>
      <c r="G354" s="386"/>
      <c r="H354" s="684"/>
      <c r="I354" s="1235" t="s">
        <v>1730</v>
      </c>
      <c r="J354" s="1236"/>
      <c r="K354" s="1236"/>
      <c r="L354" s="1236"/>
      <c r="M354" s="1236"/>
      <c r="N354" s="1236"/>
      <c r="O354" s="1236"/>
      <c r="P354" s="821">
        <f>SUM(P349)</f>
        <v>0</v>
      </c>
      <c r="Q354" s="821">
        <f aca="true" t="shared" si="43" ref="Q354:AW354">SUM(Q349)</f>
        <v>0</v>
      </c>
      <c r="R354" s="821">
        <f t="shared" si="43"/>
        <v>0</v>
      </c>
      <c r="S354" s="821">
        <f t="shared" si="43"/>
        <v>0</v>
      </c>
      <c r="T354" s="821">
        <f t="shared" si="43"/>
        <v>0</v>
      </c>
      <c r="U354" s="821">
        <f t="shared" si="43"/>
        <v>0</v>
      </c>
      <c r="V354" s="821">
        <f t="shared" si="43"/>
        <v>0</v>
      </c>
      <c r="W354" s="821">
        <f t="shared" si="43"/>
        <v>0</v>
      </c>
      <c r="X354" s="821">
        <f t="shared" si="43"/>
        <v>0</v>
      </c>
      <c r="Y354" s="821">
        <f t="shared" si="43"/>
        <v>0</v>
      </c>
      <c r="Z354" s="821">
        <f t="shared" si="43"/>
        <v>0</v>
      </c>
      <c r="AA354" s="821">
        <f t="shared" si="43"/>
        <v>0</v>
      </c>
      <c r="AB354" s="821">
        <f t="shared" si="43"/>
        <v>0</v>
      </c>
      <c r="AC354" s="821">
        <f t="shared" si="43"/>
        <v>0</v>
      </c>
      <c r="AD354" s="821">
        <f t="shared" si="43"/>
        <v>82316374</v>
      </c>
      <c r="AE354" s="821">
        <f t="shared" si="43"/>
        <v>0</v>
      </c>
      <c r="AF354" s="821">
        <f t="shared" si="43"/>
        <v>0</v>
      </c>
      <c r="AG354" s="821">
        <f t="shared" si="43"/>
        <v>0</v>
      </c>
      <c r="AH354" s="821">
        <f t="shared" si="43"/>
        <v>0</v>
      </c>
      <c r="AI354" s="821">
        <f t="shared" si="43"/>
        <v>0</v>
      </c>
      <c r="AJ354" s="821">
        <f t="shared" si="43"/>
        <v>0</v>
      </c>
      <c r="AK354" s="821">
        <f t="shared" si="43"/>
        <v>0</v>
      </c>
      <c r="AL354" s="821">
        <f t="shared" si="43"/>
        <v>0</v>
      </c>
      <c r="AM354" s="821">
        <f t="shared" si="43"/>
        <v>0</v>
      </c>
      <c r="AN354" s="821">
        <f t="shared" si="43"/>
        <v>0</v>
      </c>
      <c r="AO354" s="821">
        <f t="shared" si="43"/>
        <v>0</v>
      </c>
      <c r="AP354" s="821">
        <f t="shared" si="43"/>
        <v>0</v>
      </c>
      <c r="AQ354" s="821">
        <f t="shared" si="43"/>
        <v>0</v>
      </c>
      <c r="AR354" s="821">
        <f t="shared" si="43"/>
        <v>0</v>
      </c>
      <c r="AS354" s="821">
        <f t="shared" si="43"/>
        <v>0</v>
      </c>
      <c r="AT354" s="821">
        <f t="shared" si="43"/>
        <v>0</v>
      </c>
      <c r="AU354" s="821">
        <f t="shared" si="43"/>
        <v>0</v>
      </c>
      <c r="AV354" s="821">
        <f t="shared" si="43"/>
        <v>0</v>
      </c>
      <c r="AW354" s="778">
        <f t="shared" si="43"/>
        <v>82316374</v>
      </c>
      <c r="BA354" s="1155"/>
      <c r="BB354" s="1155"/>
      <c r="BC354" s="1155"/>
      <c r="BD354" s="1155"/>
      <c r="BE354" s="1155"/>
      <c r="BF354" s="1155"/>
      <c r="BG354" s="1155"/>
      <c r="BH354" s="1145"/>
      <c r="BI354" s="1145"/>
      <c r="BJ354" s="1145"/>
      <c r="BK354" s="1145"/>
      <c r="BL354" s="1145"/>
      <c r="BM354" s="1145"/>
      <c r="BN354" s="1145"/>
      <c r="BO354" s="1145"/>
      <c r="BP354" s="1145"/>
      <c r="BQ354" s="1145"/>
      <c r="BR354" s="1145"/>
      <c r="BS354" s="1145"/>
      <c r="BT354" s="1145"/>
      <c r="BU354" s="1145"/>
      <c r="BV354" s="1145"/>
      <c r="BW354" s="1145"/>
      <c r="BX354" s="1145"/>
      <c r="BY354" s="1145"/>
    </row>
    <row r="355" spans="1:77" ht="31.5" customHeight="1" thickBot="1">
      <c r="A355" s="386"/>
      <c r="B355" s="1217" t="s">
        <v>1731</v>
      </c>
      <c r="C355" s="1217"/>
      <c r="D355" s="1217"/>
      <c r="E355" s="1217"/>
      <c r="F355" s="1217"/>
      <c r="G355" s="1217"/>
      <c r="H355" s="1217"/>
      <c r="I355" s="1217"/>
      <c r="J355" s="1217"/>
      <c r="K355" s="1217"/>
      <c r="L355" s="1217"/>
      <c r="M355" s="1217"/>
      <c r="N355" s="1217"/>
      <c r="O355" s="1218"/>
      <c r="P355" s="881">
        <f aca="true" t="shared" si="44" ref="P355:AW355">+P322+P338+P342+P348+P354</f>
        <v>0</v>
      </c>
      <c r="Q355" s="881">
        <f t="shared" si="44"/>
        <v>0</v>
      </c>
      <c r="R355" s="881">
        <f t="shared" si="44"/>
        <v>0</v>
      </c>
      <c r="S355" s="881">
        <f t="shared" si="44"/>
        <v>0</v>
      </c>
      <c r="T355" s="881">
        <f t="shared" si="44"/>
        <v>0</v>
      </c>
      <c r="U355" s="881">
        <f t="shared" si="44"/>
        <v>0</v>
      </c>
      <c r="V355" s="881">
        <f t="shared" si="44"/>
        <v>0</v>
      </c>
      <c r="W355" s="881">
        <f t="shared" si="44"/>
        <v>0</v>
      </c>
      <c r="X355" s="881">
        <f t="shared" si="44"/>
        <v>0</v>
      </c>
      <c r="Y355" s="881">
        <f t="shared" si="44"/>
        <v>0</v>
      </c>
      <c r="Z355" s="881">
        <f t="shared" si="44"/>
        <v>0</v>
      </c>
      <c r="AA355" s="881">
        <f t="shared" si="44"/>
        <v>0</v>
      </c>
      <c r="AB355" s="881">
        <f t="shared" si="44"/>
        <v>41629558</v>
      </c>
      <c r="AC355" s="881">
        <f t="shared" si="44"/>
        <v>0</v>
      </c>
      <c r="AD355" s="912">
        <f t="shared" si="44"/>
        <v>1402316374</v>
      </c>
      <c r="AE355" s="881">
        <f t="shared" si="44"/>
        <v>0</v>
      </c>
      <c r="AF355" s="881">
        <f t="shared" si="44"/>
        <v>0</v>
      </c>
      <c r="AG355" s="881">
        <f t="shared" si="44"/>
        <v>0</v>
      </c>
      <c r="AH355" s="881">
        <f t="shared" si="44"/>
        <v>0</v>
      </c>
      <c r="AI355" s="881">
        <f t="shared" si="44"/>
        <v>0</v>
      </c>
      <c r="AJ355" s="881">
        <f t="shared" si="44"/>
        <v>0</v>
      </c>
      <c r="AK355" s="881">
        <f t="shared" si="44"/>
        <v>0</v>
      </c>
      <c r="AL355" s="881">
        <f t="shared" si="44"/>
        <v>0</v>
      </c>
      <c r="AM355" s="881">
        <f t="shared" si="44"/>
        <v>0</v>
      </c>
      <c r="AN355" s="881">
        <f t="shared" si="44"/>
        <v>0</v>
      </c>
      <c r="AO355" s="881">
        <f t="shared" si="44"/>
        <v>0</v>
      </c>
      <c r="AP355" s="881">
        <f t="shared" si="44"/>
        <v>0</v>
      </c>
      <c r="AQ355" s="881">
        <f t="shared" si="44"/>
        <v>0</v>
      </c>
      <c r="AR355" s="881">
        <f t="shared" si="44"/>
        <v>0</v>
      </c>
      <c r="AS355" s="881">
        <f t="shared" si="44"/>
        <v>0</v>
      </c>
      <c r="AT355" s="881">
        <f t="shared" si="44"/>
        <v>0</v>
      </c>
      <c r="AU355" s="881">
        <f t="shared" si="44"/>
        <v>0</v>
      </c>
      <c r="AV355" s="881">
        <f t="shared" si="44"/>
        <v>0</v>
      </c>
      <c r="AW355" s="882">
        <f t="shared" si="44"/>
        <v>1443945932</v>
      </c>
      <c r="BA355" s="1155"/>
      <c r="BB355" s="1155"/>
      <c r="BC355" s="1155"/>
      <c r="BD355" s="1155"/>
      <c r="BE355" s="1155"/>
      <c r="BF355" s="1155"/>
      <c r="BG355" s="1155"/>
      <c r="BH355" s="1145"/>
      <c r="BI355" s="1145"/>
      <c r="BJ355" s="1145"/>
      <c r="BK355" s="1145"/>
      <c r="BL355" s="1145"/>
      <c r="BM355" s="1145"/>
      <c r="BN355" s="1145"/>
      <c r="BO355" s="1145"/>
      <c r="BP355" s="1145"/>
      <c r="BQ355" s="1145"/>
      <c r="BR355" s="1145"/>
      <c r="BS355" s="1145"/>
      <c r="BT355" s="1145"/>
      <c r="BU355" s="1145"/>
      <c r="BV355" s="1145"/>
      <c r="BW355" s="1145"/>
      <c r="BX355" s="1145"/>
      <c r="BY355" s="1145"/>
    </row>
    <row r="356" spans="1:77" ht="22.5" customHeight="1" thickBot="1">
      <c r="A356" s="386"/>
      <c r="B356" s="1219" t="s">
        <v>1733</v>
      </c>
      <c r="C356" s="1220"/>
      <c r="D356" s="1220"/>
      <c r="E356" s="1220"/>
      <c r="F356" s="1220"/>
      <c r="G356" s="1220"/>
      <c r="H356" s="1220"/>
      <c r="I356" s="1220"/>
      <c r="J356" s="1220"/>
      <c r="K356" s="1220"/>
      <c r="L356" s="1220"/>
      <c r="M356" s="1220"/>
      <c r="N356" s="1220"/>
      <c r="O356" s="1220"/>
      <c r="P356" s="822">
        <f aca="true" t="shared" si="45" ref="P356:AW356">+P168+P255+P315+P355</f>
        <v>4400000000</v>
      </c>
      <c r="Q356" s="822">
        <f t="shared" si="45"/>
        <v>30000000</v>
      </c>
      <c r="R356" s="822">
        <f t="shared" si="45"/>
        <v>226000000</v>
      </c>
      <c r="S356" s="822">
        <f t="shared" si="45"/>
        <v>303915000</v>
      </c>
      <c r="T356" s="822">
        <f t="shared" si="45"/>
        <v>55000000</v>
      </c>
      <c r="U356" s="822">
        <f t="shared" si="45"/>
        <v>5200000000</v>
      </c>
      <c r="V356" s="822">
        <f t="shared" si="45"/>
        <v>844780936</v>
      </c>
      <c r="W356" s="822">
        <f t="shared" si="45"/>
        <v>550036000</v>
      </c>
      <c r="X356" s="822">
        <f t="shared" si="45"/>
        <v>206487930</v>
      </c>
      <c r="Y356" s="822">
        <f t="shared" si="45"/>
        <v>927633659</v>
      </c>
      <c r="Z356" s="822">
        <f t="shared" si="45"/>
        <v>104519208</v>
      </c>
      <c r="AA356" s="822">
        <f t="shared" si="45"/>
        <v>78389407</v>
      </c>
      <c r="AB356" s="822">
        <f t="shared" si="45"/>
        <v>1931629558</v>
      </c>
      <c r="AC356" s="822">
        <f t="shared" si="45"/>
        <v>0</v>
      </c>
      <c r="AD356" s="913">
        <f t="shared" si="45"/>
        <v>7235528624.4</v>
      </c>
      <c r="AE356" s="822">
        <f t="shared" si="45"/>
        <v>506000000</v>
      </c>
      <c r="AF356" s="822">
        <f t="shared" si="45"/>
        <v>3420955000</v>
      </c>
      <c r="AG356" s="913">
        <f t="shared" si="45"/>
        <v>1610500000</v>
      </c>
      <c r="AH356" s="822">
        <f t="shared" si="45"/>
        <v>150000000</v>
      </c>
      <c r="AI356" s="822">
        <f t="shared" si="45"/>
        <v>0</v>
      </c>
      <c r="AJ356" s="822">
        <f t="shared" si="45"/>
        <v>0</v>
      </c>
      <c r="AK356" s="822">
        <f t="shared" si="45"/>
        <v>0</v>
      </c>
      <c r="AL356" s="822">
        <f t="shared" si="45"/>
        <v>0</v>
      </c>
      <c r="AM356" s="822">
        <f t="shared" si="45"/>
        <v>0</v>
      </c>
      <c r="AN356" s="822">
        <f t="shared" si="45"/>
        <v>0</v>
      </c>
      <c r="AO356" s="822">
        <f t="shared" si="45"/>
        <v>0</v>
      </c>
      <c r="AP356" s="822">
        <f t="shared" si="45"/>
        <v>0</v>
      </c>
      <c r="AQ356" s="822">
        <f t="shared" si="45"/>
        <v>0</v>
      </c>
      <c r="AR356" s="822">
        <f t="shared" si="45"/>
        <v>0</v>
      </c>
      <c r="AS356" s="822">
        <f t="shared" si="45"/>
        <v>500000</v>
      </c>
      <c r="AT356" s="822">
        <f t="shared" si="45"/>
        <v>7500000</v>
      </c>
      <c r="AU356" s="822">
        <f t="shared" si="45"/>
        <v>348000000</v>
      </c>
      <c r="AV356" s="822">
        <f t="shared" si="45"/>
        <v>3500000000</v>
      </c>
      <c r="AW356" s="823">
        <f t="shared" si="45"/>
        <v>31637375322.4</v>
      </c>
      <c r="BA356" s="1155"/>
      <c r="BB356" s="1155"/>
      <c r="BC356" s="1155"/>
      <c r="BD356" s="1155"/>
      <c r="BE356" s="1155"/>
      <c r="BF356" s="1155"/>
      <c r="BG356" s="1155"/>
      <c r="BH356" s="1145"/>
      <c r="BI356" s="1145"/>
      <c r="BJ356" s="1145"/>
      <c r="BK356" s="1145"/>
      <c r="BL356" s="1145"/>
      <c r="BM356" s="1145"/>
      <c r="BN356" s="1145"/>
      <c r="BO356" s="1145"/>
      <c r="BP356" s="1145"/>
      <c r="BQ356" s="1145"/>
      <c r="BR356" s="1145"/>
      <c r="BS356" s="1145"/>
      <c r="BT356" s="1145"/>
      <c r="BU356" s="1145"/>
      <c r="BV356" s="1145"/>
      <c r="BW356" s="1145"/>
      <c r="BX356" s="1145"/>
      <c r="BY356" s="1145"/>
    </row>
    <row r="357" spans="1:77" ht="29.25" thickBot="1">
      <c r="A357" s="386"/>
      <c r="B357" s="386"/>
      <c r="C357" s="1221" t="s">
        <v>1735</v>
      </c>
      <c r="D357" s="1222"/>
      <c r="E357" s="1222"/>
      <c r="F357" s="1222"/>
      <c r="G357" s="1222"/>
      <c r="H357" s="1222"/>
      <c r="I357" s="1222"/>
      <c r="J357" s="1222"/>
      <c r="K357" s="1222"/>
      <c r="L357" s="1222"/>
      <c r="M357" s="1222"/>
      <c r="N357" s="1222"/>
      <c r="O357" s="1222"/>
      <c r="P357" s="824">
        <f>+P5-P6</f>
        <v>0</v>
      </c>
      <c r="Q357" s="824">
        <f aca="true" t="shared" si="46" ref="Q357:AW357">+Q5-Q6</f>
        <v>0</v>
      </c>
      <c r="R357" s="824">
        <f t="shared" si="46"/>
        <v>0</v>
      </c>
      <c r="S357" s="824">
        <f t="shared" si="46"/>
        <v>0</v>
      </c>
      <c r="T357" s="824">
        <f t="shared" si="46"/>
        <v>0</v>
      </c>
      <c r="U357" s="824">
        <f t="shared" si="46"/>
        <v>0</v>
      </c>
      <c r="V357" s="824">
        <f t="shared" si="46"/>
        <v>0</v>
      </c>
      <c r="W357" s="824">
        <f t="shared" si="46"/>
        <v>0</v>
      </c>
      <c r="X357" s="824">
        <f t="shared" si="46"/>
        <v>0</v>
      </c>
      <c r="Y357" s="824">
        <f t="shared" si="46"/>
        <v>0</v>
      </c>
      <c r="Z357" s="824">
        <f t="shared" si="46"/>
        <v>0</v>
      </c>
      <c r="AA357" s="824">
        <f t="shared" si="46"/>
        <v>0</v>
      </c>
      <c r="AB357" s="824">
        <f t="shared" si="46"/>
        <v>0.09000015258789062</v>
      </c>
      <c r="AC357" s="824">
        <f t="shared" si="46"/>
        <v>0</v>
      </c>
      <c r="AD357" s="824">
        <f t="shared" si="46"/>
        <v>0.04567527770996094</v>
      </c>
      <c r="AE357" s="824">
        <f t="shared" si="46"/>
        <v>0</v>
      </c>
      <c r="AF357" s="824">
        <f t="shared" si="46"/>
        <v>0</v>
      </c>
      <c r="AG357" s="824">
        <f t="shared" si="46"/>
        <v>0</v>
      </c>
      <c r="AH357" s="824">
        <f t="shared" si="46"/>
        <v>0</v>
      </c>
      <c r="AI357" s="824">
        <f t="shared" si="46"/>
        <v>0</v>
      </c>
      <c r="AJ357" s="824">
        <f t="shared" si="46"/>
        <v>0</v>
      </c>
      <c r="AK357" s="824">
        <f t="shared" si="46"/>
        <v>0</v>
      </c>
      <c r="AL357" s="824">
        <f t="shared" si="46"/>
        <v>0</v>
      </c>
      <c r="AM357" s="824">
        <f t="shared" si="46"/>
        <v>0</v>
      </c>
      <c r="AN357" s="824">
        <f t="shared" si="46"/>
        <v>0</v>
      </c>
      <c r="AO357" s="824">
        <f t="shared" si="46"/>
        <v>0</v>
      </c>
      <c r="AP357" s="824">
        <f t="shared" si="46"/>
        <v>0</v>
      </c>
      <c r="AQ357" s="824">
        <f t="shared" si="46"/>
        <v>0</v>
      </c>
      <c r="AR357" s="824">
        <f t="shared" si="46"/>
        <v>0</v>
      </c>
      <c r="AS357" s="824">
        <f t="shared" si="46"/>
        <v>0</v>
      </c>
      <c r="AT357" s="824">
        <f t="shared" si="46"/>
        <v>0</v>
      </c>
      <c r="AU357" s="824">
        <f t="shared" si="46"/>
        <v>0</v>
      </c>
      <c r="AV357" s="824">
        <f t="shared" si="46"/>
        <v>0</v>
      </c>
      <c r="AW357" s="825">
        <f t="shared" si="46"/>
        <v>0.13567352294921875</v>
      </c>
      <c r="BA357" s="1155"/>
      <c r="BB357" s="1155"/>
      <c r="BC357" s="1155"/>
      <c r="BD357" s="1155"/>
      <c r="BE357" s="1155"/>
      <c r="BF357" s="1155"/>
      <c r="BG357" s="1155"/>
      <c r="BH357" s="1145"/>
      <c r="BI357" s="1145"/>
      <c r="BJ357" s="1145"/>
      <c r="BK357" s="1145"/>
      <c r="BL357" s="1145"/>
      <c r="BM357" s="1145"/>
      <c r="BN357" s="1145"/>
      <c r="BO357" s="1145"/>
      <c r="BP357" s="1145"/>
      <c r="BQ357" s="1145"/>
      <c r="BR357" s="1145"/>
      <c r="BS357" s="1145"/>
      <c r="BT357" s="1145"/>
      <c r="BU357" s="1145"/>
      <c r="BV357" s="1145"/>
      <c r="BW357" s="1145"/>
      <c r="BX357" s="1145"/>
      <c r="BY357" s="1145"/>
    </row>
  </sheetData>
  <sheetProtection/>
  <autoFilter ref="A3:N353"/>
  <mergeCells count="1478">
    <mergeCell ref="AW225:AW234"/>
    <mergeCell ref="BV3:BV4"/>
    <mergeCell ref="BW3:BW4"/>
    <mergeCell ref="BX3:BX4"/>
    <mergeCell ref="BY3:BY4"/>
    <mergeCell ref="B1:BY2"/>
    <mergeCell ref="BI3:BL3"/>
    <mergeCell ref="BM3:BM4"/>
    <mergeCell ref="BN3:BQ3"/>
    <mergeCell ref="BR3:BR4"/>
    <mergeCell ref="BS3:BS4"/>
    <mergeCell ref="BT3:BT4"/>
    <mergeCell ref="BA3:BA4"/>
    <mergeCell ref="BB3:BE3"/>
    <mergeCell ref="BF3:BH3"/>
    <mergeCell ref="BU3:BU4"/>
    <mergeCell ref="A4:A5"/>
    <mergeCell ref="B4:B5"/>
    <mergeCell ref="C4:C5"/>
    <mergeCell ref="D4:D5"/>
    <mergeCell ref="F4:F5"/>
    <mergeCell ref="G4:G5"/>
    <mergeCell ref="H4:H5"/>
    <mergeCell ref="J4:J5"/>
    <mergeCell ref="K4:N4"/>
    <mergeCell ref="A8:A166"/>
    <mergeCell ref="B8:B166"/>
    <mergeCell ref="C8:C33"/>
    <mergeCell ref="D8:D11"/>
    <mergeCell ref="D13:D18"/>
    <mergeCell ref="E13:E18"/>
    <mergeCell ref="D19:D22"/>
    <mergeCell ref="E19:E22"/>
    <mergeCell ref="E8:E11"/>
    <mergeCell ref="E135:E137"/>
    <mergeCell ref="E23:E30"/>
    <mergeCell ref="D31:D33"/>
    <mergeCell ref="E31:E33"/>
    <mergeCell ref="E47:E50"/>
    <mergeCell ref="D52:D71"/>
    <mergeCell ref="E52:E71"/>
    <mergeCell ref="D110:D115"/>
    <mergeCell ref="I4:I5"/>
    <mergeCell ref="D35:D45"/>
    <mergeCell ref="E35:E45"/>
    <mergeCell ref="D81:D92"/>
    <mergeCell ref="E81:E92"/>
    <mergeCell ref="F81:F92"/>
    <mergeCell ref="G81:G92"/>
    <mergeCell ref="D73:D79"/>
    <mergeCell ref="E73:E79"/>
    <mergeCell ref="D23:D30"/>
    <mergeCell ref="C35:C92"/>
    <mergeCell ref="F73:F79"/>
    <mergeCell ref="G73:G79"/>
    <mergeCell ref="J73:J74"/>
    <mergeCell ref="D47:D50"/>
    <mergeCell ref="F35:F71"/>
    <mergeCell ref="G35:G71"/>
    <mergeCell ref="E110:E115"/>
    <mergeCell ref="F110:F115"/>
    <mergeCell ref="G110:G115"/>
    <mergeCell ref="G94:G108"/>
    <mergeCell ref="C94:C150"/>
    <mergeCell ref="D94:D108"/>
    <mergeCell ref="E94:E108"/>
    <mergeCell ref="F94:F108"/>
    <mergeCell ref="F149:F150"/>
    <mergeCell ref="G117:G125"/>
    <mergeCell ref="D117:D125"/>
    <mergeCell ref="E117:E125"/>
    <mergeCell ref="F117:F125"/>
    <mergeCell ref="G135:G147"/>
    <mergeCell ref="D135:D139"/>
    <mergeCell ref="F135:F147"/>
    <mergeCell ref="D127:D133"/>
    <mergeCell ref="E127:E133"/>
    <mergeCell ref="F127:F133"/>
    <mergeCell ref="G127:G133"/>
    <mergeCell ref="D149:D150"/>
    <mergeCell ref="G149:G150"/>
    <mergeCell ref="D140:D144"/>
    <mergeCell ref="C152:C166"/>
    <mergeCell ref="D152:D160"/>
    <mergeCell ref="E152:E160"/>
    <mergeCell ref="D161:D166"/>
    <mergeCell ref="E161:E166"/>
    <mergeCell ref="E141:E143"/>
    <mergeCell ref="F198:F213"/>
    <mergeCell ref="G198:G213"/>
    <mergeCell ref="D145:D146"/>
    <mergeCell ref="E145:E147"/>
    <mergeCell ref="E149:E150"/>
    <mergeCell ref="E179:E180"/>
    <mergeCell ref="D183:D184"/>
    <mergeCell ref="E183:E184"/>
    <mergeCell ref="E169:E174"/>
    <mergeCell ref="D169:D176"/>
    <mergeCell ref="D179:D180"/>
    <mergeCell ref="E188:E190"/>
    <mergeCell ref="J152:J155"/>
    <mergeCell ref="I175:I176"/>
    <mergeCell ref="F152:F166"/>
    <mergeCell ref="G152:G166"/>
    <mergeCell ref="C214:C243"/>
    <mergeCell ref="D214:D218"/>
    <mergeCell ref="E214:E218"/>
    <mergeCell ref="F214:F218"/>
    <mergeCell ref="D191:D192"/>
    <mergeCell ref="E191:E193"/>
    <mergeCell ref="C198:C213"/>
    <mergeCell ref="D198:D213"/>
    <mergeCell ref="E198:E213"/>
    <mergeCell ref="C169:C196"/>
    <mergeCell ref="D225:D233"/>
    <mergeCell ref="E225:E233"/>
    <mergeCell ref="F225:F233"/>
    <mergeCell ref="G220:G222"/>
    <mergeCell ref="D220:D222"/>
    <mergeCell ref="E220:E222"/>
    <mergeCell ref="F220:F222"/>
    <mergeCell ref="G225:G234"/>
    <mergeCell ref="E245:E253"/>
    <mergeCell ref="G245:G253"/>
    <mergeCell ref="F239:F243"/>
    <mergeCell ref="G239:G243"/>
    <mergeCell ref="F236:F237"/>
    <mergeCell ref="G236:G237"/>
    <mergeCell ref="A256:A313"/>
    <mergeCell ref="B256:B313"/>
    <mergeCell ref="C256:C263"/>
    <mergeCell ref="D256:D263"/>
    <mergeCell ref="C245:C253"/>
    <mergeCell ref="D245:D253"/>
    <mergeCell ref="C264:C301"/>
    <mergeCell ref="D264:D301"/>
    <mergeCell ref="A169:A253"/>
    <mergeCell ref="B169:B253"/>
    <mergeCell ref="E264:E301"/>
    <mergeCell ref="G264:G301"/>
    <mergeCell ref="E256:E263"/>
    <mergeCell ref="G256:G263"/>
    <mergeCell ref="C310:C313"/>
    <mergeCell ref="D310:D313"/>
    <mergeCell ref="E310:E313"/>
    <mergeCell ref="G310:G313"/>
    <mergeCell ref="C303:C308"/>
    <mergeCell ref="D303:D308"/>
    <mergeCell ref="E303:E308"/>
    <mergeCell ref="G303:G308"/>
    <mergeCell ref="D323:D337"/>
    <mergeCell ref="E323:E337"/>
    <mergeCell ref="E316:E321"/>
    <mergeCell ref="F316:F321"/>
    <mergeCell ref="G316:G321"/>
    <mergeCell ref="F323:F337"/>
    <mergeCell ref="G323:G337"/>
    <mergeCell ref="A316:A353"/>
    <mergeCell ref="B316:B353"/>
    <mergeCell ref="C316:C321"/>
    <mergeCell ref="D316:D321"/>
    <mergeCell ref="G339:G341"/>
    <mergeCell ref="I333:I334"/>
    <mergeCell ref="C339:C341"/>
    <mergeCell ref="D339:D341"/>
    <mergeCell ref="E339:E341"/>
    <mergeCell ref="F339:F341"/>
    <mergeCell ref="I323:I324"/>
    <mergeCell ref="C323:C337"/>
    <mergeCell ref="F349:F353"/>
    <mergeCell ref="G349:G353"/>
    <mergeCell ref="C349:C353"/>
    <mergeCell ref="D349:D353"/>
    <mergeCell ref="E349:E353"/>
    <mergeCell ref="C343:C347"/>
    <mergeCell ref="D343:D347"/>
    <mergeCell ref="E343:E347"/>
    <mergeCell ref="AW3:AW4"/>
    <mergeCell ref="P3:AB3"/>
    <mergeCell ref="AC3:AD3"/>
    <mergeCell ref="AF3:AG3"/>
    <mergeCell ref="AH3:AQ3"/>
    <mergeCell ref="AR3:AV3"/>
    <mergeCell ref="K175:K176"/>
    <mergeCell ref="L175:L176"/>
    <mergeCell ref="M175:M176"/>
    <mergeCell ref="G175:G176"/>
    <mergeCell ref="I181:I182"/>
    <mergeCell ref="K181:K182"/>
    <mergeCell ref="L181:L182"/>
    <mergeCell ref="M181:M182"/>
    <mergeCell ref="O94:O95"/>
    <mergeCell ref="O127:O133"/>
    <mergeCell ref="I34:O34"/>
    <mergeCell ref="O70:O71"/>
    <mergeCell ref="G181:G182"/>
    <mergeCell ref="K231:K232"/>
    <mergeCell ref="L231:L232"/>
    <mergeCell ref="M231:M232"/>
    <mergeCell ref="K229:K230"/>
    <mergeCell ref="L229:L230"/>
    <mergeCell ref="O12:O33"/>
    <mergeCell ref="O35:O46"/>
    <mergeCell ref="O51:O67"/>
    <mergeCell ref="O73:O78"/>
    <mergeCell ref="O89:O92"/>
    <mergeCell ref="I72:O72"/>
    <mergeCell ref="I80:O80"/>
    <mergeCell ref="O81:O83"/>
    <mergeCell ref="O85:O86"/>
    <mergeCell ref="O96:O99"/>
    <mergeCell ref="O104:O105"/>
    <mergeCell ref="O106:O108"/>
    <mergeCell ref="O110:O114"/>
    <mergeCell ref="O117:O125"/>
    <mergeCell ref="O135:O136"/>
    <mergeCell ref="I134:O134"/>
    <mergeCell ref="I126:O126"/>
    <mergeCell ref="O140:O144"/>
    <mergeCell ref="O149:O150"/>
    <mergeCell ref="O152:O159"/>
    <mergeCell ref="O162:O164"/>
    <mergeCell ref="O165:O166"/>
    <mergeCell ref="O169:O176"/>
    <mergeCell ref="I148:O148"/>
    <mergeCell ref="I151:O151"/>
    <mergeCell ref="I167:O167"/>
    <mergeCell ref="I168:O168"/>
    <mergeCell ref="O183:O187"/>
    <mergeCell ref="O181:O182"/>
    <mergeCell ref="O188:O189"/>
    <mergeCell ref="O192:O193"/>
    <mergeCell ref="O194:O196"/>
    <mergeCell ref="O198:O200"/>
    <mergeCell ref="I197:O197"/>
    <mergeCell ref="I188:I189"/>
    <mergeCell ref="I293:I294"/>
    <mergeCell ref="L293:L294"/>
    <mergeCell ref="M293:M294"/>
    <mergeCell ref="O201:O212"/>
    <mergeCell ref="O220:O222"/>
    <mergeCell ref="O225:O233"/>
    <mergeCell ref="O239:O240"/>
    <mergeCell ref="O241:O242"/>
    <mergeCell ref="I244:O244"/>
    <mergeCell ref="M229:M230"/>
    <mergeCell ref="O310:O313"/>
    <mergeCell ref="O316:O321"/>
    <mergeCell ref="O324:O332"/>
    <mergeCell ref="O343:O347"/>
    <mergeCell ref="O349:O353"/>
    <mergeCell ref="V339:V341"/>
    <mergeCell ref="U343:U347"/>
    <mergeCell ref="V343:V347"/>
    <mergeCell ref="U349:U353"/>
    <mergeCell ref="V349:V353"/>
    <mergeCell ref="AW12:AW33"/>
    <mergeCell ref="P12:P33"/>
    <mergeCell ref="Q12:Q33"/>
    <mergeCell ref="R12:R33"/>
    <mergeCell ref="S12:S33"/>
    <mergeCell ref="T12:T33"/>
    <mergeCell ref="U12:U33"/>
    <mergeCell ref="V12:V33"/>
    <mergeCell ref="W12:W33"/>
    <mergeCell ref="X12:X33"/>
    <mergeCell ref="Y12:Y33"/>
    <mergeCell ref="Z12:Z33"/>
    <mergeCell ref="AA12:AA33"/>
    <mergeCell ref="AB12:AB33"/>
    <mergeCell ref="AD12:AD33"/>
    <mergeCell ref="AE12:AE33"/>
    <mergeCell ref="AF12:AF33"/>
    <mergeCell ref="AG12:AG33"/>
    <mergeCell ref="AH12:AH33"/>
    <mergeCell ref="AR12:AR33"/>
    <mergeCell ref="AS12:AS33"/>
    <mergeCell ref="AT12:AT33"/>
    <mergeCell ref="AU12:AU33"/>
    <mergeCell ref="AV12:AV33"/>
    <mergeCell ref="P35:P46"/>
    <mergeCell ref="Q35:Q46"/>
    <mergeCell ref="R35:R46"/>
    <mergeCell ref="S35:S46"/>
    <mergeCell ref="T35:T46"/>
    <mergeCell ref="U35:U46"/>
    <mergeCell ref="V35:V46"/>
    <mergeCell ref="W35:W46"/>
    <mergeCell ref="X35:X46"/>
    <mergeCell ref="Y35:Y46"/>
    <mergeCell ref="Z35:Z46"/>
    <mergeCell ref="AA35:AA46"/>
    <mergeCell ref="AB35:AB46"/>
    <mergeCell ref="AD35:AD46"/>
    <mergeCell ref="AE35:AE46"/>
    <mergeCell ref="AF35:AF46"/>
    <mergeCell ref="AG35:AG46"/>
    <mergeCell ref="AH35:AH46"/>
    <mergeCell ref="AR35:AR46"/>
    <mergeCell ref="AS35:AS46"/>
    <mergeCell ref="AT35:AT46"/>
    <mergeCell ref="AU35:AU46"/>
    <mergeCell ref="AV35:AV46"/>
    <mergeCell ref="AW35:AW46"/>
    <mergeCell ref="P51:P67"/>
    <mergeCell ref="Q51:Q67"/>
    <mergeCell ref="R51:R67"/>
    <mergeCell ref="S51:S67"/>
    <mergeCell ref="T51:T67"/>
    <mergeCell ref="U51:U67"/>
    <mergeCell ref="V51:V67"/>
    <mergeCell ref="W51:W67"/>
    <mergeCell ref="X51:X67"/>
    <mergeCell ref="Y51:Y67"/>
    <mergeCell ref="Z51:Z67"/>
    <mergeCell ref="AA51:AA67"/>
    <mergeCell ref="AB51:AB67"/>
    <mergeCell ref="AD51:AD67"/>
    <mergeCell ref="AE51:AE67"/>
    <mergeCell ref="AF51:AF67"/>
    <mergeCell ref="AG51:AG67"/>
    <mergeCell ref="AH51:AH67"/>
    <mergeCell ref="AR51:AR67"/>
    <mergeCell ref="AS51:AS67"/>
    <mergeCell ref="AT51:AT67"/>
    <mergeCell ref="AU51:AU67"/>
    <mergeCell ref="AV51:AV67"/>
    <mergeCell ref="AW51:AW67"/>
    <mergeCell ref="P70:P71"/>
    <mergeCell ref="Q70:Q71"/>
    <mergeCell ref="R70:R71"/>
    <mergeCell ref="S70:S71"/>
    <mergeCell ref="T70:T71"/>
    <mergeCell ref="U70:U71"/>
    <mergeCell ref="V70:V71"/>
    <mergeCell ref="W70:W71"/>
    <mergeCell ref="X70:X71"/>
    <mergeCell ref="Y70:Y71"/>
    <mergeCell ref="Z70:Z71"/>
    <mergeCell ref="AA70:AA71"/>
    <mergeCell ref="AB70:AB71"/>
    <mergeCell ref="AD70:AD71"/>
    <mergeCell ref="AE70:AE71"/>
    <mergeCell ref="AF70:AF71"/>
    <mergeCell ref="AG70:AG71"/>
    <mergeCell ref="AH70:AH71"/>
    <mergeCell ref="AR70:AR71"/>
    <mergeCell ref="AS70:AS71"/>
    <mergeCell ref="AT70:AT71"/>
    <mergeCell ref="AU70:AU71"/>
    <mergeCell ref="AV70:AV71"/>
    <mergeCell ref="AW70:AW71"/>
    <mergeCell ref="P73:P78"/>
    <mergeCell ref="Q73:Q78"/>
    <mergeCell ref="R73:R78"/>
    <mergeCell ref="S73:S78"/>
    <mergeCell ref="T73:T78"/>
    <mergeCell ref="U73:U78"/>
    <mergeCell ref="V73:V78"/>
    <mergeCell ref="W73:W78"/>
    <mergeCell ref="X73:X78"/>
    <mergeCell ref="Y73:Y78"/>
    <mergeCell ref="Z73:Z78"/>
    <mergeCell ref="AA73:AA78"/>
    <mergeCell ref="AW73:AW78"/>
    <mergeCell ref="AB73:AB78"/>
    <mergeCell ref="AD73:AD78"/>
    <mergeCell ref="AE73:AE78"/>
    <mergeCell ref="AF73:AF78"/>
    <mergeCell ref="AG73:AG78"/>
    <mergeCell ref="AH73:AH78"/>
    <mergeCell ref="P81:P83"/>
    <mergeCell ref="Q81:Q82"/>
    <mergeCell ref="R81:R82"/>
    <mergeCell ref="AV256:AV262"/>
    <mergeCell ref="AW256:AW262"/>
    <mergeCell ref="AR73:AR78"/>
    <mergeCell ref="AS73:AS78"/>
    <mergeCell ref="AT73:AT78"/>
    <mergeCell ref="AU73:AU78"/>
    <mergeCell ref="AV73:AV78"/>
    <mergeCell ref="Y81:Y82"/>
    <mergeCell ref="Z81:Z82"/>
    <mergeCell ref="AA81:AA82"/>
    <mergeCell ref="V85:V86"/>
    <mergeCell ref="AV303:AV307"/>
    <mergeCell ref="AW303:AW307"/>
    <mergeCell ref="AR256:AR262"/>
    <mergeCell ref="AS256:AS262"/>
    <mergeCell ref="AT256:AT262"/>
    <mergeCell ref="AU256:AU262"/>
    <mergeCell ref="AG303:AG307"/>
    <mergeCell ref="AH303:AH307"/>
    <mergeCell ref="AH256:AH262"/>
    <mergeCell ref="AB89:AB92"/>
    <mergeCell ref="AD89:AD92"/>
    <mergeCell ref="AE89:AE92"/>
    <mergeCell ref="AF89:AF92"/>
    <mergeCell ref="AG89:AG92"/>
    <mergeCell ref="AH89:AH92"/>
    <mergeCell ref="AD94:AD95"/>
    <mergeCell ref="AV81:AV82"/>
    <mergeCell ref="AW81:AW82"/>
    <mergeCell ref="AS85:AS86"/>
    <mergeCell ref="AT85:AT86"/>
    <mergeCell ref="V303:V307"/>
    <mergeCell ref="W303:W307"/>
    <mergeCell ref="X303:X307"/>
    <mergeCell ref="Y303:Y307"/>
    <mergeCell ref="Z303:Z307"/>
    <mergeCell ref="AA303:AA307"/>
    <mergeCell ref="P89:P92"/>
    <mergeCell ref="Q89:Q92"/>
    <mergeCell ref="R89:R92"/>
    <mergeCell ref="S89:S92"/>
    <mergeCell ref="T89:T92"/>
    <mergeCell ref="U89:U92"/>
    <mergeCell ref="V89:V92"/>
    <mergeCell ref="W89:W92"/>
    <mergeCell ref="X89:X92"/>
    <mergeCell ref="Y89:Y92"/>
    <mergeCell ref="Z89:Z92"/>
    <mergeCell ref="AA89:AA92"/>
    <mergeCell ref="AR89:AR92"/>
    <mergeCell ref="AS89:AS92"/>
    <mergeCell ref="AT89:AT92"/>
    <mergeCell ref="AU89:AU92"/>
    <mergeCell ref="AV89:AV92"/>
    <mergeCell ref="AW89:AW92"/>
    <mergeCell ref="I93:O93"/>
    <mergeCell ref="I116:O116"/>
    <mergeCell ref="P94:P95"/>
    <mergeCell ref="Q94:Q95"/>
    <mergeCell ref="R94:R95"/>
    <mergeCell ref="S94:S95"/>
    <mergeCell ref="P106:P108"/>
    <mergeCell ref="Q106:Q108"/>
    <mergeCell ref="R106:R108"/>
    <mergeCell ref="S106:S108"/>
    <mergeCell ref="T94:T95"/>
    <mergeCell ref="U94:U95"/>
    <mergeCell ref="V94:V95"/>
    <mergeCell ref="U96:U99"/>
    <mergeCell ref="V96:V99"/>
    <mergeCell ref="U104:U105"/>
    <mergeCell ref="V104:V105"/>
    <mergeCell ref="W94:W95"/>
    <mergeCell ref="X94:X95"/>
    <mergeCell ref="Y94:Y95"/>
    <mergeCell ref="Z94:Z95"/>
    <mergeCell ref="AA94:AA95"/>
    <mergeCell ref="AB94:AB95"/>
    <mergeCell ref="AE94:AE95"/>
    <mergeCell ref="AF94:AF95"/>
    <mergeCell ref="AG94:AG95"/>
    <mergeCell ref="AH94:AH95"/>
    <mergeCell ref="AR94:AR95"/>
    <mergeCell ref="AS94:AS95"/>
    <mergeCell ref="AT94:AT95"/>
    <mergeCell ref="AU94:AU95"/>
    <mergeCell ref="AV94:AV95"/>
    <mergeCell ref="AW94:AW95"/>
    <mergeCell ref="P96:P99"/>
    <mergeCell ref="Q96:Q99"/>
    <mergeCell ref="R96:R99"/>
    <mergeCell ref="S96:S99"/>
    <mergeCell ref="T96:T99"/>
    <mergeCell ref="W96:W99"/>
    <mergeCell ref="X96:X99"/>
    <mergeCell ref="Y96:Y99"/>
    <mergeCell ref="Z96:Z99"/>
    <mergeCell ref="AA96:AA99"/>
    <mergeCell ref="AB96:AB99"/>
    <mergeCell ref="AD96:AD99"/>
    <mergeCell ref="AE96:AE99"/>
    <mergeCell ref="AF96:AF99"/>
    <mergeCell ref="AG96:AG99"/>
    <mergeCell ref="AH96:AH99"/>
    <mergeCell ref="AR96:AR99"/>
    <mergeCell ref="AS96:AS99"/>
    <mergeCell ref="AT96:AT99"/>
    <mergeCell ref="AU96:AU99"/>
    <mergeCell ref="AV96:AV99"/>
    <mergeCell ref="AW96:AW99"/>
    <mergeCell ref="P104:P105"/>
    <mergeCell ref="Q104:Q105"/>
    <mergeCell ref="R104:R105"/>
    <mergeCell ref="S104:S105"/>
    <mergeCell ref="T104:T105"/>
    <mergeCell ref="W104:W105"/>
    <mergeCell ref="X104:X105"/>
    <mergeCell ref="Y104:Y105"/>
    <mergeCell ref="Z104:Z105"/>
    <mergeCell ref="AA104:AA105"/>
    <mergeCell ref="AB104:AB105"/>
    <mergeCell ref="AD104:AD105"/>
    <mergeCell ref="AE104:AE105"/>
    <mergeCell ref="AF104:AF105"/>
    <mergeCell ref="AG104:AG105"/>
    <mergeCell ref="AH104:AH105"/>
    <mergeCell ref="AR104:AR105"/>
    <mergeCell ref="AS104:AS105"/>
    <mergeCell ref="AT104:AT105"/>
    <mergeCell ref="AU104:AU105"/>
    <mergeCell ref="AV104:AV105"/>
    <mergeCell ref="AW104:AW105"/>
    <mergeCell ref="T106:T108"/>
    <mergeCell ref="U106:U108"/>
    <mergeCell ref="V106:V108"/>
    <mergeCell ref="W106:W108"/>
    <mergeCell ref="X106:X108"/>
    <mergeCell ref="Y106:Y108"/>
    <mergeCell ref="Z106:Z108"/>
    <mergeCell ref="AA106:AA108"/>
    <mergeCell ref="AB106:AB108"/>
    <mergeCell ref="AD106:AD108"/>
    <mergeCell ref="AE106:AE108"/>
    <mergeCell ref="AF106:AF108"/>
    <mergeCell ref="AG106:AG108"/>
    <mergeCell ref="AH106:AH108"/>
    <mergeCell ref="AR106:AR108"/>
    <mergeCell ref="AS106:AS108"/>
    <mergeCell ref="AT106:AT108"/>
    <mergeCell ref="AU106:AU108"/>
    <mergeCell ref="AV106:AV108"/>
    <mergeCell ref="AW106:AW108"/>
    <mergeCell ref="I109:O109"/>
    <mergeCell ref="P110:P114"/>
    <mergeCell ref="Q110:Q114"/>
    <mergeCell ref="R110:R114"/>
    <mergeCell ref="S110:S114"/>
    <mergeCell ref="T110:T114"/>
    <mergeCell ref="U110:U114"/>
    <mergeCell ref="V110:V114"/>
    <mergeCell ref="W110:W114"/>
    <mergeCell ref="X110:X114"/>
    <mergeCell ref="Y110:Y114"/>
    <mergeCell ref="Z110:Z114"/>
    <mergeCell ref="AA110:AA114"/>
    <mergeCell ref="AU110:AU114"/>
    <mergeCell ref="AV110:AV114"/>
    <mergeCell ref="AW110:AW114"/>
    <mergeCell ref="AB110:AB114"/>
    <mergeCell ref="AD110:AD114"/>
    <mergeCell ref="AE110:AE114"/>
    <mergeCell ref="AF110:AF114"/>
    <mergeCell ref="AG110:AG114"/>
    <mergeCell ref="AH110:AH114"/>
    <mergeCell ref="AR128:AR133"/>
    <mergeCell ref="AS128:AS133"/>
    <mergeCell ref="AH121:AH125"/>
    <mergeCell ref="AR110:AR114"/>
    <mergeCell ref="AS110:AS114"/>
    <mergeCell ref="AT110:AT114"/>
    <mergeCell ref="AT128:AT133"/>
    <mergeCell ref="AU128:AU133"/>
    <mergeCell ref="AV128:AV133"/>
    <mergeCell ref="U121:U125"/>
    <mergeCell ref="V121:V125"/>
    <mergeCell ref="W121:W125"/>
    <mergeCell ref="X121:X125"/>
    <mergeCell ref="AG128:AG133"/>
    <mergeCell ref="AH128:AH133"/>
    <mergeCell ref="AF121:AF125"/>
    <mergeCell ref="AA128:AA133"/>
    <mergeCell ref="AB128:AB133"/>
    <mergeCell ref="AD128:AD133"/>
    <mergeCell ref="AE128:AE133"/>
    <mergeCell ref="AF128:AF133"/>
    <mergeCell ref="AG121:AG125"/>
    <mergeCell ref="AA121:AA125"/>
    <mergeCell ref="AE121:AE125"/>
    <mergeCell ref="AB121:AB125"/>
    <mergeCell ref="AD121:AD125"/>
    <mergeCell ref="U128:U133"/>
    <mergeCell ref="V128:V133"/>
    <mergeCell ref="W128:W133"/>
    <mergeCell ref="X128:X133"/>
    <mergeCell ref="Y128:Y133"/>
    <mergeCell ref="Z121:Z125"/>
    <mergeCell ref="P121:P125"/>
    <mergeCell ref="Q121:Q125"/>
    <mergeCell ref="R121:R125"/>
    <mergeCell ref="S121:S125"/>
    <mergeCell ref="T121:T125"/>
    <mergeCell ref="AT121:AT125"/>
    <mergeCell ref="AR121:AR125"/>
    <mergeCell ref="AS121:AS125"/>
    <mergeCell ref="AU121:AU125"/>
    <mergeCell ref="AV121:AV125"/>
    <mergeCell ref="AW121:AW125"/>
    <mergeCell ref="P128:P133"/>
    <mergeCell ref="Q128:Q133"/>
    <mergeCell ref="R128:R133"/>
    <mergeCell ref="S128:S133"/>
    <mergeCell ref="T128:T133"/>
    <mergeCell ref="Y121:Y125"/>
    <mergeCell ref="AW128:AW133"/>
    <mergeCell ref="P135:P136"/>
    <mergeCell ref="Q135:Q136"/>
    <mergeCell ref="R135:R136"/>
    <mergeCell ref="S135:S136"/>
    <mergeCell ref="T135:T136"/>
    <mergeCell ref="U135:U136"/>
    <mergeCell ref="V135:V136"/>
    <mergeCell ref="W135:W136"/>
    <mergeCell ref="Z128:Z133"/>
    <mergeCell ref="X135:X136"/>
    <mergeCell ref="Y135:Y136"/>
    <mergeCell ref="Z135:Z136"/>
    <mergeCell ref="AA135:AA136"/>
    <mergeCell ref="AB135:AB136"/>
    <mergeCell ref="AD135:AD136"/>
    <mergeCell ref="AE135:AE136"/>
    <mergeCell ref="AF135:AF136"/>
    <mergeCell ref="AG135:AG136"/>
    <mergeCell ref="AH135:AH136"/>
    <mergeCell ref="AR135:AR136"/>
    <mergeCell ref="AS135:AS136"/>
    <mergeCell ref="AT135:AT136"/>
    <mergeCell ref="AU135:AU136"/>
    <mergeCell ref="AV135:AV136"/>
    <mergeCell ref="AW135:AW136"/>
    <mergeCell ref="P140:P144"/>
    <mergeCell ref="Q140:Q144"/>
    <mergeCell ref="R140:R144"/>
    <mergeCell ref="S140:S144"/>
    <mergeCell ref="T140:T144"/>
    <mergeCell ref="U140:U144"/>
    <mergeCell ref="V140:V144"/>
    <mergeCell ref="W140:W144"/>
    <mergeCell ref="X140:X144"/>
    <mergeCell ref="Y140:Y144"/>
    <mergeCell ref="Z140:Z144"/>
    <mergeCell ref="AA140:AA144"/>
    <mergeCell ref="AB140:AB144"/>
    <mergeCell ref="AD140:AD144"/>
    <mergeCell ref="AE140:AE144"/>
    <mergeCell ref="AF140:AF144"/>
    <mergeCell ref="AG140:AG144"/>
    <mergeCell ref="AH140:AH144"/>
    <mergeCell ref="AR140:AR144"/>
    <mergeCell ref="AS140:AS144"/>
    <mergeCell ref="AT140:AT144"/>
    <mergeCell ref="AU140:AU144"/>
    <mergeCell ref="AV140:AV144"/>
    <mergeCell ref="AW140:AW144"/>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D149:AD150"/>
    <mergeCell ref="AE149:AE150"/>
    <mergeCell ref="AF149:AF150"/>
    <mergeCell ref="AG149:AG150"/>
    <mergeCell ref="AH149:AH150"/>
    <mergeCell ref="AR149:AR150"/>
    <mergeCell ref="AS149:AS150"/>
    <mergeCell ref="AT149:AT150"/>
    <mergeCell ref="AU149:AU150"/>
    <mergeCell ref="AV149:AV150"/>
    <mergeCell ref="AW149:AW150"/>
    <mergeCell ref="P152:P159"/>
    <mergeCell ref="Q152:Q159"/>
    <mergeCell ref="R152:R159"/>
    <mergeCell ref="S152:S159"/>
    <mergeCell ref="T152:T159"/>
    <mergeCell ref="U152:U159"/>
    <mergeCell ref="V152:V159"/>
    <mergeCell ref="W152:W159"/>
    <mergeCell ref="X152:X159"/>
    <mergeCell ref="Y152:Y159"/>
    <mergeCell ref="Z152:Z159"/>
    <mergeCell ref="AA152:AA159"/>
    <mergeCell ref="AB152:AB159"/>
    <mergeCell ref="AD152:AD159"/>
    <mergeCell ref="AE152:AE159"/>
    <mergeCell ref="AF152:AF159"/>
    <mergeCell ref="AG152:AG159"/>
    <mergeCell ref="AH152:AH159"/>
    <mergeCell ref="AR152:AR159"/>
    <mergeCell ref="AS152:AS159"/>
    <mergeCell ref="AT152:AT159"/>
    <mergeCell ref="AU152:AU159"/>
    <mergeCell ref="AV152:AV159"/>
    <mergeCell ref="AW152:AW159"/>
    <mergeCell ref="P162:P164"/>
    <mergeCell ref="Q162:Q164"/>
    <mergeCell ref="R162:R164"/>
    <mergeCell ref="S162:S164"/>
    <mergeCell ref="T162:T164"/>
    <mergeCell ref="U162:U164"/>
    <mergeCell ref="V162:V164"/>
    <mergeCell ref="W162:W164"/>
    <mergeCell ref="X162:X164"/>
    <mergeCell ref="Y162:Y164"/>
    <mergeCell ref="Z162:Z164"/>
    <mergeCell ref="AA162:AA164"/>
    <mergeCell ref="AB162:AB164"/>
    <mergeCell ref="AD162:AD164"/>
    <mergeCell ref="AE162:AE164"/>
    <mergeCell ref="AF162:AF164"/>
    <mergeCell ref="AG162:AG164"/>
    <mergeCell ref="AH162:AH164"/>
    <mergeCell ref="AR162:AR164"/>
    <mergeCell ref="AS162:AS164"/>
    <mergeCell ref="AT162:AT164"/>
    <mergeCell ref="AU162:AU164"/>
    <mergeCell ref="AV162:AV164"/>
    <mergeCell ref="AW162:AW164"/>
    <mergeCell ref="P165:P166"/>
    <mergeCell ref="Q165:Q166"/>
    <mergeCell ref="R165:R166"/>
    <mergeCell ref="S165:S166"/>
    <mergeCell ref="T165:T166"/>
    <mergeCell ref="U165:U166"/>
    <mergeCell ref="V165:V166"/>
    <mergeCell ref="W165:W166"/>
    <mergeCell ref="X165:X166"/>
    <mergeCell ref="Y165:Y166"/>
    <mergeCell ref="Z165:Z166"/>
    <mergeCell ref="AA165:AA166"/>
    <mergeCell ref="AB165:AB166"/>
    <mergeCell ref="AD165:AD166"/>
    <mergeCell ref="AE165:AE166"/>
    <mergeCell ref="AF165:AF166"/>
    <mergeCell ref="AG165:AG166"/>
    <mergeCell ref="AH165:AH166"/>
    <mergeCell ref="AR165:AR166"/>
    <mergeCell ref="AS165:AS166"/>
    <mergeCell ref="AT165:AT166"/>
    <mergeCell ref="AU165:AU166"/>
    <mergeCell ref="AV165:AV166"/>
    <mergeCell ref="AW165:AW166"/>
    <mergeCell ref="P169:P176"/>
    <mergeCell ref="Q169:Q176"/>
    <mergeCell ref="R169:R176"/>
    <mergeCell ref="S169:S176"/>
    <mergeCell ref="T169:T176"/>
    <mergeCell ref="U169:U176"/>
    <mergeCell ref="V169:V176"/>
    <mergeCell ref="W169:W176"/>
    <mergeCell ref="X169:X176"/>
    <mergeCell ref="Y169:Y176"/>
    <mergeCell ref="Z169:Z176"/>
    <mergeCell ref="AA169:AA176"/>
    <mergeCell ref="AB169:AB176"/>
    <mergeCell ref="AD169:AD176"/>
    <mergeCell ref="AE169:AE176"/>
    <mergeCell ref="AF169:AF176"/>
    <mergeCell ref="AG169:AG176"/>
    <mergeCell ref="AH169:AH176"/>
    <mergeCell ref="AR169:AR176"/>
    <mergeCell ref="AS169:AS176"/>
    <mergeCell ref="AT169:AT176"/>
    <mergeCell ref="AU169:AU176"/>
    <mergeCell ref="AV169:AV176"/>
    <mergeCell ref="AW169:AW176"/>
    <mergeCell ref="P181:P182"/>
    <mergeCell ref="Q181:Q182"/>
    <mergeCell ref="R181:R182"/>
    <mergeCell ref="S181:S182"/>
    <mergeCell ref="T181:T182"/>
    <mergeCell ref="U181:U182"/>
    <mergeCell ref="V181:V182"/>
    <mergeCell ref="W181:W182"/>
    <mergeCell ref="X181:X182"/>
    <mergeCell ref="Y181:Y182"/>
    <mergeCell ref="Z181:Z182"/>
    <mergeCell ref="AA181:AA182"/>
    <mergeCell ref="AB181:AB182"/>
    <mergeCell ref="AD181:AD182"/>
    <mergeCell ref="AE181:AE182"/>
    <mergeCell ref="AF181:AF182"/>
    <mergeCell ref="AG181:AG182"/>
    <mergeCell ref="AH181:AH182"/>
    <mergeCell ref="AR181:AR182"/>
    <mergeCell ref="AS181:AS182"/>
    <mergeCell ref="AT181:AT182"/>
    <mergeCell ref="AU181:AU182"/>
    <mergeCell ref="AV181:AV182"/>
    <mergeCell ref="AU183:AU187"/>
    <mergeCell ref="AV183:AV187"/>
    <mergeCell ref="AW181:AW182"/>
    <mergeCell ref="P183:P187"/>
    <mergeCell ref="Q183:Q187"/>
    <mergeCell ref="R183:R187"/>
    <mergeCell ref="S183:S187"/>
    <mergeCell ref="T183:T187"/>
    <mergeCell ref="U183:U187"/>
    <mergeCell ref="V183:V187"/>
    <mergeCell ref="W183:W187"/>
    <mergeCell ref="X183:X187"/>
    <mergeCell ref="Y183:Y187"/>
    <mergeCell ref="Z183:Z187"/>
    <mergeCell ref="AA183:AA187"/>
    <mergeCell ref="AB183:AB187"/>
    <mergeCell ref="AD183:AD187"/>
    <mergeCell ref="AE183:AE187"/>
    <mergeCell ref="AF183:AF187"/>
    <mergeCell ref="AG183:AG187"/>
    <mergeCell ref="AH183:AH187"/>
    <mergeCell ref="AR183:AR187"/>
    <mergeCell ref="AS183:AS187"/>
    <mergeCell ref="AT183:AT187"/>
    <mergeCell ref="AW183:AW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D188:AD189"/>
    <mergeCell ref="AE188:AE189"/>
    <mergeCell ref="AF188:AF189"/>
    <mergeCell ref="AG188:AG189"/>
    <mergeCell ref="AH188:AH189"/>
    <mergeCell ref="AR188:AR189"/>
    <mergeCell ref="AS188:AS189"/>
    <mergeCell ref="AT188:AT189"/>
    <mergeCell ref="AU188:AU189"/>
    <mergeCell ref="AV188:AV189"/>
    <mergeCell ref="AW188:AW189"/>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D192:AD193"/>
    <mergeCell ref="AE192:AE193"/>
    <mergeCell ref="AF192:AF193"/>
    <mergeCell ref="AG192:AG193"/>
    <mergeCell ref="AH192:AH193"/>
    <mergeCell ref="AR192:AR193"/>
    <mergeCell ref="AS192:AS193"/>
    <mergeCell ref="AT192:AT193"/>
    <mergeCell ref="AU192:AU193"/>
    <mergeCell ref="AV192:AV193"/>
    <mergeCell ref="AW192:AW193"/>
    <mergeCell ref="P194:P196"/>
    <mergeCell ref="Q194:Q196"/>
    <mergeCell ref="R194:R196"/>
    <mergeCell ref="S194:S196"/>
    <mergeCell ref="T194:T196"/>
    <mergeCell ref="U194:U196"/>
    <mergeCell ref="V194:V196"/>
    <mergeCell ref="W194:W196"/>
    <mergeCell ref="X194:X196"/>
    <mergeCell ref="Y194:Y196"/>
    <mergeCell ref="Z194:Z196"/>
    <mergeCell ref="AA194:AA196"/>
    <mergeCell ref="AB194:AB196"/>
    <mergeCell ref="AD194:AD196"/>
    <mergeCell ref="AE194:AE196"/>
    <mergeCell ref="AF194:AF196"/>
    <mergeCell ref="AG194:AG196"/>
    <mergeCell ref="AH194:AH196"/>
    <mergeCell ref="AR194:AR196"/>
    <mergeCell ref="AS194:AS196"/>
    <mergeCell ref="AT194:AT196"/>
    <mergeCell ref="AU194:AU196"/>
    <mergeCell ref="AV194:AV196"/>
    <mergeCell ref="AW194:AW196"/>
    <mergeCell ref="P198:P200"/>
    <mergeCell ref="Q198:Q200"/>
    <mergeCell ref="R198:R200"/>
    <mergeCell ref="S198:S200"/>
    <mergeCell ref="T198:T200"/>
    <mergeCell ref="U198:U200"/>
    <mergeCell ref="V198:V200"/>
    <mergeCell ref="W198:W200"/>
    <mergeCell ref="X198:X200"/>
    <mergeCell ref="Y198:Y200"/>
    <mergeCell ref="Z198:Z200"/>
    <mergeCell ref="AA198:AA200"/>
    <mergeCell ref="AB198:AB200"/>
    <mergeCell ref="AD198:AD200"/>
    <mergeCell ref="AE198:AE200"/>
    <mergeCell ref="AF198:AF200"/>
    <mergeCell ref="AG198:AG200"/>
    <mergeCell ref="AH198:AH200"/>
    <mergeCell ref="AR198:AR200"/>
    <mergeCell ref="AS198:AS200"/>
    <mergeCell ref="AT198:AT200"/>
    <mergeCell ref="AU198:AU200"/>
    <mergeCell ref="AV198:AV200"/>
    <mergeCell ref="AW198:AW200"/>
    <mergeCell ref="P201:P212"/>
    <mergeCell ref="Q201:Q212"/>
    <mergeCell ref="R201:R212"/>
    <mergeCell ref="S201:S212"/>
    <mergeCell ref="T201:T212"/>
    <mergeCell ref="U201:U212"/>
    <mergeCell ref="V201:V212"/>
    <mergeCell ref="W201:W212"/>
    <mergeCell ref="X201:X212"/>
    <mergeCell ref="Y201:Y212"/>
    <mergeCell ref="Z201:Z212"/>
    <mergeCell ref="AA201:AA212"/>
    <mergeCell ref="AB201:AB212"/>
    <mergeCell ref="AD201:AD212"/>
    <mergeCell ref="AE201:AE212"/>
    <mergeCell ref="AF201:AF212"/>
    <mergeCell ref="AG201:AG212"/>
    <mergeCell ref="AH201:AH212"/>
    <mergeCell ref="AR201:AR212"/>
    <mergeCell ref="AS201:AS212"/>
    <mergeCell ref="AT201:AT212"/>
    <mergeCell ref="AU201:AU212"/>
    <mergeCell ref="AV201:AV212"/>
    <mergeCell ref="AW201:AW212"/>
    <mergeCell ref="P220:P222"/>
    <mergeCell ref="Q220:Q222"/>
    <mergeCell ref="R220:R222"/>
    <mergeCell ref="S220:S222"/>
    <mergeCell ref="T220:T222"/>
    <mergeCell ref="U220:U222"/>
    <mergeCell ref="V220:V222"/>
    <mergeCell ref="W220:W222"/>
    <mergeCell ref="X220:X222"/>
    <mergeCell ref="Y220:Y222"/>
    <mergeCell ref="Z220:Z222"/>
    <mergeCell ref="AA220:AA222"/>
    <mergeCell ref="AB220:AB222"/>
    <mergeCell ref="AD220:AD222"/>
    <mergeCell ref="AE220:AE222"/>
    <mergeCell ref="AF220:AF222"/>
    <mergeCell ref="AG220:AG222"/>
    <mergeCell ref="AH220:AH222"/>
    <mergeCell ref="AR220:AR222"/>
    <mergeCell ref="AS220:AS222"/>
    <mergeCell ref="AT220:AT222"/>
    <mergeCell ref="AU220:AU222"/>
    <mergeCell ref="AV220:AV222"/>
    <mergeCell ref="AW220:AW222"/>
    <mergeCell ref="P239:P240"/>
    <mergeCell ref="R239:R240"/>
    <mergeCell ref="S239:S240"/>
    <mergeCell ref="T239:T240"/>
    <mergeCell ref="U239:U240"/>
    <mergeCell ref="P241:P242"/>
    <mergeCell ref="Q241:Q242"/>
    <mergeCell ref="R241:R242"/>
    <mergeCell ref="S241:S242"/>
    <mergeCell ref="T241:T242"/>
    <mergeCell ref="U241:U242"/>
    <mergeCell ref="V241:V242"/>
    <mergeCell ref="W241:W242"/>
    <mergeCell ref="X241:X242"/>
    <mergeCell ref="Y241:Y242"/>
    <mergeCell ref="Z241:Z242"/>
    <mergeCell ref="AA241:AA242"/>
    <mergeCell ref="AB241:AB242"/>
    <mergeCell ref="AD241:AD242"/>
    <mergeCell ref="AE241:AE242"/>
    <mergeCell ref="AF241:AF242"/>
    <mergeCell ref="AG241:AG242"/>
    <mergeCell ref="AH241:AH242"/>
    <mergeCell ref="AR241:AR242"/>
    <mergeCell ref="AS241:AS242"/>
    <mergeCell ref="AT241:AT242"/>
    <mergeCell ref="AU241:AU242"/>
    <mergeCell ref="AV241:AV242"/>
    <mergeCell ref="AW241:AW242"/>
    <mergeCell ref="I216:O216"/>
    <mergeCell ref="I219:O219"/>
    <mergeCell ref="I223:O223"/>
    <mergeCell ref="I235:O235"/>
    <mergeCell ref="I238:O238"/>
    <mergeCell ref="Q239:Q240"/>
    <mergeCell ref="I229:I230"/>
    <mergeCell ref="I231:I232"/>
    <mergeCell ref="V239:V240"/>
    <mergeCell ref="W239:W240"/>
    <mergeCell ref="AR239:AR240"/>
    <mergeCell ref="AS239:AS240"/>
    <mergeCell ref="X239:X240"/>
    <mergeCell ref="Y239:Y240"/>
    <mergeCell ref="Z239:Z240"/>
    <mergeCell ref="AA239:AA240"/>
    <mergeCell ref="AB239:AB240"/>
    <mergeCell ref="AD239:AD240"/>
    <mergeCell ref="I254:O254"/>
    <mergeCell ref="P245:P253"/>
    <mergeCell ref="Q245:Q253"/>
    <mergeCell ref="R245:R253"/>
    <mergeCell ref="S245:S253"/>
    <mergeCell ref="T245:T253"/>
    <mergeCell ref="O245:O253"/>
    <mergeCell ref="Y245:Y253"/>
    <mergeCell ref="Z245:Z253"/>
    <mergeCell ref="AT239:AT240"/>
    <mergeCell ref="AU239:AU240"/>
    <mergeCell ref="AV239:AV240"/>
    <mergeCell ref="AW239:AW240"/>
    <mergeCell ref="AE239:AE240"/>
    <mergeCell ref="AF239:AF240"/>
    <mergeCell ref="AG239:AG240"/>
    <mergeCell ref="AH239:AH240"/>
    <mergeCell ref="AT245:AT253"/>
    <mergeCell ref="AU245:AU253"/>
    <mergeCell ref="AV245:AV253"/>
    <mergeCell ref="AA245:AA253"/>
    <mergeCell ref="AB245:AB253"/>
    <mergeCell ref="AD245:AD253"/>
    <mergeCell ref="AE245:AE253"/>
    <mergeCell ref="AF245:AF253"/>
    <mergeCell ref="AG245:AG253"/>
    <mergeCell ref="I302:O302"/>
    <mergeCell ref="AW245:AW253"/>
    <mergeCell ref="I255:O255"/>
    <mergeCell ref="AH245:AH253"/>
    <mergeCell ref="AR245:AR253"/>
    <mergeCell ref="AS245:AS253"/>
    <mergeCell ref="U245:U253"/>
    <mergeCell ref="V245:V253"/>
    <mergeCell ref="W245:W253"/>
    <mergeCell ref="X245:X253"/>
    <mergeCell ref="I269:O269"/>
    <mergeCell ref="AR271:AR290"/>
    <mergeCell ref="AD271:AD290"/>
    <mergeCell ref="AE271:AE290"/>
    <mergeCell ref="W271:W290"/>
    <mergeCell ref="X271:X290"/>
    <mergeCell ref="Y271:Y290"/>
    <mergeCell ref="R271:R290"/>
    <mergeCell ref="S271:S290"/>
    <mergeCell ref="T271:T290"/>
    <mergeCell ref="AA256:AA262"/>
    <mergeCell ref="AB256:AB262"/>
    <mergeCell ref="AD256:AD262"/>
    <mergeCell ref="AE256:AE262"/>
    <mergeCell ref="AF256:AF262"/>
    <mergeCell ref="AG256:AG262"/>
    <mergeCell ref="U256:U262"/>
    <mergeCell ref="V256:V262"/>
    <mergeCell ref="W256:W262"/>
    <mergeCell ref="X256:X262"/>
    <mergeCell ref="Y256:Y262"/>
    <mergeCell ref="Z256:Z262"/>
    <mergeCell ref="AU303:AU307"/>
    <mergeCell ref="O256:O262"/>
    <mergeCell ref="P256:P262"/>
    <mergeCell ref="Q256:Q262"/>
    <mergeCell ref="R256:R262"/>
    <mergeCell ref="S256:S262"/>
    <mergeCell ref="T256:T262"/>
    <mergeCell ref="AB303:AB307"/>
    <mergeCell ref="AD303:AD307"/>
    <mergeCell ref="AE303:AE307"/>
    <mergeCell ref="R310:R313"/>
    <mergeCell ref="S310:S313"/>
    <mergeCell ref="T310:T313"/>
    <mergeCell ref="AR303:AR307"/>
    <mergeCell ref="AS303:AS307"/>
    <mergeCell ref="AT303:AT307"/>
    <mergeCell ref="AF303:AF307"/>
    <mergeCell ref="U310:U313"/>
    <mergeCell ref="V310:V313"/>
    <mergeCell ref="W310:W313"/>
    <mergeCell ref="X310:X313"/>
    <mergeCell ref="Y310:Y313"/>
    <mergeCell ref="Z310:Z313"/>
    <mergeCell ref="AA310:AA313"/>
    <mergeCell ref="AB310:AB313"/>
    <mergeCell ref="AD310:AD313"/>
    <mergeCell ref="AE310:AE313"/>
    <mergeCell ref="AF310:AF313"/>
    <mergeCell ref="AG310:AG313"/>
    <mergeCell ref="AH310:AH313"/>
    <mergeCell ref="AR310:AR313"/>
    <mergeCell ref="AS310:AS313"/>
    <mergeCell ref="AT310:AT313"/>
    <mergeCell ref="AU310:AU313"/>
    <mergeCell ref="AV310:AV313"/>
    <mergeCell ref="AW310:AW313"/>
    <mergeCell ref="I314:O314"/>
    <mergeCell ref="P316:P321"/>
    <mergeCell ref="Q316:Q321"/>
    <mergeCell ref="R316:R321"/>
    <mergeCell ref="S316:S321"/>
    <mergeCell ref="T316:T321"/>
    <mergeCell ref="U316:U321"/>
    <mergeCell ref="V316:V321"/>
    <mergeCell ref="W316:W321"/>
    <mergeCell ref="X316:X321"/>
    <mergeCell ref="Y316:Y321"/>
    <mergeCell ref="Z316:Z321"/>
    <mergeCell ref="AA316:AA321"/>
    <mergeCell ref="AB316:AB321"/>
    <mergeCell ref="AD316:AD321"/>
    <mergeCell ref="AE316:AE321"/>
    <mergeCell ref="AF316:AF321"/>
    <mergeCell ref="AG316:AG321"/>
    <mergeCell ref="AH316:AH321"/>
    <mergeCell ref="AR316:AR321"/>
    <mergeCell ref="AS316:AS321"/>
    <mergeCell ref="AT316:AT321"/>
    <mergeCell ref="AU316:AU321"/>
    <mergeCell ref="AV316:AV321"/>
    <mergeCell ref="AW316:AW321"/>
    <mergeCell ref="I322:O322"/>
    <mergeCell ref="P324:P332"/>
    <mergeCell ref="Q324:Q332"/>
    <mergeCell ref="R324:R332"/>
    <mergeCell ref="S324:S332"/>
    <mergeCell ref="T324:T332"/>
    <mergeCell ref="U324:U332"/>
    <mergeCell ref="V324:V332"/>
    <mergeCell ref="W324:W332"/>
    <mergeCell ref="X324:X332"/>
    <mergeCell ref="Y324:Y332"/>
    <mergeCell ref="Z324:Z332"/>
    <mergeCell ref="AA324:AA332"/>
    <mergeCell ref="AB324:AB332"/>
    <mergeCell ref="AD324:AD332"/>
    <mergeCell ref="AE324:AE332"/>
    <mergeCell ref="AF324:AF332"/>
    <mergeCell ref="AG324:AG332"/>
    <mergeCell ref="AH324:AH332"/>
    <mergeCell ref="AR324:AR332"/>
    <mergeCell ref="AS324:AS332"/>
    <mergeCell ref="AT324:AT332"/>
    <mergeCell ref="AU324:AU332"/>
    <mergeCell ref="AV324:AV332"/>
    <mergeCell ref="AW324:AW332"/>
    <mergeCell ref="I338:O338"/>
    <mergeCell ref="O339:O341"/>
    <mergeCell ref="U339:U341"/>
    <mergeCell ref="W339:W341"/>
    <mergeCell ref="X339:X341"/>
    <mergeCell ref="Y339:Y341"/>
    <mergeCell ref="I342:O342"/>
    <mergeCell ref="P339:P341"/>
    <mergeCell ref="Q339:Q341"/>
    <mergeCell ref="R339:R341"/>
    <mergeCell ref="S339:S341"/>
    <mergeCell ref="T339:T341"/>
    <mergeCell ref="AU339:AU341"/>
    <mergeCell ref="Z339:Z341"/>
    <mergeCell ref="AA339:AA341"/>
    <mergeCell ref="AB339:AB341"/>
    <mergeCell ref="AD339:AD341"/>
    <mergeCell ref="AE339:AE341"/>
    <mergeCell ref="AF339:AF341"/>
    <mergeCell ref="AW339:AW341"/>
    <mergeCell ref="P343:P347"/>
    <mergeCell ref="Q343:Q347"/>
    <mergeCell ref="R343:R347"/>
    <mergeCell ref="S343:S347"/>
    <mergeCell ref="T343:T347"/>
    <mergeCell ref="AH343:AH347"/>
    <mergeCell ref="AR343:AR347"/>
    <mergeCell ref="W343:W347"/>
    <mergeCell ref="AG339:AG341"/>
    <mergeCell ref="Y343:Y347"/>
    <mergeCell ref="Z343:Z347"/>
    <mergeCell ref="AA343:AA347"/>
    <mergeCell ref="AB343:AB347"/>
    <mergeCell ref="AS343:AS347"/>
    <mergeCell ref="AV339:AV341"/>
    <mergeCell ref="AH339:AH341"/>
    <mergeCell ref="AR339:AR341"/>
    <mergeCell ref="AS339:AS341"/>
    <mergeCell ref="AT339:AT341"/>
    <mergeCell ref="AT343:AT347"/>
    <mergeCell ref="AU343:AU347"/>
    <mergeCell ref="AV343:AV347"/>
    <mergeCell ref="AW343:AW347"/>
    <mergeCell ref="I348:O348"/>
    <mergeCell ref="AD343:AD347"/>
    <mergeCell ref="AE343:AE347"/>
    <mergeCell ref="AF343:AF347"/>
    <mergeCell ref="AG343:AG347"/>
    <mergeCell ref="X343:X347"/>
    <mergeCell ref="I354:O354"/>
    <mergeCell ref="P349:P353"/>
    <mergeCell ref="Q349:Q353"/>
    <mergeCell ref="R349:R353"/>
    <mergeCell ref="S349:S353"/>
    <mergeCell ref="T349:T353"/>
    <mergeCell ref="AR349:AR353"/>
    <mergeCell ref="W349:W353"/>
    <mergeCell ref="X349:X353"/>
    <mergeCell ref="Y349:Y353"/>
    <mergeCell ref="Z349:Z353"/>
    <mergeCell ref="AA349:AA353"/>
    <mergeCell ref="AB349:AB353"/>
    <mergeCell ref="AS349:AS353"/>
    <mergeCell ref="AT349:AT353"/>
    <mergeCell ref="AU349:AU353"/>
    <mergeCell ref="AV349:AV353"/>
    <mergeCell ref="AW349:AW353"/>
    <mergeCell ref="AD349:AD353"/>
    <mergeCell ref="AE349:AE353"/>
    <mergeCell ref="AF349:AF353"/>
    <mergeCell ref="AG349:AG353"/>
    <mergeCell ref="AH349:AH353"/>
    <mergeCell ref="T291:T292"/>
    <mergeCell ref="T293:T294"/>
    <mergeCell ref="I315:O315"/>
    <mergeCell ref="O271:O290"/>
    <mergeCell ref="O293:O294"/>
    <mergeCell ref="P271:P290"/>
    <mergeCell ref="Q271:Q290"/>
    <mergeCell ref="I309:O309"/>
    <mergeCell ref="P310:P313"/>
    <mergeCell ref="Q310:Q313"/>
    <mergeCell ref="AU271:AU290"/>
    <mergeCell ref="AS271:AS290"/>
    <mergeCell ref="Z271:Z290"/>
    <mergeCell ref="AA271:AA290"/>
    <mergeCell ref="U271:U290"/>
    <mergeCell ref="V271:V290"/>
    <mergeCell ref="AV271:AV290"/>
    <mergeCell ref="B355:O355"/>
    <mergeCell ref="B356:O356"/>
    <mergeCell ref="C357:O357"/>
    <mergeCell ref="AF271:AF290"/>
    <mergeCell ref="AG271:AG290"/>
    <mergeCell ref="AH271:AH290"/>
    <mergeCell ref="AH291:AH294"/>
    <mergeCell ref="AB271:AB290"/>
    <mergeCell ref="U293:U294"/>
    <mergeCell ref="AW271:AW290"/>
    <mergeCell ref="P291:P292"/>
    <mergeCell ref="P293:P294"/>
    <mergeCell ref="Q291:Q292"/>
    <mergeCell ref="Q293:Q294"/>
    <mergeCell ref="R291:R292"/>
    <mergeCell ref="R293:R294"/>
    <mergeCell ref="S291:S292"/>
    <mergeCell ref="S293:S294"/>
    <mergeCell ref="AT271:AT290"/>
    <mergeCell ref="V291:V294"/>
    <mergeCell ref="W291:W294"/>
    <mergeCell ref="X291:X294"/>
    <mergeCell ref="Y291:Y294"/>
    <mergeCell ref="Z291:Z294"/>
    <mergeCell ref="AA291:AA294"/>
    <mergeCell ref="AB291:AB294"/>
    <mergeCell ref="AD291:AD294"/>
    <mergeCell ref="AE291:AE294"/>
    <mergeCell ref="AF291:AF294"/>
    <mergeCell ref="AG291:AG294"/>
    <mergeCell ref="AR291:AR294"/>
    <mergeCell ref="AS291:AS294"/>
    <mergeCell ref="AT291:AT294"/>
    <mergeCell ref="AU291:AU294"/>
    <mergeCell ref="AV291:AV294"/>
    <mergeCell ref="AW291:AW294"/>
    <mergeCell ref="S81:S82"/>
    <mergeCell ref="T81:T82"/>
    <mergeCell ref="U81:U82"/>
    <mergeCell ref="V81:V82"/>
    <mergeCell ref="W81:W82"/>
    <mergeCell ref="X81:X82"/>
    <mergeCell ref="AG81:AG82"/>
    <mergeCell ref="AH81:AH82"/>
    <mergeCell ref="AR81:AR82"/>
    <mergeCell ref="AS81:AS82"/>
    <mergeCell ref="AT81:AT82"/>
    <mergeCell ref="AB81:AB82"/>
    <mergeCell ref="AD81:AD82"/>
    <mergeCell ref="AE81:AE82"/>
    <mergeCell ref="AF81:AF82"/>
    <mergeCell ref="AU81:AU82"/>
    <mergeCell ref="P85:P86"/>
    <mergeCell ref="Q85:Q86"/>
    <mergeCell ref="R85:R86"/>
    <mergeCell ref="S85:S86"/>
    <mergeCell ref="T85:T86"/>
    <mergeCell ref="U85:U86"/>
    <mergeCell ref="W85:W86"/>
    <mergeCell ref="X85:X86"/>
    <mergeCell ref="Y85:Y86"/>
    <mergeCell ref="Z85:Z86"/>
    <mergeCell ref="AA85:AA86"/>
    <mergeCell ref="AB85:AB86"/>
    <mergeCell ref="AD85:AD86"/>
    <mergeCell ref="AE85:AE86"/>
    <mergeCell ref="AF85:AF86"/>
    <mergeCell ref="AG85:AG86"/>
    <mergeCell ref="AH85:AH86"/>
    <mergeCell ref="AR85:AR86"/>
    <mergeCell ref="AU85:AU86"/>
    <mergeCell ref="AV85:AV86"/>
    <mergeCell ref="AW85:AW86"/>
    <mergeCell ref="U303:U307"/>
    <mergeCell ref="O303:O307"/>
    <mergeCell ref="P303:P307"/>
    <mergeCell ref="Q303:Q307"/>
    <mergeCell ref="R303:R307"/>
    <mergeCell ref="S303:S307"/>
    <mergeCell ref="T303:T307"/>
    <mergeCell ref="BA16:BA30"/>
    <mergeCell ref="BA35:BA37"/>
    <mergeCell ref="BA73:BA74"/>
    <mergeCell ref="BA75:BA78"/>
    <mergeCell ref="BA81:BA91"/>
    <mergeCell ref="BA94:BA108"/>
    <mergeCell ref="BA110:BA115"/>
    <mergeCell ref="BA121:BA125"/>
    <mergeCell ref="BA128:BA133"/>
    <mergeCell ref="BA135:BA144"/>
    <mergeCell ref="BA149:BA150"/>
    <mergeCell ref="BA158:BA166"/>
    <mergeCell ref="BA169:BA196"/>
    <mergeCell ref="BA198:BA213"/>
    <mergeCell ref="BA220:BA222"/>
    <mergeCell ref="BA236:BA237"/>
    <mergeCell ref="BA239:BA243"/>
    <mergeCell ref="BA245:BA252"/>
    <mergeCell ref="BA256:BA262"/>
    <mergeCell ref="BA271:BA301"/>
    <mergeCell ref="BA303:BA307"/>
    <mergeCell ref="BA310:BA313"/>
    <mergeCell ref="BA316:BA321"/>
    <mergeCell ref="BA324:BA337"/>
    <mergeCell ref="BA339:BA341"/>
    <mergeCell ref="BA343:BA347"/>
    <mergeCell ref="BA349:BA353"/>
    <mergeCell ref="BB16:BB30"/>
    <mergeCell ref="BC16:BC30"/>
    <mergeCell ref="BD16:BD30"/>
    <mergeCell ref="BB73:BB74"/>
    <mergeCell ref="BC73:BC74"/>
    <mergeCell ref="BD73:BD74"/>
    <mergeCell ref="BB81:BB91"/>
    <mergeCell ref="BE16:BE30"/>
    <mergeCell ref="BF16:BF30"/>
    <mergeCell ref="BG16:BG30"/>
    <mergeCell ref="BB35:BB37"/>
    <mergeCell ref="BC35:BC37"/>
    <mergeCell ref="BD35:BD37"/>
    <mergeCell ref="BE35:BE37"/>
    <mergeCell ref="BF35:BF37"/>
    <mergeCell ref="BG35:BG37"/>
    <mergeCell ref="BE73:BE74"/>
    <mergeCell ref="BF73:BF74"/>
    <mergeCell ref="BG73:BG74"/>
    <mergeCell ref="BB75:BB78"/>
    <mergeCell ref="BC75:BC78"/>
    <mergeCell ref="BD75:BD78"/>
    <mergeCell ref="BE75:BE78"/>
    <mergeCell ref="BF75:BF78"/>
    <mergeCell ref="BG75:BG78"/>
    <mergeCell ref="BC81:BC91"/>
    <mergeCell ref="BD81:BD91"/>
    <mergeCell ref="BE81:BE91"/>
    <mergeCell ref="BF81:BF91"/>
    <mergeCell ref="BG81:BG91"/>
    <mergeCell ref="BB94:BB108"/>
    <mergeCell ref="BC94:BC108"/>
    <mergeCell ref="BD94:BD108"/>
    <mergeCell ref="BE94:BE108"/>
    <mergeCell ref="BF94:BF108"/>
    <mergeCell ref="BG94:BG108"/>
    <mergeCell ref="BB110:BB115"/>
    <mergeCell ref="BC110:BC115"/>
    <mergeCell ref="BD110:BD115"/>
    <mergeCell ref="BE110:BE115"/>
    <mergeCell ref="BF110:BF115"/>
    <mergeCell ref="BG110:BG115"/>
    <mergeCell ref="BB121:BB125"/>
    <mergeCell ref="BC121:BC125"/>
    <mergeCell ref="BD121:BD125"/>
    <mergeCell ref="BE121:BE125"/>
    <mergeCell ref="BF121:BF125"/>
    <mergeCell ref="BG121:BG125"/>
    <mergeCell ref="BB128:BB133"/>
    <mergeCell ref="BC128:BC133"/>
    <mergeCell ref="BD128:BD133"/>
    <mergeCell ref="BE128:BE133"/>
    <mergeCell ref="BF128:BF133"/>
    <mergeCell ref="BG128:BG133"/>
    <mergeCell ref="BB135:BB144"/>
    <mergeCell ref="BC135:BC144"/>
    <mergeCell ref="BD135:BD144"/>
    <mergeCell ref="BE135:BE144"/>
    <mergeCell ref="BF135:BF144"/>
    <mergeCell ref="BG135:BG144"/>
    <mergeCell ref="BB149:BB150"/>
    <mergeCell ref="BC149:BC150"/>
    <mergeCell ref="BD149:BD150"/>
    <mergeCell ref="BE149:BE150"/>
    <mergeCell ref="BF149:BF150"/>
    <mergeCell ref="BG149:BG150"/>
    <mergeCell ref="BB158:BB166"/>
    <mergeCell ref="BC158:BC166"/>
    <mergeCell ref="BD158:BD166"/>
    <mergeCell ref="BE158:BE166"/>
    <mergeCell ref="BF158:BF166"/>
    <mergeCell ref="BG158:BG166"/>
    <mergeCell ref="BB169:BB196"/>
    <mergeCell ref="BC169:BC196"/>
    <mergeCell ref="BD169:BD196"/>
    <mergeCell ref="BE169:BE196"/>
    <mergeCell ref="BF169:BF196"/>
    <mergeCell ref="BG169:BG196"/>
    <mergeCell ref="BB198:BB213"/>
    <mergeCell ref="BC198:BC213"/>
    <mergeCell ref="BD198:BD213"/>
    <mergeCell ref="BE198:BE213"/>
    <mergeCell ref="BF198:BF213"/>
    <mergeCell ref="BG198:BG213"/>
    <mergeCell ref="BB220:BB222"/>
    <mergeCell ref="BC220:BC222"/>
    <mergeCell ref="BD220:BD222"/>
    <mergeCell ref="BE220:BE222"/>
    <mergeCell ref="BF220:BF222"/>
    <mergeCell ref="BG220:BG222"/>
    <mergeCell ref="BB236:BB237"/>
    <mergeCell ref="BC236:BC237"/>
    <mergeCell ref="BD236:BD237"/>
    <mergeCell ref="BE236:BE237"/>
    <mergeCell ref="BF236:BF237"/>
    <mergeCell ref="BG236:BG237"/>
    <mergeCell ref="BB239:BB243"/>
    <mergeCell ref="BC239:BC243"/>
    <mergeCell ref="BD239:BD243"/>
    <mergeCell ref="BE239:BE243"/>
    <mergeCell ref="BF239:BF243"/>
    <mergeCell ref="BG239:BG243"/>
    <mergeCell ref="BB245:BB252"/>
    <mergeCell ref="BC245:BC252"/>
    <mergeCell ref="BD245:BD252"/>
    <mergeCell ref="BE245:BE252"/>
    <mergeCell ref="BF245:BF252"/>
    <mergeCell ref="BG245:BG252"/>
    <mergeCell ref="BB256:BB262"/>
    <mergeCell ref="BC256:BC262"/>
    <mergeCell ref="BD256:BD262"/>
    <mergeCell ref="BE256:BE262"/>
    <mergeCell ref="BF256:BF262"/>
    <mergeCell ref="BG256:BG262"/>
    <mergeCell ref="BB271:BB301"/>
    <mergeCell ref="BC271:BC301"/>
    <mergeCell ref="BD271:BD301"/>
    <mergeCell ref="BE271:BE301"/>
    <mergeCell ref="BF271:BF301"/>
    <mergeCell ref="BG271:BG301"/>
    <mergeCell ref="BB303:BB307"/>
    <mergeCell ref="BC303:BC307"/>
    <mergeCell ref="BD303:BD307"/>
    <mergeCell ref="BE303:BE307"/>
    <mergeCell ref="BF303:BF307"/>
    <mergeCell ref="BG303:BG307"/>
    <mergeCell ref="BB310:BB313"/>
    <mergeCell ref="BC310:BC313"/>
    <mergeCell ref="BD310:BD313"/>
    <mergeCell ref="BE310:BE313"/>
    <mergeCell ref="BF310:BF313"/>
    <mergeCell ref="BG310:BG313"/>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indexed="17"/>
  </sheetPr>
  <dimension ref="A1:BN92"/>
  <sheetViews>
    <sheetView zoomScale="82" zoomScaleNormal="82" workbookViewId="0" topLeftCell="A23">
      <selection activeCell="H42" sqref="H42"/>
    </sheetView>
  </sheetViews>
  <sheetFormatPr defaultColWidth="17.421875" defaultRowHeight="15"/>
  <cols>
    <col min="1" max="1" width="13.7109375" style="62" customWidth="1"/>
    <col min="2" max="2" width="47.421875" style="62" customWidth="1"/>
    <col min="3" max="3" width="18.8515625" style="62" hidden="1" customWidth="1"/>
    <col min="4" max="4" width="17.8515625" style="62" hidden="1" customWidth="1"/>
    <col min="5" max="5" width="17.421875" style="62" hidden="1" customWidth="1"/>
    <col min="6" max="6" width="16.28125" style="61" hidden="1" customWidth="1"/>
    <col min="7" max="7" width="17.00390625" style="61" hidden="1" customWidth="1"/>
    <col min="8" max="8" width="18.421875" style="61" customWidth="1"/>
    <col min="9" max="9" width="21.28125" style="61" customWidth="1"/>
    <col min="10" max="10" width="19.140625" style="61" customWidth="1"/>
    <col min="11" max="11" width="18.7109375" style="61" customWidth="1"/>
    <col min="12" max="12" width="18.00390625" style="61" customWidth="1"/>
    <col min="13" max="14" width="17.140625" style="61" customWidth="1"/>
    <col min="15" max="15" width="16.7109375" style="61" customWidth="1"/>
    <col min="16" max="19" width="17.00390625" style="61" customWidth="1"/>
    <col min="20" max="65" width="11.421875" style="61" customWidth="1"/>
    <col min="66" max="251" width="11.421875" style="62" customWidth="1"/>
    <col min="252" max="252" width="13.7109375" style="62" customWidth="1"/>
    <col min="253" max="253" width="58.57421875" style="62" customWidth="1"/>
    <col min="254" max="254" width="18.8515625" style="62" customWidth="1"/>
    <col min="255" max="255" width="16.28125" style="62" customWidth="1"/>
    <col min="256" max="16384" width="17.421875" style="62" customWidth="1"/>
  </cols>
  <sheetData>
    <row r="1" spans="1:19" ht="18">
      <c r="A1" s="1426" t="s">
        <v>256</v>
      </c>
      <c r="B1" s="1426"/>
      <c r="C1" s="1426"/>
      <c r="D1" s="1426"/>
      <c r="E1" s="1426"/>
      <c r="F1" s="1426"/>
      <c r="G1" s="1426"/>
      <c r="H1" s="1426"/>
      <c r="I1" s="1426"/>
      <c r="J1" s="1426"/>
      <c r="K1" s="1426"/>
      <c r="L1" s="1426"/>
      <c r="M1" s="1426"/>
      <c r="N1" s="1426"/>
      <c r="O1" s="1426"/>
      <c r="P1" s="1426"/>
      <c r="Q1" s="1426"/>
      <c r="R1" s="33"/>
      <c r="S1" s="33"/>
    </row>
    <row r="2" spans="1:19" ht="18">
      <c r="A2" s="1426" t="s">
        <v>602</v>
      </c>
      <c r="B2" s="1426"/>
      <c r="C2" s="1426"/>
      <c r="D2" s="1426"/>
      <c r="E2" s="1426"/>
      <c r="F2" s="1426"/>
      <c r="G2" s="1426"/>
      <c r="H2" s="1426"/>
      <c r="I2" s="1426"/>
      <c r="J2" s="1426"/>
      <c r="K2" s="1426"/>
      <c r="L2" s="1426"/>
      <c r="M2" s="1426"/>
      <c r="N2" s="1426"/>
      <c r="O2" s="1426"/>
      <c r="P2" s="1426"/>
      <c r="Q2" s="1426"/>
      <c r="R2" s="33"/>
      <c r="S2" s="33"/>
    </row>
    <row r="3" spans="1:19" s="63" customFormat="1" ht="18.75" customHeight="1" thickBot="1">
      <c r="A3" s="1427" t="s">
        <v>299</v>
      </c>
      <c r="B3" s="1427"/>
      <c r="C3" s="1427"/>
      <c r="D3" s="1427"/>
      <c r="E3" s="1427"/>
      <c r="F3" s="1427"/>
      <c r="G3" s="1427"/>
      <c r="H3" s="1427"/>
      <c r="I3" s="1427"/>
      <c r="J3" s="1427"/>
      <c r="K3" s="1427"/>
      <c r="L3" s="1427"/>
      <c r="M3" s="1427"/>
      <c r="N3" s="1427"/>
      <c r="O3" s="1427"/>
      <c r="P3" s="1427"/>
      <c r="Q3" s="1427"/>
      <c r="R3" s="315"/>
      <c r="S3" s="315"/>
    </row>
    <row r="4" spans="1:19" ht="60">
      <c r="A4" s="64" t="s">
        <v>300</v>
      </c>
      <c r="B4" s="65" t="s">
        <v>259</v>
      </c>
      <c r="C4" s="66" t="s">
        <v>301</v>
      </c>
      <c r="D4" s="67" t="s">
        <v>302</v>
      </c>
      <c r="E4" s="68" t="s">
        <v>303</v>
      </c>
      <c r="F4" s="69" t="s">
        <v>304</v>
      </c>
      <c r="G4" s="69" t="s">
        <v>304</v>
      </c>
      <c r="H4" s="69" t="s">
        <v>304</v>
      </c>
      <c r="I4" s="69" t="s">
        <v>304</v>
      </c>
      <c r="J4" s="69" t="s">
        <v>304</v>
      </c>
      <c r="K4" s="69" t="s">
        <v>304</v>
      </c>
      <c r="L4" s="69" t="s">
        <v>304</v>
      </c>
      <c r="M4" s="69" t="s">
        <v>304</v>
      </c>
      <c r="N4" s="69" t="s">
        <v>304</v>
      </c>
      <c r="O4" s="69" t="s">
        <v>304</v>
      </c>
      <c r="P4" s="69" t="s">
        <v>304</v>
      </c>
      <c r="Q4" s="69" t="s">
        <v>304</v>
      </c>
      <c r="R4" s="69" t="s">
        <v>304</v>
      </c>
      <c r="S4" s="69" t="s">
        <v>304</v>
      </c>
    </row>
    <row r="5" spans="1:19" ht="15.75" thickBot="1">
      <c r="A5" s="70" t="s">
        <v>300</v>
      </c>
      <c r="B5" s="71"/>
      <c r="C5" s="72" t="s">
        <v>305</v>
      </c>
      <c r="D5" s="73">
        <v>2009</v>
      </c>
      <c r="E5" s="74">
        <v>2009</v>
      </c>
      <c r="F5" s="75">
        <f>+D5+1</f>
        <v>2010</v>
      </c>
      <c r="G5" s="75">
        <f>+F5+1</f>
        <v>2011</v>
      </c>
      <c r="H5" s="75">
        <f>+G5+2</f>
        <v>2013</v>
      </c>
      <c r="I5" s="75">
        <f aca="true" t="shared" si="0" ref="I5:N5">+H5+1</f>
        <v>2014</v>
      </c>
      <c r="J5" s="75">
        <f t="shared" si="0"/>
        <v>2015</v>
      </c>
      <c r="K5" s="75">
        <f t="shared" si="0"/>
        <v>2016</v>
      </c>
      <c r="L5" s="75">
        <f t="shared" si="0"/>
        <v>2017</v>
      </c>
      <c r="M5" s="75">
        <f t="shared" si="0"/>
        <v>2018</v>
      </c>
      <c r="N5" s="75">
        <f t="shared" si="0"/>
        <v>2019</v>
      </c>
      <c r="O5" s="75">
        <f>+N5+1</f>
        <v>2020</v>
      </c>
      <c r="P5" s="75">
        <f>+O5+1</f>
        <v>2021</v>
      </c>
      <c r="Q5" s="75">
        <f>+P5+1</f>
        <v>2022</v>
      </c>
      <c r="R5" s="75">
        <f>+Q5+1</f>
        <v>2023</v>
      </c>
      <c r="S5" s="75">
        <f>+R5+1</f>
        <v>2024</v>
      </c>
    </row>
    <row r="6" spans="1:65" s="82" customFormat="1" ht="21" customHeight="1">
      <c r="A6" s="76" t="s">
        <v>306</v>
      </c>
      <c r="B6" s="77" t="s">
        <v>273</v>
      </c>
      <c r="C6" s="78">
        <f>SUM(C7:C12)</f>
        <v>0</v>
      </c>
      <c r="D6" s="78" t="e">
        <f>SUM(D7:D12)</f>
        <v>#REF!</v>
      </c>
      <c r="E6" s="79" t="e">
        <f>SUM(E7:E12)</f>
        <v>#REF!</v>
      </c>
      <c r="F6" s="80">
        <f aca="true" t="shared" si="1" ref="F6:N6">SUM(F7:F12)</f>
        <v>263908038487</v>
      </c>
      <c r="G6" s="80">
        <f t="shared" si="1"/>
        <v>318447900467</v>
      </c>
      <c r="H6" s="80">
        <f>SUM(H7:H12)</f>
        <v>333362423919.58997</v>
      </c>
      <c r="I6" s="80">
        <f>SUM(I7:I12)</f>
        <v>41471348158.399994</v>
      </c>
      <c r="J6" s="80">
        <f t="shared" si="1"/>
        <v>42715488603.152</v>
      </c>
      <c r="K6" s="80">
        <f t="shared" si="1"/>
        <v>43996953261.24657</v>
      </c>
      <c r="L6" s="80">
        <f t="shared" si="1"/>
        <v>45316861859.08396</v>
      </c>
      <c r="M6" s="80">
        <f t="shared" si="1"/>
        <v>46676367714.85648</v>
      </c>
      <c r="N6" s="80">
        <f t="shared" si="1"/>
        <v>48076658746.30218</v>
      </c>
      <c r="O6" s="80">
        <f>SUM(O7:O12)</f>
        <v>49518958508.69124</v>
      </c>
      <c r="P6" s="80">
        <f>SUM(P7:P12)</f>
        <v>50698825994.98352</v>
      </c>
      <c r="Q6" s="80">
        <f>SUM(Q7:Q12)</f>
        <v>52219790774.83304</v>
      </c>
      <c r="R6" s="80">
        <f>SUM(R7:R12)</f>
        <v>53785261008.29052</v>
      </c>
      <c r="S6" s="80">
        <f>SUM(S7:S12)</f>
        <v>55398818838.539246</v>
      </c>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row>
    <row r="7" spans="1:65" s="82" customFormat="1" ht="21" customHeight="1">
      <c r="A7" s="83" t="s">
        <v>307</v>
      </c>
      <c r="B7" s="84" t="s">
        <v>308</v>
      </c>
      <c r="C7" s="85"/>
      <c r="D7" s="85" t="e">
        <f>+E7</f>
        <v>#REF!</v>
      </c>
      <c r="E7" s="86" t="e">
        <f>+'INGRESOS PROYECTADOS MARCO FISC'!#REF!</f>
        <v>#REF!</v>
      </c>
      <c r="F7" s="86">
        <f>+'INGRESOS PROYECTADOS MARCO FISC'!C8</f>
        <v>14319322000</v>
      </c>
      <c r="G7" s="86">
        <f>+'INGRESOS PROYECTADOS MARCO FISC'!D8</f>
        <v>13153601660</v>
      </c>
      <c r="H7" s="86">
        <f>+'INGRESOS PROYECTADOS MARCO FISC'!E8</f>
        <v>15140332910</v>
      </c>
      <c r="I7" s="87">
        <f>+'INGRESOS PROYECTADOS MARCO FISC'!F8</f>
        <v>20901261824</v>
      </c>
      <c r="J7" s="87">
        <f>+I7*$J$20</f>
        <v>21528299678.72</v>
      </c>
      <c r="K7" s="87">
        <f aca="true" t="shared" si="2" ref="K7:K12">+J7*$K$20</f>
        <v>22174148669.0816</v>
      </c>
      <c r="L7" s="87">
        <f aca="true" t="shared" si="3" ref="L7:L12">+K7*$L$20</f>
        <v>22839373129.15405</v>
      </c>
      <c r="M7" s="87">
        <f aca="true" t="shared" si="4" ref="M7:M12">+L7*$M$20</f>
        <v>23524554323.02867</v>
      </c>
      <c r="N7" s="87">
        <f aca="true" t="shared" si="5" ref="N7:O12">+M7*$N$20</f>
        <v>24230290952.719532</v>
      </c>
      <c r="O7" s="87">
        <f t="shared" si="5"/>
        <v>24957199681.301117</v>
      </c>
      <c r="P7" s="87">
        <f>+'INGRESOS PROYECTADOS MARCO FISC'!M8</f>
        <v>25688004887.29222</v>
      </c>
      <c r="Q7" s="87">
        <f>+'INGRESOS PROYECTADOS MARCO FISC'!N8</f>
        <v>26458645033.910988</v>
      </c>
      <c r="R7" s="87">
        <f>+'INGRESOS PROYECTADOS MARCO FISC'!O8</f>
        <v>27252404384.928318</v>
      </c>
      <c r="S7" s="87">
        <f>+'INGRESOS PROYECTADOS MARCO FISC'!P8</f>
        <v>28069976516.47617</v>
      </c>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row>
    <row r="8" spans="1:65" s="82" customFormat="1" ht="21" customHeight="1">
      <c r="A8" s="83" t="s">
        <v>309</v>
      </c>
      <c r="B8" s="88" t="s">
        <v>310</v>
      </c>
      <c r="C8" s="85"/>
      <c r="D8" s="85" t="e">
        <f>+E8</f>
        <v>#REF!</v>
      </c>
      <c r="E8" s="86" t="e">
        <f>+'INGRESOS PROYECTADOS MARCO FISC'!#REF!-E11</f>
        <v>#REF!</v>
      </c>
      <c r="F8" s="86">
        <f>+'INGRESOS PROYECTADOS MARCO FISC'!C34-F11</f>
        <v>3811050000</v>
      </c>
      <c r="G8" s="86">
        <f>+'INGRESOS PROYECTADOS MARCO FISC'!D34-G11</f>
        <v>3437430402</v>
      </c>
      <c r="H8" s="86">
        <f>+'INGRESOS PROYECTADOS MARCO FISC'!E34-H11</f>
        <v>1869302945</v>
      </c>
      <c r="I8" s="86">
        <f>+'INGRESOS PROYECTADOS MARCO FISC'!F34-'INGRESOS PROYECTADOS MARCO FISC'!F55-'INGRESOS PROYECTADOS MARCO FISC'!F56-'INGRESOS PROYECTADOS MARCO FISC'!F58</f>
        <v>3673781000</v>
      </c>
      <c r="J8" s="86">
        <f>+'INGRESOS PROYECTADOS MARCO FISC'!G34-'INGRESOS PROYECTADOS MARCO FISC'!G55-'INGRESOS PROYECTADOS MARCO FISC'!G56-'INGRESOS PROYECTADOS MARCO FISC'!G58</f>
        <v>3783994430</v>
      </c>
      <c r="K8" s="86">
        <f>+'INGRESOS PROYECTADOS MARCO FISC'!H34-'INGRESOS PROYECTADOS MARCO FISC'!H55-'INGRESOS PROYECTADOS MARCO FISC'!H56-'INGRESOS PROYECTADOS MARCO FISC'!H58</f>
        <v>3897514262.9000006</v>
      </c>
      <c r="L8" s="86">
        <f>+'INGRESOS PROYECTADOS MARCO FISC'!I34-'INGRESOS PROYECTADOS MARCO FISC'!I55-'INGRESOS PROYECTADOS MARCO FISC'!I56-'INGRESOS PROYECTADOS MARCO FISC'!I58</f>
        <v>4014439690.7869997</v>
      </c>
      <c r="M8" s="86">
        <f>+'INGRESOS PROYECTADOS MARCO FISC'!J34-'INGRESOS PROYECTADOS MARCO FISC'!J55-'INGRESOS PROYECTADOS MARCO FISC'!J56-'INGRESOS PROYECTADOS MARCO FISC'!J58</f>
        <v>4134872881.5106096</v>
      </c>
      <c r="N8" s="86">
        <f>+'INGRESOS PROYECTADOS MARCO FISC'!K34-'INGRESOS PROYECTADOS MARCO FISC'!K55-'INGRESOS PROYECTADOS MARCO FISC'!K56-'INGRESOS PROYECTADOS MARCO FISC'!K58</f>
        <v>4258919067.955928</v>
      </c>
      <c r="O8" s="86">
        <f>+'INGRESOS PROYECTADOS MARCO FISC'!L34-'INGRESOS PROYECTADOS MARCO FISC'!L55-'INGRESOS PROYECTADOS MARCO FISC'!L56-'INGRESOS PROYECTADOS MARCO FISC'!L58</f>
        <v>4386686639.994606</v>
      </c>
      <c r="P8" s="86">
        <f>+'INGRESOS PROYECTADOS MARCO FISC'!M34-'INGRESOS PROYECTADOS MARCO FISC'!M55-'INGRESOS PROYECTADOS MARCO FISC'!M56-'INGRESOS PROYECTADOS MARCO FISC'!M58</f>
        <v>4518287239.194444</v>
      </c>
      <c r="Q8" s="86">
        <f>+'INGRESOS PROYECTADOS MARCO FISC'!N34-'INGRESOS PROYECTADOS MARCO FISC'!N55-'INGRESOS PROYECTADOS MARCO FISC'!N56-'INGRESOS PROYECTADOS MARCO FISC'!N58</f>
        <v>4653835856.370277</v>
      </c>
      <c r="R8" s="86">
        <f>+'INGRESOS PROYECTADOS MARCO FISC'!O34-'INGRESOS PROYECTADOS MARCO FISC'!O55-'INGRESOS PROYECTADOS MARCO FISC'!O56-'INGRESOS PROYECTADOS MARCO FISC'!O58</f>
        <v>4792327442.285321</v>
      </c>
      <c r="S8" s="86">
        <f>+'INGRESOS PROYECTADOS MARCO FISC'!P34-'INGRESOS PROYECTADOS MARCO FISC'!P55-'INGRESOS PROYECTADOS MARCO FISC'!P56-'INGRESOS PROYECTADOS MARCO FISC'!P58</f>
        <v>4936097265.553881</v>
      </c>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row>
    <row r="9" spans="1:65" s="82" customFormat="1" ht="21" customHeight="1">
      <c r="A9" s="89" t="s">
        <v>311</v>
      </c>
      <c r="B9" s="90" t="s">
        <v>312</v>
      </c>
      <c r="C9" s="91"/>
      <c r="D9" s="85" t="e">
        <f>+E9</f>
        <v>#REF!</v>
      </c>
      <c r="E9" s="92" t="e">
        <f>+'INGRESOS PROYECTADOS MARCO FISC'!#REF!+'INGRESOS PROYECTADOS MARCO FISC'!#REF!</f>
        <v>#REF!</v>
      </c>
      <c r="F9" s="92">
        <f>+'INGRESOS PROYECTADOS MARCO FISC'!C63+'INGRESOS PROYECTADOS MARCO FISC'!C126</f>
        <v>10317780399</v>
      </c>
      <c r="G9" s="92">
        <f>+'INGRESOS PROYECTADOS MARCO FISC'!D63+'INGRESOS PROYECTADOS MARCO FISC'!D126</f>
        <v>10624811542</v>
      </c>
      <c r="H9" s="92">
        <f>+'INGRESOS PROYECTADOS MARCO FISC'!E63+'INGRESOS PROYECTADOS MARCO FISC'!E126</f>
        <v>14305976883.99</v>
      </c>
      <c r="I9" s="92">
        <f>+'INGRESOS PROYECTADOS MARCO FISC'!F63+'INGRESOS PROYECTADOS MARCO FISC'!F126</f>
        <v>16746305334.09</v>
      </c>
      <c r="J9" s="92">
        <f>+I9*$J$20</f>
        <v>17248694494.1127</v>
      </c>
      <c r="K9" s="92">
        <f t="shared" si="2"/>
        <v>17766155328.936085</v>
      </c>
      <c r="L9" s="92">
        <f t="shared" si="3"/>
        <v>18299139988.80417</v>
      </c>
      <c r="M9" s="92">
        <f t="shared" si="4"/>
        <v>18848114188.468296</v>
      </c>
      <c r="N9" s="92">
        <f t="shared" si="5"/>
        <v>19413557614.122345</v>
      </c>
      <c r="O9" s="92">
        <f t="shared" si="5"/>
        <v>19995964342.546017</v>
      </c>
      <c r="P9" s="92">
        <f>+'INGRESOS PROYECTADOS MARCO FISC'!M63+'INGRESOS PROYECTADOS MARCO FISC'!M126</f>
        <v>20308052788.312973</v>
      </c>
      <c r="Q9" s="92">
        <f>+P9*$N$20</f>
        <v>20917294371.962364</v>
      </c>
      <c r="R9" s="92">
        <f>+Q9*$N$20</f>
        <v>21544813203.121235</v>
      </c>
      <c r="S9" s="92">
        <f>+R9*$N$20</f>
        <v>22191157599.214874</v>
      </c>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row>
    <row r="10" spans="1:65" s="82" customFormat="1" ht="21" customHeight="1">
      <c r="A10" s="89" t="s">
        <v>313</v>
      </c>
      <c r="B10" s="90" t="s">
        <v>314</v>
      </c>
      <c r="C10" s="85"/>
      <c r="D10" s="85" t="e">
        <f>+E10</f>
        <v>#REF!</v>
      </c>
      <c r="E10" s="86" t="e">
        <f>+'INGRESOS PROYECTADOS MARCO FISC'!#REF!-E12</f>
        <v>#REF!</v>
      </c>
      <c r="F10" s="86">
        <f>+'INGRESOS PROYECTADOS MARCO FISC'!C95</f>
        <v>40019486088</v>
      </c>
      <c r="G10" s="86">
        <f>+'INGRESOS PROYECTADOS MARCO FISC'!D95</f>
        <v>33465865469</v>
      </c>
      <c r="H10" s="86">
        <f>+'INGRESOS PROYECTADOS MARCO FISC'!E95</f>
        <v>20311937977</v>
      </c>
      <c r="I10" s="87">
        <f>+H10*$I$20-20921296116</f>
        <v>0.3100013732910156</v>
      </c>
      <c r="J10" s="87">
        <f>+I10*$J$20</f>
        <v>0.3193014144897461</v>
      </c>
      <c r="K10" s="87">
        <f t="shared" si="2"/>
        <v>0.32888045692443846</v>
      </c>
      <c r="L10" s="87">
        <f t="shared" si="3"/>
        <v>0.3387468706321716</v>
      </c>
      <c r="M10" s="87">
        <f t="shared" si="4"/>
        <v>0.3489092767511368</v>
      </c>
      <c r="N10" s="87">
        <f t="shared" si="5"/>
        <v>0.35937655505367094</v>
      </c>
      <c r="O10" s="87">
        <f t="shared" si="5"/>
        <v>0.3701578517052811</v>
      </c>
      <c r="P10" s="87">
        <f>+N10*$N$20</f>
        <v>0.3701578517052811</v>
      </c>
      <c r="Q10" s="87">
        <f>+O10*$N$20</f>
        <v>0.3812625872564395</v>
      </c>
      <c r="R10" s="87">
        <f>+P10*$N$20</f>
        <v>0.3812625872564395</v>
      </c>
      <c r="S10" s="87">
        <f>+Q10*$N$20</f>
        <v>0.39270046487413274</v>
      </c>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row>
    <row r="11" spans="1:65" s="82" customFormat="1" ht="21" customHeight="1">
      <c r="A11" s="83" t="s">
        <v>315</v>
      </c>
      <c r="B11" s="90" t="s">
        <v>316</v>
      </c>
      <c r="C11" s="85"/>
      <c r="D11" s="85" t="e">
        <f>+E11</f>
        <v>#REF!</v>
      </c>
      <c r="E11" s="86" t="e">
        <f>+'INGRESOS PROYECTADOS MARCO FISC'!#REF!+'INGRESOS PROYECTADOS MARCO FISC'!#REF!</f>
        <v>#REF!</v>
      </c>
      <c r="F11" s="86">
        <f>+'INGRESOS PROYECTADOS MARCO FISC'!C55+'INGRESOS PROYECTADOS MARCO FISC'!C56+'INGRESOS PROYECTADOS MARCO FISC'!C58</f>
        <v>195002000000</v>
      </c>
      <c r="G11" s="86">
        <f>+'INGRESOS PROYECTADOS MARCO FISC'!D55+'INGRESOS PROYECTADOS MARCO FISC'!D56+'INGRESOS PROYECTADOS MARCO FISC'!D58</f>
        <v>257002000000</v>
      </c>
      <c r="H11" s="86">
        <f>+'INGRESOS PROYECTADOS MARCO FISC'!E55+'INGRESOS PROYECTADOS MARCO FISC'!E56+'INGRESOS PROYECTADOS MARCO FISC'!E58</f>
        <v>280006000000</v>
      </c>
      <c r="I11" s="86">
        <f>+'INGRESOS PROYECTADOS MARCO FISC'!F55+'INGRESOS PROYECTADOS MARCO FISC'!F56+'INGRESOS PROYECTADOS MARCO FISC'!F58</f>
        <v>0</v>
      </c>
      <c r="J11" s="87">
        <f>+I11*$J$20</f>
        <v>0</v>
      </c>
      <c r="K11" s="87">
        <f t="shared" si="2"/>
        <v>0</v>
      </c>
      <c r="L11" s="87">
        <f>+K11*$L$20</f>
        <v>0</v>
      </c>
      <c r="M11" s="87">
        <f>+L11*$M$20</f>
        <v>0</v>
      </c>
      <c r="N11" s="87">
        <f t="shared" si="5"/>
        <v>0</v>
      </c>
      <c r="O11" s="87">
        <f t="shared" si="5"/>
        <v>0</v>
      </c>
      <c r="P11" s="87">
        <f aca="true" t="shared" si="6" ref="P11:S12">+O11*$N$20</f>
        <v>0</v>
      </c>
      <c r="Q11" s="87">
        <f t="shared" si="6"/>
        <v>0</v>
      </c>
      <c r="R11" s="87">
        <f t="shared" si="6"/>
        <v>0</v>
      </c>
      <c r="S11" s="87">
        <f t="shared" si="6"/>
        <v>0</v>
      </c>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row>
    <row r="12" spans="1:65" s="82" customFormat="1" ht="21" customHeight="1">
      <c r="A12" s="89" t="s">
        <v>317</v>
      </c>
      <c r="B12" s="90" t="s">
        <v>318</v>
      </c>
      <c r="C12" s="85"/>
      <c r="D12" s="86" t="e">
        <f>+'INGRESOS PROYECTADOS MARCO FISC'!#REF!</f>
        <v>#REF!</v>
      </c>
      <c r="E12" s="86" t="e">
        <f>+'INGRESOS PROYECTADOS MARCO FISC'!#REF!</f>
        <v>#REF!</v>
      </c>
      <c r="F12" s="86">
        <f>+'INGRESOS PROYECTADOS MARCO FISC'!C82+'INGRESOS PROYECTADOS MARCO FISC'!C84</f>
        <v>438400000</v>
      </c>
      <c r="G12" s="87">
        <f>+'INGRESOS PROYECTADOS MARCO FISC'!D81</f>
        <v>764191394</v>
      </c>
      <c r="H12" s="87">
        <f>+'INGRESOS PROYECTADOS MARCO FISC'!E81</f>
        <v>1728873203.6</v>
      </c>
      <c r="I12" s="87">
        <f>+'INGRESOS PROYECTADOS MARCO FISC'!F84+'INGRESOS PROYECTADOS MARCO FISC'!F82</f>
        <v>150000000</v>
      </c>
      <c r="J12" s="87">
        <f>+'INGRESOS PROYECTADOS MARCO FISC'!G84+'INGRESOS PROYECTADOS MARCO FISC'!G82</f>
        <v>154500000</v>
      </c>
      <c r="K12" s="87">
        <f t="shared" si="2"/>
        <v>159135000</v>
      </c>
      <c r="L12" s="87">
        <f t="shared" si="3"/>
        <v>163909050</v>
      </c>
      <c r="M12" s="87">
        <f t="shared" si="4"/>
        <v>168826321.5</v>
      </c>
      <c r="N12" s="87">
        <f t="shared" si="5"/>
        <v>173891111.145</v>
      </c>
      <c r="O12" s="87">
        <f t="shared" si="5"/>
        <v>179107844.47935003</v>
      </c>
      <c r="P12" s="87">
        <f t="shared" si="6"/>
        <v>184481079.81373054</v>
      </c>
      <c r="Q12" s="87">
        <f t="shared" si="6"/>
        <v>190015512.20814246</v>
      </c>
      <c r="R12" s="87">
        <f t="shared" si="6"/>
        <v>195715977.57438675</v>
      </c>
      <c r="S12" s="87">
        <f t="shared" si="6"/>
        <v>201587456.90161836</v>
      </c>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row>
    <row r="13" spans="1:65" s="82" customFormat="1" ht="21" customHeight="1">
      <c r="A13" s="94" t="s">
        <v>319</v>
      </c>
      <c r="B13" s="95" t="s">
        <v>263</v>
      </c>
      <c r="C13" s="96">
        <f>SUM(C14:C18)</f>
        <v>0</v>
      </c>
      <c r="D13" s="96">
        <f>SUM(D14:D18)</f>
        <v>4487608426</v>
      </c>
      <c r="E13" s="97">
        <f>SUM(E14:E18)</f>
        <v>4487608426</v>
      </c>
      <c r="F13" s="98">
        <f aca="true" t="shared" si="7" ref="F13:O13">SUM(F14:F18)</f>
        <v>7943854340</v>
      </c>
      <c r="G13" s="98" t="e">
        <f t="shared" si="7"/>
        <v>#REF!</v>
      </c>
      <c r="H13" s="98">
        <f t="shared" si="7"/>
        <v>7934010106</v>
      </c>
      <c r="I13" s="98">
        <f t="shared" si="7"/>
        <v>9833972835.55432</v>
      </c>
      <c r="J13" s="98">
        <f t="shared" si="7"/>
        <v>9153279323.998</v>
      </c>
      <c r="K13" s="98">
        <f t="shared" si="7"/>
        <v>9190977703.71794</v>
      </c>
      <c r="L13" s="98">
        <f t="shared" si="7"/>
        <v>9466707034.82948</v>
      </c>
      <c r="M13" s="98">
        <f t="shared" si="7"/>
        <v>9750708245.874361</v>
      </c>
      <c r="N13" s="98">
        <f t="shared" si="7"/>
        <v>10043229493.250595</v>
      </c>
      <c r="O13" s="98">
        <f t="shared" si="7"/>
        <v>10344526378.048113</v>
      </c>
      <c r="P13" s="98">
        <f>SUM(P14:P18)</f>
        <v>10654862169.389553</v>
      </c>
      <c r="Q13" s="98">
        <f>SUM(Q14:Q18)</f>
        <v>10974508034.471243</v>
      </c>
      <c r="R13" s="98">
        <f>SUM(R14:R18)</f>
        <v>11303743275.50538</v>
      </c>
      <c r="S13" s="98">
        <f>SUM(S14:S18)</f>
        <v>11642855573.77054</v>
      </c>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row>
    <row r="14" spans="1:65" s="82" customFormat="1" ht="21" customHeight="1">
      <c r="A14" s="89" t="s">
        <v>320</v>
      </c>
      <c r="B14" s="90" t="s">
        <v>321</v>
      </c>
      <c r="C14" s="85"/>
      <c r="D14" s="85">
        <f>+'MARCO GASTOS'!B14</f>
        <v>1543320302</v>
      </c>
      <c r="E14" s="99">
        <f>+D14</f>
        <v>1543320302</v>
      </c>
      <c r="F14" s="93">
        <f>+'MARCO GASTOS'!C14</f>
        <v>2641978082</v>
      </c>
      <c r="G14" s="93" t="e">
        <f>+'MARCO GASTOS'!D14</f>
        <v>#REF!</v>
      </c>
      <c r="H14" s="93">
        <f>+'MARCO GASTOS'!E14</f>
        <v>3599671319</v>
      </c>
      <c r="I14" s="93">
        <f>+'MARCO GASTOS'!F14</f>
        <v>4664490600</v>
      </c>
      <c r="J14" s="93">
        <f>+'MARCO GASTOS'!G14</f>
        <v>4664490600</v>
      </c>
      <c r="K14" s="93">
        <f>+'MARCO GASTOS'!H14</f>
        <v>4804425318</v>
      </c>
      <c r="L14" s="93">
        <f>+'MARCO GASTOS'!I14</f>
        <v>4948558077.54</v>
      </c>
      <c r="M14" s="93">
        <f>+'MARCO GASTOS'!J14</f>
        <v>5097014819.8661995</v>
      </c>
      <c r="N14" s="93">
        <f>+'MARCO GASTOS'!K14</f>
        <v>5249925264.462187</v>
      </c>
      <c r="O14" s="93">
        <f>+'MARCO GASTOS'!L14</f>
        <v>5407423022.396051</v>
      </c>
      <c r="P14" s="93">
        <f>+'MARCO GASTOS'!M14</f>
        <v>5569645713.067932</v>
      </c>
      <c r="Q14" s="93">
        <f>+'MARCO GASTOS'!N14</f>
        <v>5736735084.459971</v>
      </c>
      <c r="R14" s="93">
        <f>+'MARCO GASTOS'!O14</f>
        <v>5908837136.993771</v>
      </c>
      <c r="S14" s="93">
        <f>+'MARCO GASTOS'!P14</f>
        <v>6086102251.103582</v>
      </c>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row>
    <row r="15" spans="1:65" s="82" customFormat="1" ht="21" customHeight="1">
      <c r="A15" s="89" t="s">
        <v>322</v>
      </c>
      <c r="B15" s="90" t="s">
        <v>323</v>
      </c>
      <c r="C15" s="85"/>
      <c r="D15" s="85">
        <f>+'MARCO GASTOS'!B15</f>
        <v>2202771005</v>
      </c>
      <c r="E15" s="99">
        <f>+D15</f>
        <v>2202771005</v>
      </c>
      <c r="F15" s="93">
        <f>+'MARCO GASTOS'!C15</f>
        <v>2601868154</v>
      </c>
      <c r="G15" s="93" t="e">
        <f>+'MARCO GASTOS'!D15</f>
        <v>#REF!</v>
      </c>
      <c r="H15" s="93">
        <f>+'MARCO GASTOS'!E15</f>
        <v>3575240880</v>
      </c>
      <c r="I15" s="93">
        <f>+'MARCO GASTOS'!F15</f>
        <v>3716405750</v>
      </c>
      <c r="J15" s="93">
        <f>+'MARCO GASTOS'!G15</f>
        <v>3716405750</v>
      </c>
      <c r="K15" s="93">
        <f>+'MARCO GASTOS'!H15</f>
        <v>3590997922.5</v>
      </c>
      <c r="L15" s="93">
        <f>+'MARCO GASTOS'!I15</f>
        <v>3698727860.175</v>
      </c>
      <c r="M15" s="93">
        <f>+'MARCO GASTOS'!J15</f>
        <v>3809689695.98025</v>
      </c>
      <c r="N15" s="93">
        <f>+'MARCO GASTOS'!K15</f>
        <v>3923980386.859658</v>
      </c>
      <c r="O15" s="93">
        <f>+'MARCO GASTOS'!L15</f>
        <v>4041699798.4654474</v>
      </c>
      <c r="P15" s="93">
        <f>+'MARCO GASTOS'!M15</f>
        <v>4162950792.419411</v>
      </c>
      <c r="Q15" s="93">
        <f>+'MARCO GASTOS'!N15</f>
        <v>4287839316.1919937</v>
      </c>
      <c r="R15" s="93">
        <f>+'MARCO GASTOS'!O15</f>
        <v>4416474495.677753</v>
      </c>
      <c r="S15" s="93">
        <f>+'MARCO GASTOS'!P15</f>
        <v>4548968730.548087</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row>
    <row r="16" spans="1:65" s="82" customFormat="1" ht="32.25" customHeight="1">
      <c r="A16" s="89" t="s">
        <v>324</v>
      </c>
      <c r="B16" s="100" t="s">
        <v>325</v>
      </c>
      <c r="C16" s="101"/>
      <c r="D16" s="101">
        <f>+'MARCO GASTOS'!B16+'MARCO GASTOS'!B17</f>
        <v>741517119</v>
      </c>
      <c r="E16" s="102">
        <f>+D16-('[1]Gastos'!P53*D20)</f>
        <v>741517119</v>
      </c>
      <c r="F16" s="103">
        <f>+'MARCO GASTOS'!C16+'MARCO GASTOS'!C17+'MARCO GASTOS'!C18</f>
        <v>2700008104</v>
      </c>
      <c r="G16" s="103" t="e">
        <f>+'MARCO GASTOS'!D16+'MARCO GASTOS'!D17+'MARCO GASTOS'!D18</f>
        <v>#REF!</v>
      </c>
      <c r="H16" s="103">
        <f>+'MARCO GASTOS'!E16+'MARCO GASTOS'!E17</f>
        <v>759097907</v>
      </c>
      <c r="I16" s="103">
        <f>+'MARCO GASTOS'!F16+'MARCO GASTOS'!F17+'MARCO GASTOS'!F18</f>
        <v>1453076485.5543199</v>
      </c>
      <c r="J16" s="103">
        <f>+'MARCO GASTOS'!G16+'MARCO GASTOS'!G17</f>
        <v>772382973.998</v>
      </c>
      <c r="K16" s="103">
        <f>+'MARCO GASTOS'!H16+'MARCO GASTOS'!H17</f>
        <v>795554463.2179401</v>
      </c>
      <c r="L16" s="103">
        <f>+'MARCO GASTOS'!I16+'MARCO GASTOS'!I17</f>
        <v>819421097.1144782</v>
      </c>
      <c r="M16" s="103">
        <f>+'MARCO GASTOS'!J16+'MARCO GASTOS'!J17</f>
        <v>844003730.0279126</v>
      </c>
      <c r="N16" s="103">
        <f>+'MARCO GASTOS'!K16+'MARCO GASTOS'!K17</f>
        <v>869323841.92875</v>
      </c>
      <c r="O16" s="103">
        <f>+'MARCO GASTOS'!L16+'MARCO GASTOS'!L17</f>
        <v>895403557.1866126</v>
      </c>
      <c r="P16" s="103">
        <f>+'MARCO GASTOS'!M16+'MARCO GASTOS'!M17</f>
        <v>922265663.902211</v>
      </c>
      <c r="Q16" s="103">
        <f>+'MARCO GASTOS'!N16+'MARCO GASTOS'!N17</f>
        <v>949933633.8192773</v>
      </c>
      <c r="R16" s="103">
        <f>+'MARCO GASTOS'!O16+'MARCO GASTOS'!O17</f>
        <v>978431642.8338557</v>
      </c>
      <c r="S16" s="103">
        <f>+'MARCO GASTOS'!P16+'MARCO GASTOS'!P17</f>
        <v>1007784592.1188715</v>
      </c>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row>
    <row r="17" spans="1:65" s="82" customFormat="1" ht="21" customHeight="1">
      <c r="A17" s="89" t="s">
        <v>326</v>
      </c>
      <c r="B17" s="90" t="s">
        <v>327</v>
      </c>
      <c r="C17" s="102"/>
      <c r="D17" s="102"/>
      <c r="E17" s="102">
        <f>+D17</f>
        <v>0</v>
      </c>
      <c r="F17" s="103">
        <f>+D17*$F$20</f>
        <v>0</v>
      </c>
      <c r="G17" s="103">
        <f>+F17*$G$20</f>
        <v>0</v>
      </c>
      <c r="H17" s="103">
        <f>+G17*$H$20</f>
        <v>0</v>
      </c>
      <c r="I17" s="103">
        <f>+H17*$I$20</f>
        <v>0</v>
      </c>
      <c r="J17" s="103">
        <f>+I17*$J$20</f>
        <v>0</v>
      </c>
      <c r="K17" s="103">
        <f>+J17*$K$20</f>
        <v>0</v>
      </c>
      <c r="L17" s="103">
        <f>+K17*$L$20</f>
        <v>0</v>
      </c>
      <c r="M17" s="103">
        <f>+L17*$M$20</f>
        <v>0</v>
      </c>
      <c r="N17" s="103">
        <f>+M17*$N$20</f>
        <v>0</v>
      </c>
      <c r="O17" s="103">
        <v>0</v>
      </c>
      <c r="P17" s="103">
        <v>0</v>
      </c>
      <c r="Q17" s="103">
        <v>0</v>
      </c>
      <c r="R17" s="103">
        <v>0</v>
      </c>
      <c r="S17" s="103">
        <v>0</v>
      </c>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row>
    <row r="18" spans="1:65" s="82" customFormat="1" ht="21" customHeight="1" thickBot="1">
      <c r="A18" s="104" t="s">
        <v>328</v>
      </c>
      <c r="B18" s="90" t="s">
        <v>329</v>
      </c>
      <c r="C18" s="105"/>
      <c r="D18" s="105"/>
      <c r="E18" s="105">
        <f>+D18</f>
        <v>0</v>
      </c>
      <c r="F18" s="106">
        <f>+VLOOKUP($A$18,'[1]Pasivo a Cancelar y Deuda'!$A$2:$Q$2,LOOKUP(F5,'[1]Pasivo a Cancelar y Deuda'!$C$1:$Q$1,'[1]Pasivo a Cancelar y Deuda'!$C$102:$Q$102),FALSE)</f>
        <v>0</v>
      </c>
      <c r="G18" s="106">
        <f>+VLOOKUP($A$18,'[1]Pasivo a Cancelar y Deuda'!$A$2:$Q$2,LOOKUP(G5,'[1]Pasivo a Cancelar y Deuda'!$C$1:$Q$1,'[1]Pasivo a Cancelar y Deuda'!$C$102:$Q$102),FALSE)</f>
        <v>0</v>
      </c>
      <c r="H18" s="106">
        <f>+VLOOKUP($A$18,'[1]Pasivo a Cancelar y Deuda'!$A$2:$Q$2,LOOKUP(H5,'[1]Pasivo a Cancelar y Deuda'!$C$1:$Q$1,'[1]Pasivo a Cancelar y Deuda'!$C$102:$Q$102),FALSE)</f>
        <v>0</v>
      </c>
      <c r="I18" s="106">
        <f>+VLOOKUP($A$18,'[1]Pasivo a Cancelar y Deuda'!$A$2:$Q$2,LOOKUP(I5,'[1]Pasivo a Cancelar y Deuda'!$C$1:$Q$1,'[1]Pasivo a Cancelar y Deuda'!$C$102:$Q$102),FALSE)</f>
        <v>0</v>
      </c>
      <c r="J18" s="106">
        <f>+VLOOKUP($A$18,'[1]Pasivo a Cancelar y Deuda'!$A$2:$Q$2,LOOKUP(J5,'[1]Pasivo a Cancelar y Deuda'!$C$1:$Q$1,'[1]Pasivo a Cancelar y Deuda'!$C$102:$Q$102),FALSE)</f>
        <v>0</v>
      </c>
      <c r="K18" s="106">
        <f>+VLOOKUP($A$18,'[1]Pasivo a Cancelar y Deuda'!$A$2:$Q$2,LOOKUP(K5,'[1]Pasivo a Cancelar y Deuda'!$C$1:$Q$1,'[1]Pasivo a Cancelar y Deuda'!$C$102:$Q$102),FALSE)</f>
        <v>0</v>
      </c>
      <c r="L18" s="106">
        <f>+VLOOKUP($A$18,'[1]Pasivo a Cancelar y Deuda'!$A$2:$Q$2,LOOKUP(L5,'[1]Pasivo a Cancelar y Deuda'!$C$1:$Q$1,'[1]Pasivo a Cancelar y Deuda'!$C$102:$Q$102),FALSE)</f>
        <v>0</v>
      </c>
      <c r="M18" s="106">
        <f>+VLOOKUP($A$18,'[1]Pasivo a Cancelar y Deuda'!$A$2:$Q$2,LOOKUP(M5,'[1]Pasivo a Cancelar y Deuda'!$C$1:$Q$1,'[1]Pasivo a Cancelar y Deuda'!$C$102:$Q$102),FALSE)</f>
        <v>0</v>
      </c>
      <c r="N18" s="106">
        <f>+VLOOKUP($A$18,'[1]Pasivo a Cancelar y Deuda'!$A$2:$Q$2,LOOKUP(N5,'[1]Pasivo a Cancelar y Deuda'!$C$1:$Q$1,'[1]Pasivo a Cancelar y Deuda'!$C$102:$Q$102),FALSE)</f>
        <v>0</v>
      </c>
      <c r="O18" s="106">
        <f>+VLOOKUP($A$18,'[1]Pasivo a Cancelar y Deuda'!$A$2:$Q$2,LOOKUP(O5,'[1]Pasivo a Cancelar y Deuda'!$C$1:$Q$1,'[1]Pasivo a Cancelar y Deuda'!$C$102:$Q$102),FALSE)</f>
        <v>0</v>
      </c>
      <c r="P18" s="106">
        <f>+VLOOKUP($A$18,'[1]Pasivo a Cancelar y Deuda'!$A$2:$Q$2,LOOKUP(P5,'[1]Pasivo a Cancelar y Deuda'!$C$1:$Q$1,'[1]Pasivo a Cancelar y Deuda'!$C$102:$Q$102),FALSE)</f>
        <v>0</v>
      </c>
      <c r="Q18" s="106">
        <f>+VLOOKUP($A$18,'[1]Pasivo a Cancelar y Deuda'!$A$2:$Q$2,LOOKUP(Q5,'[1]Pasivo a Cancelar y Deuda'!$C$1:$Q$1,'[1]Pasivo a Cancelar y Deuda'!$C$102:$Q$102),FALSE)</f>
        <v>0</v>
      </c>
      <c r="R18" s="106">
        <f>+VLOOKUP($A$18,'[1]Pasivo a Cancelar y Deuda'!$A$2:$Q$2,LOOKUP(R5,'[1]Pasivo a Cancelar y Deuda'!$C$1:$Q$1,'[1]Pasivo a Cancelar y Deuda'!$C$102:$Q$102),FALSE)</f>
        <v>0</v>
      </c>
      <c r="S18" s="106">
        <f>+VLOOKUP($A$18,'[1]Pasivo a Cancelar y Deuda'!$A$2:$Q$2,LOOKUP(S5,'[1]Pasivo a Cancelar y Deuda'!$C$1:$Q$1,'[1]Pasivo a Cancelar y Deuda'!$C$102:$Q$102),FALSE)</f>
        <v>0</v>
      </c>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row>
    <row r="19" spans="1:65" s="82" customFormat="1" ht="21" customHeight="1">
      <c r="A19" s="107" t="s">
        <v>282</v>
      </c>
      <c r="B19" s="108" t="s">
        <v>330</v>
      </c>
      <c r="C19" s="79">
        <f>+(C6-C13)</f>
        <v>0</v>
      </c>
      <c r="D19" s="109" t="e">
        <f>+(D6-D13)</f>
        <v>#REF!</v>
      </c>
      <c r="E19" s="110" t="e">
        <f>+(E6-E13)</f>
        <v>#REF!</v>
      </c>
      <c r="F19" s="80">
        <f>+(F6-F13)</f>
        <v>255964184147</v>
      </c>
      <c r="G19" s="80" t="e">
        <f aca="true" t="shared" si="8" ref="G19:N19">+(G6-G13)</f>
        <v>#REF!</v>
      </c>
      <c r="H19" s="80">
        <f t="shared" si="8"/>
        <v>325428413813.58997</v>
      </c>
      <c r="I19" s="80">
        <f>+(I6-I13)</f>
        <v>31637375322.845673</v>
      </c>
      <c r="J19" s="80">
        <f t="shared" si="8"/>
        <v>33562209279.154</v>
      </c>
      <c r="K19" s="80">
        <f t="shared" si="8"/>
        <v>34805975557.528625</v>
      </c>
      <c r="L19" s="80">
        <f t="shared" si="8"/>
        <v>35850154824.254486</v>
      </c>
      <c r="M19" s="80">
        <f t="shared" si="8"/>
        <v>36925659468.982124</v>
      </c>
      <c r="N19" s="80">
        <f t="shared" si="8"/>
        <v>38033429253.05158</v>
      </c>
      <c r="O19" s="80">
        <f>+(O6-O13)</f>
        <v>39174432130.64313</v>
      </c>
      <c r="P19" s="80">
        <f>+(P6-P13)</f>
        <v>40043963825.59396</v>
      </c>
      <c r="Q19" s="80">
        <f>+(Q6-Q13)</f>
        <v>41245282740.36179</v>
      </c>
      <c r="R19" s="80">
        <f>+(R6-R13)</f>
        <v>42481517732.78514</v>
      </c>
      <c r="S19" s="80">
        <f>+(S6-S13)</f>
        <v>43755963264.76871</v>
      </c>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row>
    <row r="20" spans="1:65" s="82" customFormat="1" ht="21" customHeight="1" thickBot="1">
      <c r="A20" s="111" t="s">
        <v>331</v>
      </c>
      <c r="B20" s="112" t="s">
        <v>332</v>
      </c>
      <c r="C20" s="113"/>
      <c r="D20" s="114">
        <v>1.05</v>
      </c>
      <c r="E20" s="115"/>
      <c r="F20" s="116">
        <v>1.03</v>
      </c>
      <c r="G20" s="116">
        <v>1.03</v>
      </c>
      <c r="H20" s="116">
        <v>1.03</v>
      </c>
      <c r="I20" s="116">
        <v>1.03</v>
      </c>
      <c r="J20" s="116">
        <v>1.03</v>
      </c>
      <c r="K20" s="116">
        <v>1.03</v>
      </c>
      <c r="L20" s="116">
        <v>1.03</v>
      </c>
      <c r="M20" s="116">
        <v>1.03</v>
      </c>
      <c r="N20" s="116">
        <v>1.03</v>
      </c>
      <c r="O20" s="116">
        <v>1.03</v>
      </c>
      <c r="P20" s="116">
        <v>1.03</v>
      </c>
      <c r="Q20" s="116">
        <v>1.03</v>
      </c>
      <c r="R20" s="116">
        <v>1.03</v>
      </c>
      <c r="S20" s="116">
        <v>1.03</v>
      </c>
      <c r="T20" s="81"/>
      <c r="U20" s="117"/>
      <c r="V20" s="117"/>
      <c r="W20" s="117"/>
      <c r="X20" s="117"/>
      <c r="Y20" s="117"/>
      <c r="Z20" s="117"/>
      <c r="AA20" s="117"/>
      <c r="AB20" s="117"/>
      <c r="AC20" s="117"/>
      <c r="AD20" s="117"/>
      <c r="AE20" s="117"/>
      <c r="AF20" s="117"/>
      <c r="AG20" s="117"/>
      <c r="AH20" s="117"/>
      <c r="AI20" s="117"/>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row>
    <row r="21" spans="1:19" s="81" customFormat="1" ht="21" customHeight="1" thickBot="1">
      <c r="A21" s="118" t="s">
        <v>333</v>
      </c>
      <c r="B21" s="119" t="s">
        <v>334</v>
      </c>
      <c r="C21" s="120"/>
      <c r="D21" s="121"/>
      <c r="E21" s="121"/>
      <c r="F21" s="122"/>
      <c r="G21" s="122"/>
      <c r="H21" s="122"/>
      <c r="I21" s="122"/>
      <c r="J21" s="122"/>
      <c r="K21" s="122"/>
      <c r="L21" s="122"/>
      <c r="M21" s="122"/>
      <c r="N21" s="122"/>
      <c r="O21" s="122"/>
      <c r="P21" s="122"/>
      <c r="Q21" s="122"/>
      <c r="R21" s="122"/>
      <c r="S21" s="122"/>
    </row>
    <row r="22" spans="1:65" s="82" customFormat="1" ht="21" customHeight="1">
      <c r="A22" s="76" t="s">
        <v>335</v>
      </c>
      <c r="B22" s="108" t="s">
        <v>336</v>
      </c>
      <c r="C22" s="123"/>
      <c r="D22" s="79">
        <f aca="true" t="shared" si="9" ref="D22:N22">SUM(D23:D26)-D27</f>
        <v>0</v>
      </c>
      <c r="E22" s="78">
        <f t="shared" si="9"/>
        <v>0</v>
      </c>
      <c r="F22" s="80">
        <f t="shared" si="9"/>
        <v>0</v>
      </c>
      <c r="G22" s="80">
        <f t="shared" si="9"/>
        <v>0</v>
      </c>
      <c r="H22" s="80">
        <f t="shared" si="9"/>
        <v>0</v>
      </c>
      <c r="I22" s="80">
        <f t="shared" si="9"/>
        <v>0</v>
      </c>
      <c r="J22" s="80">
        <f t="shared" si="9"/>
        <v>0</v>
      </c>
      <c r="K22" s="80">
        <f t="shared" si="9"/>
        <v>0</v>
      </c>
      <c r="L22" s="80">
        <f t="shared" si="9"/>
        <v>0</v>
      </c>
      <c r="M22" s="80">
        <f t="shared" si="9"/>
        <v>0</v>
      </c>
      <c r="N22" s="80">
        <f t="shared" si="9"/>
        <v>0</v>
      </c>
      <c r="O22" s="80">
        <f>SUM(O23:O26)-O27</f>
        <v>0</v>
      </c>
      <c r="P22" s="80">
        <f>SUM(P23:P26)-P27</f>
        <v>0</v>
      </c>
      <c r="Q22" s="80">
        <f>SUM(Q23:Q26)-Q27</f>
        <v>0</v>
      </c>
      <c r="R22" s="80">
        <f>SUM(R23:R26)-R27</f>
        <v>0</v>
      </c>
      <c r="S22" s="80">
        <f>SUM(S23:S26)-S27</f>
        <v>0</v>
      </c>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row>
    <row r="23" spans="1:65" s="82" customFormat="1" ht="21" customHeight="1">
      <c r="A23" s="124" t="s">
        <v>337</v>
      </c>
      <c r="B23" s="125" t="s">
        <v>338</v>
      </c>
      <c r="C23" s="126"/>
      <c r="D23" s="127"/>
      <c r="E23" s="86">
        <f>+D23</f>
        <v>0</v>
      </c>
      <c r="F23" s="128"/>
      <c r="G23" s="128">
        <f>+F38</f>
        <v>0</v>
      </c>
      <c r="H23" s="512">
        <f aca="true" t="shared" si="10" ref="H23:N23">+G38</f>
        <v>0</v>
      </c>
      <c r="I23" s="512">
        <f t="shared" si="10"/>
        <v>0</v>
      </c>
      <c r="J23" s="512">
        <v>0</v>
      </c>
      <c r="K23" s="512">
        <f t="shared" si="10"/>
        <v>0</v>
      </c>
      <c r="L23" s="512">
        <f t="shared" si="10"/>
        <v>0</v>
      </c>
      <c r="M23" s="512">
        <f t="shared" si="10"/>
        <v>0</v>
      </c>
      <c r="N23" s="512">
        <f t="shared" si="10"/>
        <v>0</v>
      </c>
      <c r="O23" s="512">
        <v>0</v>
      </c>
      <c r="P23" s="512">
        <v>0</v>
      </c>
      <c r="Q23" s="512">
        <v>0</v>
      </c>
      <c r="R23" s="512">
        <v>0</v>
      </c>
      <c r="S23" s="512">
        <v>0</v>
      </c>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row>
    <row r="24" spans="1:65" s="82" customFormat="1" ht="21" customHeight="1">
      <c r="A24" s="129" t="s">
        <v>339</v>
      </c>
      <c r="B24" s="125" t="s">
        <v>340</v>
      </c>
      <c r="C24" s="130"/>
      <c r="D24" s="127"/>
      <c r="E24" s="86">
        <f>+D24</f>
        <v>0</v>
      </c>
      <c r="F24" s="131"/>
      <c r="G24" s="131"/>
      <c r="H24" s="131"/>
      <c r="I24" s="131"/>
      <c r="J24" s="131"/>
      <c r="K24" s="131"/>
      <c r="L24" s="131"/>
      <c r="M24" s="131"/>
      <c r="N24" s="131"/>
      <c r="O24" s="131"/>
      <c r="P24" s="131"/>
      <c r="Q24" s="131"/>
      <c r="R24" s="131"/>
      <c r="S24" s="13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row>
    <row r="25" spans="1:65" s="82" customFormat="1" ht="21" customHeight="1">
      <c r="A25" s="124" t="s">
        <v>341</v>
      </c>
      <c r="B25" s="125" t="s">
        <v>342</v>
      </c>
      <c r="C25" s="127"/>
      <c r="D25" s="86" t="s">
        <v>343</v>
      </c>
      <c r="E25" s="86">
        <f>+E65-E18</f>
        <v>0</v>
      </c>
      <c r="F25" s="87" t="s">
        <v>343</v>
      </c>
      <c r="G25" s="87" t="s">
        <v>343</v>
      </c>
      <c r="H25" s="87" t="s">
        <v>343</v>
      </c>
      <c r="I25" s="87" t="s">
        <v>343</v>
      </c>
      <c r="J25" s="87" t="s">
        <v>343</v>
      </c>
      <c r="K25" s="87" t="s">
        <v>343</v>
      </c>
      <c r="L25" s="87" t="s">
        <v>343</v>
      </c>
      <c r="M25" s="87" t="s">
        <v>343</v>
      </c>
      <c r="N25" s="87" t="s">
        <v>343</v>
      </c>
      <c r="O25" s="87" t="s">
        <v>343</v>
      </c>
      <c r="P25" s="87" t="s">
        <v>343</v>
      </c>
      <c r="Q25" s="87" t="s">
        <v>343</v>
      </c>
      <c r="R25" s="87" t="s">
        <v>343</v>
      </c>
      <c r="S25" s="87" t="s">
        <v>343</v>
      </c>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row>
    <row r="26" spans="1:65" s="82" customFormat="1" ht="21" customHeight="1">
      <c r="A26" s="132" t="s">
        <v>344</v>
      </c>
      <c r="B26" s="125" t="s">
        <v>345</v>
      </c>
      <c r="C26" s="127"/>
      <c r="D26" s="86" t="s">
        <v>343</v>
      </c>
      <c r="E26" s="127"/>
      <c r="F26" s="87" t="s">
        <v>343</v>
      </c>
      <c r="G26" s="87" t="s">
        <v>343</v>
      </c>
      <c r="H26" s="87" t="s">
        <v>343</v>
      </c>
      <c r="I26" s="87" t="s">
        <v>343</v>
      </c>
      <c r="J26" s="87" t="s">
        <v>343</v>
      </c>
      <c r="K26" s="87" t="s">
        <v>343</v>
      </c>
      <c r="L26" s="87" t="s">
        <v>343</v>
      </c>
      <c r="M26" s="87" t="s">
        <v>343</v>
      </c>
      <c r="N26" s="87" t="s">
        <v>343</v>
      </c>
      <c r="O26" s="87" t="s">
        <v>343</v>
      </c>
      <c r="P26" s="87" t="s">
        <v>343</v>
      </c>
      <c r="Q26" s="87" t="s">
        <v>343</v>
      </c>
      <c r="R26" s="87" t="s">
        <v>343</v>
      </c>
      <c r="S26" s="87" t="s">
        <v>343</v>
      </c>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row>
    <row r="27" spans="1:65" s="82" customFormat="1" ht="21" customHeight="1">
      <c r="A27" s="133" t="s">
        <v>346</v>
      </c>
      <c r="B27" s="125" t="s">
        <v>347</v>
      </c>
      <c r="C27" s="134"/>
      <c r="D27" s="97">
        <f aca="true" t="shared" si="11" ref="D27:N27">+D28+D29</f>
        <v>0</v>
      </c>
      <c r="E27" s="97">
        <f t="shared" si="11"/>
        <v>0</v>
      </c>
      <c r="F27" s="98">
        <f t="shared" si="11"/>
        <v>0</v>
      </c>
      <c r="G27" s="98">
        <f t="shared" si="11"/>
        <v>0</v>
      </c>
      <c r="H27" s="98">
        <f t="shared" si="11"/>
        <v>0</v>
      </c>
      <c r="I27" s="98">
        <f t="shared" si="11"/>
        <v>0</v>
      </c>
      <c r="J27" s="98">
        <f t="shared" si="11"/>
        <v>0</v>
      </c>
      <c r="K27" s="98">
        <f t="shared" si="11"/>
        <v>0</v>
      </c>
      <c r="L27" s="98">
        <f t="shared" si="11"/>
        <v>0</v>
      </c>
      <c r="M27" s="98">
        <f t="shared" si="11"/>
        <v>0</v>
      </c>
      <c r="N27" s="98">
        <f t="shared" si="11"/>
        <v>0</v>
      </c>
      <c r="O27" s="98">
        <f>+O28+O29</f>
        <v>0</v>
      </c>
      <c r="P27" s="98">
        <f>+P28+P29</f>
        <v>0</v>
      </c>
      <c r="Q27" s="98">
        <f>+Q28+Q29</f>
        <v>0</v>
      </c>
      <c r="R27" s="98">
        <f>+R28+R29</f>
        <v>0</v>
      </c>
      <c r="S27" s="98">
        <f>+S28+S29</f>
        <v>0</v>
      </c>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5" s="82" customFormat="1" ht="21" customHeight="1">
      <c r="A28" s="135" t="s">
        <v>348</v>
      </c>
      <c r="B28" s="136" t="s">
        <v>349</v>
      </c>
      <c r="C28" s="137"/>
      <c r="D28" s="127"/>
      <c r="E28" s="138">
        <f>+D28</f>
        <v>0</v>
      </c>
      <c r="F28" s="131"/>
      <c r="G28" s="131"/>
      <c r="H28" s="131"/>
      <c r="I28" s="131"/>
      <c r="J28" s="131"/>
      <c r="K28" s="131"/>
      <c r="L28" s="131"/>
      <c r="M28" s="131"/>
      <c r="N28" s="131"/>
      <c r="O28" s="131"/>
      <c r="P28" s="131"/>
      <c r="Q28" s="131"/>
      <c r="R28" s="131"/>
      <c r="S28" s="13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row>
    <row r="29" spans="1:65" s="140" customFormat="1" ht="21" customHeight="1">
      <c r="A29" s="124" t="s">
        <v>350</v>
      </c>
      <c r="B29" s="125" t="s">
        <v>351</v>
      </c>
      <c r="C29" s="134"/>
      <c r="D29" s="127"/>
      <c r="E29" s="86">
        <f>+D29</f>
        <v>0</v>
      </c>
      <c r="F29" s="131"/>
      <c r="G29" s="131"/>
      <c r="H29" s="131"/>
      <c r="I29" s="131"/>
      <c r="J29" s="131"/>
      <c r="K29" s="131"/>
      <c r="L29" s="131"/>
      <c r="M29" s="131"/>
      <c r="N29" s="131"/>
      <c r="O29" s="131"/>
      <c r="P29" s="131"/>
      <c r="Q29" s="131"/>
      <c r="R29" s="131"/>
      <c r="S29" s="131"/>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row>
    <row r="30" spans="1:65" s="82" customFormat="1" ht="21" customHeight="1">
      <c r="A30" s="141" t="s">
        <v>352</v>
      </c>
      <c r="B30" s="142" t="s">
        <v>353</v>
      </c>
      <c r="C30" s="134"/>
      <c r="D30" s="97">
        <f>SUM(D31:D32)</f>
        <v>0</v>
      </c>
      <c r="E30" s="97">
        <f aca="true" t="shared" si="12" ref="E30:Q30">+E31+E32</f>
        <v>0</v>
      </c>
      <c r="F30" s="98">
        <f t="shared" si="12"/>
        <v>0</v>
      </c>
      <c r="G30" s="98">
        <f t="shared" si="12"/>
        <v>0</v>
      </c>
      <c r="H30" s="98">
        <f t="shared" si="12"/>
        <v>0</v>
      </c>
      <c r="I30" s="98">
        <f t="shared" si="12"/>
        <v>0</v>
      </c>
      <c r="J30" s="98">
        <f t="shared" si="12"/>
        <v>0</v>
      </c>
      <c r="K30" s="98">
        <f t="shared" si="12"/>
        <v>0</v>
      </c>
      <c r="L30" s="98">
        <f t="shared" si="12"/>
        <v>0</v>
      </c>
      <c r="M30" s="98">
        <f t="shared" si="12"/>
        <v>0</v>
      </c>
      <c r="N30" s="98">
        <f t="shared" si="12"/>
        <v>0</v>
      </c>
      <c r="O30" s="98">
        <f t="shared" si="12"/>
        <v>0</v>
      </c>
      <c r="P30" s="98">
        <f>+P31+P32</f>
        <v>0</v>
      </c>
      <c r="Q30" s="98">
        <f t="shared" si="12"/>
        <v>0</v>
      </c>
      <c r="R30" s="98">
        <f>+R31+R32</f>
        <v>0</v>
      </c>
      <c r="S30" s="98">
        <f>+S31+S32</f>
        <v>0</v>
      </c>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row>
    <row r="31" spans="1:65" s="82" customFormat="1" ht="21" customHeight="1">
      <c r="A31" s="129" t="s">
        <v>354</v>
      </c>
      <c r="B31" s="125" t="s">
        <v>355</v>
      </c>
      <c r="C31" s="134">
        <v>1</v>
      </c>
      <c r="D31" s="127"/>
      <c r="E31" s="86">
        <f>+D31</f>
        <v>0</v>
      </c>
      <c r="F31" s="131"/>
      <c r="G31" s="131"/>
      <c r="H31" s="131"/>
      <c r="I31" s="131"/>
      <c r="J31" s="131"/>
      <c r="K31" s="131"/>
      <c r="L31" s="131"/>
      <c r="M31" s="131"/>
      <c r="N31" s="131"/>
      <c r="O31" s="131"/>
      <c r="P31" s="131"/>
      <c r="Q31" s="131"/>
      <c r="R31" s="131"/>
      <c r="S31" s="13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row>
    <row r="32" spans="1:65" s="82" customFormat="1" ht="21" customHeight="1" thickBot="1">
      <c r="A32" s="143" t="s">
        <v>356</v>
      </c>
      <c r="B32" s="144" t="s">
        <v>357</v>
      </c>
      <c r="C32" s="145"/>
      <c r="D32" s="146"/>
      <c r="E32" s="147">
        <f>+D32</f>
        <v>0</v>
      </c>
      <c r="F32" s="148"/>
      <c r="G32" s="148"/>
      <c r="H32" s="148"/>
      <c r="I32" s="148"/>
      <c r="J32" s="148"/>
      <c r="K32" s="148"/>
      <c r="L32" s="148"/>
      <c r="M32" s="148"/>
      <c r="N32" s="148"/>
      <c r="O32" s="148"/>
      <c r="P32" s="148"/>
      <c r="Q32" s="148"/>
      <c r="R32" s="148"/>
      <c r="S32" s="148"/>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row>
    <row r="33" spans="1:19" s="81" customFormat="1" ht="21" customHeight="1" thickBot="1">
      <c r="A33" s="149" t="s">
        <v>358</v>
      </c>
      <c r="B33" s="119" t="s">
        <v>359</v>
      </c>
      <c r="C33" s="120"/>
      <c r="D33" s="121"/>
      <c r="E33" s="121"/>
      <c r="F33" s="150"/>
      <c r="G33" s="150"/>
      <c r="H33" s="150"/>
      <c r="I33" s="150"/>
      <c r="J33" s="150"/>
      <c r="K33" s="150"/>
      <c r="L33" s="150"/>
      <c r="M33" s="150"/>
      <c r="N33" s="150"/>
      <c r="O33" s="150"/>
      <c r="P33" s="150"/>
      <c r="Q33" s="150"/>
      <c r="R33" s="150"/>
      <c r="S33" s="150"/>
    </row>
    <row r="34" spans="1:65" s="82" customFormat="1" ht="21" customHeight="1">
      <c r="A34" s="151" t="s">
        <v>360</v>
      </c>
      <c r="B34" s="152" t="s">
        <v>361</v>
      </c>
      <c r="C34" s="153">
        <v>0</v>
      </c>
      <c r="D34" s="154"/>
      <c r="E34" s="155"/>
      <c r="F34" s="154"/>
      <c r="G34" s="154"/>
      <c r="H34" s="154"/>
      <c r="I34" s="154"/>
      <c r="J34" s="154"/>
      <c r="K34" s="154"/>
      <c r="L34" s="154"/>
      <c r="M34" s="154"/>
      <c r="N34" s="154"/>
      <c r="O34" s="154"/>
      <c r="P34" s="154"/>
      <c r="Q34" s="154"/>
      <c r="R34" s="154"/>
      <c r="S34" s="154"/>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row>
    <row r="35" spans="1:65" s="82" customFormat="1" ht="21" customHeight="1">
      <c r="A35" s="129" t="s">
        <v>362</v>
      </c>
      <c r="B35" s="125" t="s">
        <v>363</v>
      </c>
      <c r="C35" s="156">
        <v>0</v>
      </c>
      <c r="D35" s="156"/>
      <c r="E35" s="99">
        <f>+D35</f>
        <v>0</v>
      </c>
      <c r="F35" s="131"/>
      <c r="G35" s="131"/>
      <c r="H35" s="131"/>
      <c r="I35" s="131"/>
      <c r="J35" s="131"/>
      <c r="K35" s="131"/>
      <c r="L35" s="131"/>
      <c r="M35" s="131"/>
      <c r="N35" s="131"/>
      <c r="O35" s="131"/>
      <c r="P35" s="131"/>
      <c r="Q35" s="131"/>
      <c r="R35" s="131"/>
      <c r="S35" s="13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row>
    <row r="36" spans="1:65" s="82" customFormat="1" ht="21" customHeight="1" thickBot="1">
      <c r="A36" s="143" t="s">
        <v>364</v>
      </c>
      <c r="B36" s="144" t="s">
        <v>365</v>
      </c>
      <c r="C36" s="157">
        <v>0</v>
      </c>
      <c r="D36" s="157"/>
      <c r="E36" s="105">
        <f>+D36</f>
        <v>0</v>
      </c>
      <c r="F36" s="148"/>
      <c r="G36" s="148"/>
      <c r="H36" s="148"/>
      <c r="I36" s="148"/>
      <c r="J36" s="148"/>
      <c r="K36" s="148"/>
      <c r="L36" s="148"/>
      <c r="M36" s="148"/>
      <c r="N36" s="148"/>
      <c r="O36" s="148"/>
      <c r="P36" s="148"/>
      <c r="Q36" s="148"/>
      <c r="R36" s="148"/>
      <c r="S36" s="148"/>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row>
    <row r="37" spans="1:19" s="139" customFormat="1" ht="21" customHeight="1" thickBot="1">
      <c r="A37" s="149" t="s">
        <v>366</v>
      </c>
      <c r="B37" s="158" t="s">
        <v>367</v>
      </c>
      <c r="C37" s="159"/>
      <c r="D37" s="160"/>
      <c r="E37" s="160"/>
      <c r="F37" s="160"/>
      <c r="G37" s="160"/>
      <c r="H37" s="160"/>
      <c r="I37" s="160"/>
      <c r="J37" s="160"/>
      <c r="K37" s="160"/>
      <c r="L37" s="160"/>
      <c r="M37" s="160"/>
      <c r="N37" s="160"/>
      <c r="O37" s="160"/>
      <c r="P37" s="160"/>
      <c r="Q37" s="160"/>
      <c r="R37" s="160"/>
      <c r="S37" s="160"/>
    </row>
    <row r="38" spans="1:65" s="82" customFormat="1" ht="21" customHeight="1" thickBot="1">
      <c r="A38" s="161" t="s">
        <v>368</v>
      </c>
      <c r="B38" s="108" t="s">
        <v>369</v>
      </c>
      <c r="C38" s="153">
        <f>+C22+C34-C35</f>
        <v>0</v>
      </c>
      <c r="D38" s="78">
        <f>+D22+D34-D35</f>
        <v>0</v>
      </c>
      <c r="E38" s="78">
        <f>+E22+E34-E35</f>
        <v>0</v>
      </c>
      <c r="F38" s="162">
        <f>+F22+F34-F35</f>
        <v>0</v>
      </c>
      <c r="G38" s="162">
        <f aca="true" t="shared" si="13" ref="G38:N38">+G22+G34-G35</f>
        <v>0</v>
      </c>
      <c r="H38" s="162">
        <f t="shared" si="13"/>
        <v>0</v>
      </c>
      <c r="I38" s="162">
        <f t="shared" si="13"/>
        <v>0</v>
      </c>
      <c r="J38" s="162">
        <f t="shared" si="13"/>
        <v>0</v>
      </c>
      <c r="K38" s="162">
        <f t="shared" si="13"/>
        <v>0</v>
      </c>
      <c r="L38" s="162">
        <f t="shared" si="13"/>
        <v>0</v>
      </c>
      <c r="M38" s="162">
        <f t="shared" si="13"/>
        <v>0</v>
      </c>
      <c r="N38" s="162">
        <f t="shared" si="13"/>
        <v>0</v>
      </c>
      <c r="O38" s="162">
        <f>+O22+O34-O35</f>
        <v>0</v>
      </c>
      <c r="P38" s="162">
        <f>+P22+P34-P35</f>
        <v>0</v>
      </c>
      <c r="Q38" s="162">
        <f>+Q22+Q34-Q35</f>
        <v>0</v>
      </c>
      <c r="R38" s="162">
        <f>+R22+R34-R35</f>
        <v>0</v>
      </c>
      <c r="S38" s="162">
        <f>+S22+S34-S35</f>
        <v>0</v>
      </c>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row>
    <row r="39" spans="1:65" s="82" customFormat="1" ht="21" customHeight="1" thickBot="1">
      <c r="A39" s="163" t="s">
        <v>370</v>
      </c>
      <c r="B39" s="104" t="s">
        <v>371</v>
      </c>
      <c r="C39" s="153">
        <f>+C30+C36</f>
        <v>0</v>
      </c>
      <c r="D39" s="164">
        <f>+D30+D36</f>
        <v>0</v>
      </c>
      <c r="E39" s="164">
        <f>+E30+E36</f>
        <v>0</v>
      </c>
      <c r="F39" s="165">
        <f>+F30+F36</f>
        <v>0</v>
      </c>
      <c r="G39" s="165">
        <f aca="true" t="shared" si="14" ref="G39:N39">+G30+G36</f>
        <v>0</v>
      </c>
      <c r="H39" s="165">
        <f t="shared" si="14"/>
        <v>0</v>
      </c>
      <c r="I39" s="165">
        <f t="shared" si="14"/>
        <v>0</v>
      </c>
      <c r="J39" s="165">
        <f t="shared" si="14"/>
        <v>0</v>
      </c>
      <c r="K39" s="165">
        <f t="shared" si="14"/>
        <v>0</v>
      </c>
      <c r="L39" s="165">
        <f t="shared" si="14"/>
        <v>0</v>
      </c>
      <c r="M39" s="165">
        <f t="shared" si="14"/>
        <v>0</v>
      </c>
      <c r="N39" s="165">
        <f t="shared" si="14"/>
        <v>0</v>
      </c>
      <c r="O39" s="165">
        <f>+O30+O36</f>
        <v>0</v>
      </c>
      <c r="P39" s="165">
        <f>+P30+P36</f>
        <v>0</v>
      </c>
      <c r="Q39" s="165">
        <f>+Q30+Q36</f>
        <v>0</v>
      </c>
      <c r="R39" s="165">
        <f>+R30+R36</f>
        <v>0</v>
      </c>
      <c r="S39" s="165">
        <f>+S30+S36</f>
        <v>0</v>
      </c>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row>
    <row r="40" spans="1:65" s="82" customFormat="1" ht="21" customHeight="1" thickBot="1">
      <c r="A40" s="166" t="s">
        <v>372</v>
      </c>
      <c r="B40" s="77" t="s">
        <v>373</v>
      </c>
      <c r="C40" s="167" t="e">
        <f>+C39/C19</f>
        <v>#DIV/0!</v>
      </c>
      <c r="D40" s="168" t="e">
        <f>+D39/D19</f>
        <v>#REF!</v>
      </c>
      <c r="E40" s="168" t="e">
        <f>+E39/E19</f>
        <v>#REF!</v>
      </c>
      <c r="F40" s="169">
        <f aca="true" t="shared" si="15" ref="F40:N40">+F39/F19</f>
        <v>0</v>
      </c>
      <c r="G40" s="169" t="e">
        <f t="shared" si="15"/>
        <v>#REF!</v>
      </c>
      <c r="H40" s="169">
        <f t="shared" si="15"/>
        <v>0</v>
      </c>
      <c r="I40" s="169">
        <f t="shared" si="15"/>
        <v>0</v>
      </c>
      <c r="J40" s="169">
        <f t="shared" si="15"/>
        <v>0</v>
      </c>
      <c r="K40" s="169">
        <f t="shared" si="15"/>
        <v>0</v>
      </c>
      <c r="L40" s="169">
        <f t="shared" si="15"/>
        <v>0</v>
      </c>
      <c r="M40" s="169">
        <f t="shared" si="15"/>
        <v>0</v>
      </c>
      <c r="N40" s="169">
        <f t="shared" si="15"/>
        <v>0</v>
      </c>
      <c r="O40" s="169">
        <f>+O39/O19</f>
        <v>0</v>
      </c>
      <c r="P40" s="169">
        <f>+P39/P19</f>
        <v>0</v>
      </c>
      <c r="Q40" s="169">
        <f>+Q39/Q19</f>
        <v>0</v>
      </c>
      <c r="R40" s="169">
        <f>+R39/R19</f>
        <v>0</v>
      </c>
      <c r="S40" s="169">
        <f>+S39/S19</f>
        <v>0</v>
      </c>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row>
    <row r="41" spans="1:65" s="82" customFormat="1" ht="21" customHeight="1" thickBot="1">
      <c r="A41" s="170" t="s">
        <v>374</v>
      </c>
      <c r="B41" s="171" t="s">
        <v>375</v>
      </c>
      <c r="C41" s="167" t="e">
        <f>+C38/C6</f>
        <v>#DIV/0!</v>
      </c>
      <c r="D41" s="172" t="e">
        <f>D38/D6</f>
        <v>#REF!</v>
      </c>
      <c r="E41" s="172" t="e">
        <f>E38/E6</f>
        <v>#REF!</v>
      </c>
      <c r="F41" s="173">
        <f>F38/F6</f>
        <v>0</v>
      </c>
      <c r="G41" s="173">
        <f aca="true" t="shared" si="16" ref="G41:N41">G38/G6</f>
        <v>0</v>
      </c>
      <c r="H41" s="173">
        <f t="shared" si="16"/>
        <v>0</v>
      </c>
      <c r="I41" s="173">
        <f t="shared" si="16"/>
        <v>0</v>
      </c>
      <c r="J41" s="173">
        <f t="shared" si="16"/>
        <v>0</v>
      </c>
      <c r="K41" s="173">
        <f t="shared" si="16"/>
        <v>0</v>
      </c>
      <c r="L41" s="173">
        <f t="shared" si="16"/>
        <v>0</v>
      </c>
      <c r="M41" s="173">
        <f t="shared" si="16"/>
        <v>0</v>
      </c>
      <c r="N41" s="173">
        <f t="shared" si="16"/>
        <v>0</v>
      </c>
      <c r="O41" s="173">
        <f>O38/O6</f>
        <v>0</v>
      </c>
      <c r="P41" s="173">
        <f>P38/P6</f>
        <v>0</v>
      </c>
      <c r="Q41" s="173">
        <f>Q38/Q6</f>
        <v>0</v>
      </c>
      <c r="R41" s="173">
        <f>R38/R6</f>
        <v>0</v>
      </c>
      <c r="S41" s="173">
        <f>S38/S6</f>
        <v>0</v>
      </c>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row>
    <row r="42" spans="1:65" s="82" customFormat="1" ht="36.75" customHeight="1" thickBot="1">
      <c r="A42" s="174" t="s">
        <v>376</v>
      </c>
      <c r="B42" s="175" t="s">
        <v>377</v>
      </c>
      <c r="C42" s="176"/>
      <c r="D42" s="177" t="e">
        <f aca="true" t="shared" si="17" ref="D42:N42">IF(D40&lt;0,"AHORRO NEGATIVO",IF(D41&gt;0.8,"ROJO",IF(D40&gt;0.4,"ROJO",IF(D40&lt;=0.4,"VERDE"))))</f>
        <v>#REF!</v>
      </c>
      <c r="E42" s="177" t="e">
        <f t="shared" si="17"/>
        <v>#REF!</v>
      </c>
      <c r="F42" s="178" t="str">
        <f t="shared" si="17"/>
        <v>VERDE</v>
      </c>
      <c r="G42" s="178" t="e">
        <f t="shared" si="17"/>
        <v>#REF!</v>
      </c>
      <c r="H42" s="178" t="str">
        <f t="shared" si="17"/>
        <v>VERDE</v>
      </c>
      <c r="I42" s="178" t="str">
        <f t="shared" si="17"/>
        <v>VERDE</v>
      </c>
      <c r="J42" s="178" t="str">
        <f t="shared" si="17"/>
        <v>VERDE</v>
      </c>
      <c r="K42" s="178" t="str">
        <f t="shared" si="17"/>
        <v>VERDE</v>
      </c>
      <c r="L42" s="178" t="str">
        <f t="shared" si="17"/>
        <v>VERDE</v>
      </c>
      <c r="M42" s="178" t="str">
        <f t="shared" si="17"/>
        <v>VERDE</v>
      </c>
      <c r="N42" s="178" t="str">
        <f t="shared" si="17"/>
        <v>VERDE</v>
      </c>
      <c r="O42" s="178" t="str">
        <f>IF(O40&lt;0,"AHORRO NEGATIVO",IF(O41&gt;0.8,"ROJO",IF(O40&gt;0.4,"ROJO",IF(O40&lt;=0.4,"VERDE"))))</f>
        <v>VERDE</v>
      </c>
      <c r="P42" s="178" t="str">
        <f>IF(P40&lt;0,"AHORRO NEGATIVO",IF(P41&gt;0.8,"ROJO",IF(P40&gt;0.4,"ROJO",IF(P40&lt;=0.4,"VERDE"))))</f>
        <v>VERDE</v>
      </c>
      <c r="Q42" s="178" t="str">
        <f>IF(Q40&lt;0,"AHORRO NEGATIVO",IF(Q41&gt;0.8,"ROJO",IF(Q40&gt;0.4,"ROJO",IF(Q40&lt;=0.4,"VERDE"))))</f>
        <v>VERDE</v>
      </c>
      <c r="R42" s="178" t="str">
        <f>IF(R40&lt;0,"AHORRO NEGATIVO",IF(R41&gt;0.8,"ROJO",IF(R40&gt;0.4,"ROJO",IF(R40&lt;=0.4,"VERDE"))))</f>
        <v>VERDE</v>
      </c>
      <c r="S42" s="178" t="str">
        <f>IF(S40&lt;0,"AHORRO NEGATIVO",IF(S41&gt;0.8,"ROJO",IF(S40&gt;0.4,"ROJO",IF(S40&lt;=0.4,"VERDE"))))</f>
        <v>VERDE</v>
      </c>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row>
    <row r="43" spans="1:19" ht="15">
      <c r="A43" s="61" t="s">
        <v>378</v>
      </c>
      <c r="B43" s="61"/>
      <c r="C43" s="179"/>
      <c r="D43" s="61"/>
      <c r="E43" s="61"/>
      <c r="F43" s="180"/>
      <c r="G43" s="180"/>
      <c r="H43" s="180"/>
      <c r="I43" s="180"/>
      <c r="J43" s="180"/>
      <c r="K43" s="180"/>
      <c r="L43" s="180"/>
      <c r="M43" s="180"/>
      <c r="N43" s="180"/>
      <c r="O43" s="180"/>
      <c r="P43" s="180"/>
      <c r="Q43" s="180"/>
      <c r="R43" s="180"/>
      <c r="S43" s="180"/>
    </row>
    <row r="44" spans="1:19" ht="5.25" customHeight="1">
      <c r="A44" s="181"/>
      <c r="B44" s="179"/>
      <c r="C44" s="182"/>
      <c r="D44" s="183"/>
      <c r="E44" s="61"/>
      <c r="F44" s="184"/>
      <c r="G44" s="184"/>
      <c r="H44" s="184"/>
      <c r="I44" s="184"/>
      <c r="J44" s="184"/>
      <c r="K44" s="184"/>
      <c r="L44" s="184"/>
      <c r="M44" s="184"/>
      <c r="N44" s="184"/>
      <c r="O44" s="184"/>
      <c r="P44" s="184"/>
      <c r="Q44" s="184"/>
      <c r="R44" s="184"/>
      <c r="S44" s="184"/>
    </row>
    <row r="45" spans="1:19" ht="5.25" customHeight="1">
      <c r="A45" s="181"/>
      <c r="B45" s="179"/>
      <c r="C45" s="185"/>
      <c r="D45" s="186"/>
      <c r="E45" s="187"/>
      <c r="F45" s="188"/>
      <c r="G45" s="188"/>
      <c r="H45" s="188"/>
      <c r="I45" s="188"/>
      <c r="J45" s="188"/>
      <c r="K45" s="188"/>
      <c r="L45" s="188"/>
      <c r="M45" s="188"/>
      <c r="N45" s="188"/>
      <c r="O45" s="188"/>
      <c r="P45" s="188"/>
      <c r="Q45" s="188"/>
      <c r="R45" s="188"/>
      <c r="S45" s="188"/>
    </row>
    <row r="46" spans="1:19" ht="15">
      <c r="A46" s="189"/>
      <c r="B46" s="190"/>
      <c r="C46" s="191"/>
      <c r="D46" s="192"/>
      <c r="E46" s="192"/>
      <c r="F46" s="193"/>
      <c r="G46" s="193"/>
      <c r="H46" s="193"/>
      <c r="I46" s="193"/>
      <c r="J46" s="193"/>
      <c r="K46" s="193"/>
      <c r="L46" s="193"/>
      <c r="M46" s="193"/>
      <c r="N46" s="193"/>
      <c r="O46" s="193"/>
      <c r="P46" s="193"/>
      <c r="Q46" s="193"/>
      <c r="R46" s="193"/>
      <c r="S46" s="193"/>
    </row>
    <row r="47" spans="1:19" ht="15">
      <c r="A47" s="1428" t="s">
        <v>379</v>
      </c>
      <c r="B47" s="1428"/>
      <c r="C47" s="1428"/>
      <c r="D47" s="1428"/>
      <c r="E47" s="1428"/>
      <c r="F47" s="1428"/>
      <c r="G47" s="1428"/>
      <c r="H47" s="1428"/>
      <c r="I47" s="1428"/>
      <c r="J47" s="1428"/>
      <c r="K47" s="1428"/>
      <c r="L47" s="1428"/>
      <c r="M47" s="1428"/>
      <c r="N47" s="1428"/>
      <c r="O47" s="1428"/>
      <c r="P47" s="1428"/>
      <c r="Q47" s="1428"/>
      <c r="R47" s="195"/>
      <c r="S47" s="195"/>
    </row>
    <row r="48" spans="1:19" ht="15.75" thickBot="1">
      <c r="A48" s="194"/>
      <c r="B48" s="194"/>
      <c r="C48" s="195"/>
      <c r="D48" s="196"/>
      <c r="E48" s="196"/>
      <c r="F48" s="197">
        <f>+F3</f>
        <v>0</v>
      </c>
      <c r="G48" s="197"/>
      <c r="H48" s="197"/>
      <c r="I48" s="197"/>
      <c r="J48" s="197"/>
      <c r="K48" s="197"/>
      <c r="L48" s="197"/>
      <c r="M48" s="197"/>
      <c r="N48" s="197"/>
      <c r="O48" s="197"/>
      <c r="P48" s="197"/>
      <c r="Q48" s="197"/>
      <c r="R48" s="197"/>
      <c r="S48" s="197"/>
    </row>
    <row r="49" spans="1:19" ht="60">
      <c r="A49" s="198" t="s">
        <v>380</v>
      </c>
      <c r="B49" s="65" t="s">
        <v>259</v>
      </c>
      <c r="C49" s="66" t="str">
        <f aca="true" t="shared" si="18" ref="C49:E51">+C4</f>
        <v>EJECUCIONES 
2008</v>
      </c>
      <c r="D49" s="66" t="str">
        <f t="shared" si="18"/>
        <v>VIGENCIA ACTUAL Ley 358/97</v>
      </c>
      <c r="E49" s="66" t="str">
        <f t="shared" si="18"/>
        <v>VIGENCIA ACTUAL Capacidad Real de Pago</v>
      </c>
      <c r="F49" s="199" t="str">
        <f>+F4</f>
        <v>Proyección Capacidad de Pago ley 358/97 Año</v>
      </c>
      <c r="G49" s="199" t="str">
        <f aca="true" t="shared" si="19" ref="G49:Q51">+G4</f>
        <v>Proyección Capacidad de Pago ley 358/97 Año</v>
      </c>
      <c r="H49" s="199" t="str">
        <f t="shared" si="19"/>
        <v>Proyección Capacidad de Pago ley 358/97 Año</v>
      </c>
      <c r="I49" s="199" t="str">
        <f t="shared" si="19"/>
        <v>Proyección Capacidad de Pago ley 358/97 Año</v>
      </c>
      <c r="J49" s="199" t="str">
        <f t="shared" si="19"/>
        <v>Proyección Capacidad de Pago ley 358/97 Año</v>
      </c>
      <c r="K49" s="199" t="str">
        <f t="shared" si="19"/>
        <v>Proyección Capacidad de Pago ley 358/97 Año</v>
      </c>
      <c r="L49" s="199" t="str">
        <f t="shared" si="19"/>
        <v>Proyección Capacidad de Pago ley 358/97 Año</v>
      </c>
      <c r="M49" s="199" t="str">
        <f t="shared" si="19"/>
        <v>Proyección Capacidad de Pago ley 358/97 Año</v>
      </c>
      <c r="N49" s="199" t="str">
        <f t="shared" si="19"/>
        <v>Proyección Capacidad de Pago ley 358/97 Año</v>
      </c>
      <c r="O49" s="199" t="str">
        <f t="shared" si="19"/>
        <v>Proyección Capacidad de Pago ley 358/97 Año</v>
      </c>
      <c r="P49" s="199" t="str">
        <f>+P4</f>
        <v>Proyección Capacidad de Pago ley 358/97 Año</v>
      </c>
      <c r="Q49" s="199" t="str">
        <f t="shared" si="19"/>
        <v>Proyección Capacidad de Pago ley 358/97 Año</v>
      </c>
      <c r="R49" s="199" t="str">
        <f aca="true" t="shared" si="20" ref="R49:S51">+R4</f>
        <v>Proyección Capacidad de Pago ley 358/97 Año</v>
      </c>
      <c r="S49" s="199" t="str">
        <f t="shared" si="20"/>
        <v>Proyección Capacidad de Pago ley 358/97 Año</v>
      </c>
    </row>
    <row r="50" spans="1:19" ht="30.75" customHeight="1" thickBot="1">
      <c r="A50" s="200"/>
      <c r="B50" s="71"/>
      <c r="C50" s="201" t="str">
        <f t="shared" si="18"/>
        <v>VIGENCIA ANTERIOR</v>
      </c>
      <c r="D50" s="202">
        <f t="shared" si="18"/>
        <v>2009</v>
      </c>
      <c r="E50" s="202">
        <f t="shared" si="18"/>
        <v>2009</v>
      </c>
      <c r="F50" s="203">
        <f>+F5</f>
        <v>2010</v>
      </c>
      <c r="G50" s="203">
        <f t="shared" si="19"/>
        <v>2011</v>
      </c>
      <c r="H50" s="203">
        <f t="shared" si="19"/>
        <v>2013</v>
      </c>
      <c r="I50" s="203">
        <f t="shared" si="19"/>
        <v>2014</v>
      </c>
      <c r="J50" s="203">
        <f t="shared" si="19"/>
        <v>2015</v>
      </c>
      <c r="K50" s="203">
        <f t="shared" si="19"/>
        <v>2016</v>
      </c>
      <c r="L50" s="203">
        <f t="shared" si="19"/>
        <v>2017</v>
      </c>
      <c r="M50" s="203">
        <f t="shared" si="19"/>
        <v>2018</v>
      </c>
      <c r="N50" s="203">
        <f t="shared" si="19"/>
        <v>2019</v>
      </c>
      <c r="O50" s="203">
        <f t="shared" si="19"/>
        <v>2020</v>
      </c>
      <c r="P50" s="203">
        <f>+P5</f>
        <v>2021</v>
      </c>
      <c r="Q50" s="203">
        <f t="shared" si="19"/>
        <v>2022</v>
      </c>
      <c r="R50" s="203">
        <f t="shared" si="20"/>
        <v>2023</v>
      </c>
      <c r="S50" s="203">
        <f t="shared" si="20"/>
        <v>2024</v>
      </c>
    </row>
    <row r="51" spans="1:65" s="82" customFormat="1" ht="19.5" customHeight="1">
      <c r="A51" s="204">
        <v>1</v>
      </c>
      <c r="B51" s="205" t="s">
        <v>273</v>
      </c>
      <c r="C51" s="206">
        <f t="shared" si="18"/>
        <v>0</v>
      </c>
      <c r="D51" s="206" t="e">
        <f t="shared" si="18"/>
        <v>#REF!</v>
      </c>
      <c r="E51" s="206" t="e">
        <f t="shared" si="18"/>
        <v>#REF!</v>
      </c>
      <c r="F51" s="207">
        <f>+F6</f>
        <v>263908038487</v>
      </c>
      <c r="G51" s="207">
        <f t="shared" si="19"/>
        <v>318447900467</v>
      </c>
      <c r="H51" s="207">
        <f t="shared" si="19"/>
        <v>333362423919.58997</v>
      </c>
      <c r="I51" s="207">
        <f t="shared" si="19"/>
        <v>41471348158.399994</v>
      </c>
      <c r="J51" s="207">
        <f t="shared" si="19"/>
        <v>42715488603.152</v>
      </c>
      <c r="K51" s="207">
        <f t="shared" si="19"/>
        <v>43996953261.24657</v>
      </c>
      <c r="L51" s="207">
        <f t="shared" si="19"/>
        <v>45316861859.08396</v>
      </c>
      <c r="M51" s="207">
        <f t="shared" si="19"/>
        <v>46676367714.85648</v>
      </c>
      <c r="N51" s="207">
        <f t="shared" si="19"/>
        <v>48076658746.30218</v>
      </c>
      <c r="O51" s="207">
        <f t="shared" si="19"/>
        <v>49518958508.69124</v>
      </c>
      <c r="P51" s="207">
        <f>+P6</f>
        <v>50698825994.98352</v>
      </c>
      <c r="Q51" s="207">
        <f t="shared" si="19"/>
        <v>52219790774.83304</v>
      </c>
      <c r="R51" s="207">
        <f t="shared" si="20"/>
        <v>53785261008.29052</v>
      </c>
      <c r="S51" s="207">
        <f t="shared" si="20"/>
        <v>55398818838.539246</v>
      </c>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row>
    <row r="52" spans="1:65" s="82" customFormat="1" ht="19.5" customHeight="1">
      <c r="A52" s="208">
        <v>2</v>
      </c>
      <c r="B52" s="95" t="s">
        <v>263</v>
      </c>
      <c r="C52" s="97">
        <f aca="true" t="shared" si="21" ref="C52:N52">+C13</f>
        <v>0</v>
      </c>
      <c r="D52" s="97">
        <f t="shared" si="21"/>
        <v>4487608426</v>
      </c>
      <c r="E52" s="97">
        <f t="shared" si="21"/>
        <v>4487608426</v>
      </c>
      <c r="F52" s="98">
        <f t="shared" si="21"/>
        <v>7943854340</v>
      </c>
      <c r="G52" s="98" t="e">
        <f t="shared" si="21"/>
        <v>#REF!</v>
      </c>
      <c r="H52" s="98">
        <f t="shared" si="21"/>
        <v>7934010106</v>
      </c>
      <c r="I52" s="98">
        <f t="shared" si="21"/>
        <v>9833972835.55432</v>
      </c>
      <c r="J52" s="98">
        <f t="shared" si="21"/>
        <v>9153279323.998</v>
      </c>
      <c r="K52" s="98">
        <f t="shared" si="21"/>
        <v>9190977703.71794</v>
      </c>
      <c r="L52" s="98">
        <f t="shared" si="21"/>
        <v>9466707034.82948</v>
      </c>
      <c r="M52" s="98">
        <f t="shared" si="21"/>
        <v>9750708245.874361</v>
      </c>
      <c r="N52" s="98">
        <f t="shared" si="21"/>
        <v>10043229493.250595</v>
      </c>
      <c r="O52" s="98">
        <f>+O13</f>
        <v>10344526378.048113</v>
      </c>
      <c r="P52" s="98">
        <f>+P13</f>
        <v>10654862169.389553</v>
      </c>
      <c r="Q52" s="98">
        <f>+Q13</f>
        <v>10974508034.471243</v>
      </c>
      <c r="R52" s="98">
        <f>+R13</f>
        <v>11303743275.50538</v>
      </c>
      <c r="S52" s="98">
        <f>+S13</f>
        <v>11642855573.77054</v>
      </c>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row>
    <row r="53" spans="1:65" s="82" customFormat="1" ht="19.5" customHeight="1">
      <c r="A53" s="208">
        <v>3</v>
      </c>
      <c r="B53" s="142" t="s">
        <v>330</v>
      </c>
      <c r="C53" s="97">
        <f aca="true" t="shared" si="22" ref="C53:N53">+C19</f>
        <v>0</v>
      </c>
      <c r="D53" s="97" t="e">
        <f t="shared" si="22"/>
        <v>#REF!</v>
      </c>
      <c r="E53" s="97" t="e">
        <f t="shared" si="22"/>
        <v>#REF!</v>
      </c>
      <c r="F53" s="98">
        <f t="shared" si="22"/>
        <v>255964184147</v>
      </c>
      <c r="G53" s="98" t="e">
        <f t="shared" si="22"/>
        <v>#REF!</v>
      </c>
      <c r="H53" s="98">
        <f t="shared" si="22"/>
        <v>325428413813.58997</v>
      </c>
      <c r="I53" s="98">
        <f t="shared" si="22"/>
        <v>31637375322.845673</v>
      </c>
      <c r="J53" s="98">
        <f t="shared" si="22"/>
        <v>33562209279.154</v>
      </c>
      <c r="K53" s="98">
        <f t="shared" si="22"/>
        <v>34805975557.528625</v>
      </c>
      <c r="L53" s="98">
        <f t="shared" si="22"/>
        <v>35850154824.254486</v>
      </c>
      <c r="M53" s="98">
        <f t="shared" si="22"/>
        <v>36925659468.982124</v>
      </c>
      <c r="N53" s="98">
        <f t="shared" si="22"/>
        <v>38033429253.05158</v>
      </c>
      <c r="O53" s="98">
        <f>+O19</f>
        <v>39174432130.64313</v>
      </c>
      <c r="P53" s="98">
        <f>+P19</f>
        <v>40043963825.59396</v>
      </c>
      <c r="Q53" s="98">
        <f>+Q19</f>
        <v>41245282740.36179</v>
      </c>
      <c r="R53" s="98">
        <f>+R19</f>
        <v>42481517732.78514</v>
      </c>
      <c r="S53" s="98">
        <f>+S19</f>
        <v>43755963264.76871</v>
      </c>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row>
    <row r="54" spans="1:65" s="82" customFormat="1" ht="19.5" customHeight="1">
      <c r="A54" s="208">
        <v>4</v>
      </c>
      <c r="B54" s="142" t="s">
        <v>381</v>
      </c>
      <c r="C54" s="97">
        <f>+C22</f>
        <v>0</v>
      </c>
      <c r="D54" s="97">
        <f aca="true" t="shared" si="23" ref="D54:Q55">+D38</f>
        <v>0</v>
      </c>
      <c r="E54" s="97">
        <f t="shared" si="23"/>
        <v>0</v>
      </c>
      <c r="F54" s="98">
        <f t="shared" si="23"/>
        <v>0</v>
      </c>
      <c r="G54" s="98">
        <f t="shared" si="23"/>
        <v>0</v>
      </c>
      <c r="H54" s="98">
        <f t="shared" si="23"/>
        <v>0</v>
      </c>
      <c r="I54" s="98">
        <f t="shared" si="23"/>
        <v>0</v>
      </c>
      <c r="J54" s="98">
        <f t="shared" si="23"/>
        <v>0</v>
      </c>
      <c r="K54" s="98">
        <f t="shared" si="23"/>
        <v>0</v>
      </c>
      <c r="L54" s="98">
        <f t="shared" si="23"/>
        <v>0</v>
      </c>
      <c r="M54" s="98">
        <f t="shared" si="23"/>
        <v>0</v>
      </c>
      <c r="N54" s="98">
        <f t="shared" si="23"/>
        <v>0</v>
      </c>
      <c r="O54" s="98">
        <f t="shared" si="23"/>
        <v>0</v>
      </c>
      <c r="P54" s="98">
        <f>+P38</f>
        <v>0</v>
      </c>
      <c r="Q54" s="98">
        <f t="shared" si="23"/>
        <v>0</v>
      </c>
      <c r="R54" s="98">
        <f>+R38</f>
        <v>0</v>
      </c>
      <c r="S54" s="98">
        <f>+S38</f>
        <v>0</v>
      </c>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row>
    <row r="55" spans="1:65" s="82" customFormat="1" ht="19.5" customHeight="1" thickBot="1">
      <c r="A55" s="209">
        <v>5</v>
      </c>
      <c r="B55" s="209" t="s">
        <v>382</v>
      </c>
      <c r="C55" s="210">
        <f>+C30</f>
        <v>0</v>
      </c>
      <c r="D55" s="210">
        <f t="shared" si="23"/>
        <v>0</v>
      </c>
      <c r="E55" s="210">
        <f t="shared" si="23"/>
        <v>0</v>
      </c>
      <c r="F55" s="211">
        <f t="shared" si="23"/>
        <v>0</v>
      </c>
      <c r="G55" s="211">
        <f t="shared" si="23"/>
        <v>0</v>
      </c>
      <c r="H55" s="211">
        <f t="shared" si="23"/>
        <v>0</v>
      </c>
      <c r="I55" s="211">
        <f t="shared" si="23"/>
        <v>0</v>
      </c>
      <c r="J55" s="211">
        <f t="shared" si="23"/>
        <v>0</v>
      </c>
      <c r="K55" s="211">
        <f t="shared" si="23"/>
        <v>0</v>
      </c>
      <c r="L55" s="211">
        <f t="shared" si="23"/>
        <v>0</v>
      </c>
      <c r="M55" s="211">
        <f t="shared" si="23"/>
        <v>0</v>
      </c>
      <c r="N55" s="211">
        <f t="shared" si="23"/>
        <v>0</v>
      </c>
      <c r="O55" s="211">
        <f t="shared" si="23"/>
        <v>0</v>
      </c>
      <c r="P55" s="211">
        <f>+P39</f>
        <v>0</v>
      </c>
      <c r="Q55" s="211">
        <f t="shared" si="23"/>
        <v>0</v>
      </c>
      <c r="R55" s="211">
        <f>+R39</f>
        <v>0</v>
      </c>
      <c r="S55" s="211">
        <f>+S39</f>
        <v>0</v>
      </c>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row>
    <row r="56" spans="1:19" ht="15.75" thickBot="1">
      <c r="A56" s="212"/>
      <c r="B56" s="213"/>
      <c r="C56" s="214"/>
      <c r="D56" s="215"/>
      <c r="E56" s="215"/>
      <c r="F56" s="122"/>
      <c r="G56" s="122"/>
      <c r="H56" s="122"/>
      <c r="I56" s="122"/>
      <c r="J56" s="122"/>
      <c r="K56" s="122"/>
      <c r="L56" s="122"/>
      <c r="M56" s="122"/>
      <c r="N56" s="122"/>
      <c r="O56" s="122"/>
      <c r="P56" s="122"/>
      <c r="Q56" s="122"/>
      <c r="R56" s="122"/>
      <c r="S56" s="122"/>
    </row>
    <row r="57" spans="1:19" ht="32.25" customHeight="1" thickBot="1">
      <c r="A57" s="216" t="s">
        <v>372</v>
      </c>
      <c r="B57" s="362" t="s">
        <v>383</v>
      </c>
      <c r="C57" s="217">
        <f>C53</f>
        <v>0</v>
      </c>
      <c r="D57" s="218" t="e">
        <f aca="true" t="shared" si="24" ref="D57:Q58">+D40</f>
        <v>#REF!</v>
      </c>
      <c r="E57" s="218" t="e">
        <f t="shared" si="24"/>
        <v>#REF!</v>
      </c>
      <c r="F57" s="169">
        <f t="shared" si="24"/>
        <v>0</v>
      </c>
      <c r="G57" s="169" t="e">
        <f t="shared" si="24"/>
        <v>#REF!</v>
      </c>
      <c r="H57" s="169">
        <f t="shared" si="24"/>
        <v>0</v>
      </c>
      <c r="I57" s="169">
        <f t="shared" si="24"/>
        <v>0</v>
      </c>
      <c r="J57" s="169">
        <f t="shared" si="24"/>
        <v>0</v>
      </c>
      <c r="K57" s="169">
        <f t="shared" si="24"/>
        <v>0</v>
      </c>
      <c r="L57" s="169">
        <f t="shared" si="24"/>
        <v>0</v>
      </c>
      <c r="M57" s="169">
        <f t="shared" si="24"/>
        <v>0</v>
      </c>
      <c r="N57" s="169">
        <f t="shared" si="24"/>
        <v>0</v>
      </c>
      <c r="O57" s="169">
        <f t="shared" si="24"/>
        <v>0</v>
      </c>
      <c r="P57" s="169">
        <f>+P40</f>
        <v>0</v>
      </c>
      <c r="Q57" s="169">
        <f t="shared" si="24"/>
        <v>0</v>
      </c>
      <c r="R57" s="169">
        <f>+R40</f>
        <v>0</v>
      </c>
      <c r="S57" s="169">
        <f>+S40</f>
        <v>0</v>
      </c>
    </row>
    <row r="58" spans="1:19" ht="24.75" customHeight="1" thickBot="1">
      <c r="A58" s="219" t="s">
        <v>374</v>
      </c>
      <c r="B58" s="363" t="s">
        <v>384</v>
      </c>
      <c r="C58" s="217" t="e">
        <f>C54/C51</f>
        <v>#DIV/0!</v>
      </c>
      <c r="D58" s="220" t="e">
        <f t="shared" si="24"/>
        <v>#REF!</v>
      </c>
      <c r="E58" s="220" t="e">
        <f t="shared" si="24"/>
        <v>#REF!</v>
      </c>
      <c r="F58" s="173">
        <f t="shared" si="24"/>
        <v>0</v>
      </c>
      <c r="G58" s="173">
        <f t="shared" si="24"/>
        <v>0</v>
      </c>
      <c r="H58" s="173">
        <f t="shared" si="24"/>
        <v>0</v>
      </c>
      <c r="I58" s="173">
        <f t="shared" si="24"/>
        <v>0</v>
      </c>
      <c r="J58" s="173">
        <f t="shared" si="24"/>
        <v>0</v>
      </c>
      <c r="K58" s="173">
        <f t="shared" si="24"/>
        <v>0</v>
      </c>
      <c r="L58" s="173">
        <f t="shared" si="24"/>
        <v>0</v>
      </c>
      <c r="M58" s="173">
        <f t="shared" si="24"/>
        <v>0</v>
      </c>
      <c r="N58" s="173">
        <f t="shared" si="24"/>
        <v>0</v>
      </c>
      <c r="O58" s="173">
        <f t="shared" si="24"/>
        <v>0</v>
      </c>
      <c r="P58" s="173">
        <f>+P41</f>
        <v>0</v>
      </c>
      <c r="Q58" s="173">
        <f t="shared" si="24"/>
        <v>0</v>
      </c>
      <c r="R58" s="173">
        <f>+R41</f>
        <v>0</v>
      </c>
      <c r="S58" s="173">
        <f>+S41</f>
        <v>0</v>
      </c>
    </row>
    <row r="59" spans="1:19" ht="16.5" hidden="1" thickBot="1">
      <c r="A59" s="221" t="s">
        <v>376</v>
      </c>
      <c r="B59" s="222" t="s">
        <v>377</v>
      </c>
      <c r="C59" s="223"/>
      <c r="D59" s="224" t="e">
        <f>IF(D57&lt;0,0,IF(D58&gt;0.8,0,IF(D57&gt;0.4,0,IF(D57&lt;=0.4,-1))))</f>
        <v>#REF!</v>
      </c>
      <c r="E59" s="224" t="e">
        <f>IF(E57&lt;0,0,IF(E58&gt;0.8,0,IF(E57&gt;0.4,0,IF(E57&lt;=0.4,-1))))</f>
        <v>#REF!</v>
      </c>
      <c r="F59" s="225" t="str">
        <f aca="true" t="shared" si="25" ref="F59:Q59">IF(F57&lt;0,"AHORRO NEGATIVO",IF(F58&gt;0.8,"ROJO",IF(F57&gt;0.4,"ROJO",IF(F57&lt;=0.4,"VERDE"))))</f>
        <v>VERDE</v>
      </c>
      <c r="G59" s="225" t="e">
        <f t="shared" si="25"/>
        <v>#REF!</v>
      </c>
      <c r="H59" s="225" t="str">
        <f t="shared" si="25"/>
        <v>VERDE</v>
      </c>
      <c r="I59" s="225" t="str">
        <f t="shared" si="25"/>
        <v>VERDE</v>
      </c>
      <c r="J59" s="225" t="str">
        <f t="shared" si="25"/>
        <v>VERDE</v>
      </c>
      <c r="K59" s="225" t="str">
        <f t="shared" si="25"/>
        <v>VERDE</v>
      </c>
      <c r="L59" s="225" t="str">
        <f t="shared" si="25"/>
        <v>VERDE</v>
      </c>
      <c r="M59" s="225" t="str">
        <f t="shared" si="25"/>
        <v>VERDE</v>
      </c>
      <c r="N59" s="225" t="str">
        <f t="shared" si="25"/>
        <v>VERDE</v>
      </c>
      <c r="O59" s="225" t="str">
        <f t="shared" si="25"/>
        <v>VERDE</v>
      </c>
      <c r="P59" s="225" t="str">
        <f>IF(P57&lt;0,"AHORRO NEGATIVO",IF(P58&gt;0.8,"ROJO",IF(P57&gt;0.4,"ROJO",IF(P57&lt;=0.4,"VERDE"))))</f>
        <v>VERDE</v>
      </c>
      <c r="Q59" s="225" t="str">
        <f t="shared" si="25"/>
        <v>VERDE</v>
      </c>
      <c r="R59" s="225" t="str">
        <f>IF(R57&lt;0,"AHORRO NEGATIVO",IF(R58&gt;0.8,"ROJO",IF(R57&gt;0.4,"ROJO",IF(R57&lt;=0.4,"VERDE"))))</f>
        <v>VERDE</v>
      </c>
      <c r="S59" s="225" t="str">
        <f>IF(S57&lt;0,"AHORRO NEGATIVO",IF(S58&gt;0.8,"ROJO",IF(S57&gt;0.4,"ROJO",IF(S57&lt;=0.4,"VERDE"))))</f>
        <v>VERDE</v>
      </c>
    </row>
    <row r="60" spans="1:65" s="82" customFormat="1" ht="37.5" customHeight="1" thickBot="1">
      <c r="A60" s="226"/>
      <c r="B60" s="174" t="s">
        <v>377</v>
      </c>
      <c r="C60" s="227"/>
      <c r="D60" s="228" t="e">
        <f>IF(D57&lt;0,"AHORRO NEGATIVO",IF(D58&gt;0.8,"ROJO",IF(D57&gt;0.4,"ROJO",IF(D57&lt;=0.4,"VERDE"))))</f>
        <v>#REF!</v>
      </c>
      <c r="E60" s="228" t="e">
        <f>IF(E57&lt;0,"AHORRO NEGATIVO",IF(E58&gt;0.8,"ROJO",IF(E57&gt;0.4,"ROJO",IF(E57&lt;=0.4,"VERDE"))))</f>
        <v>#REF!</v>
      </c>
      <c r="F60" s="228" t="str">
        <f aca="true" t="shared" si="26" ref="F60:N60">IF(F57&lt;0,"AHORRO NEGATIVO",IF(F58&gt;0.8,"ROJO",IF(F57&gt;0.4,"ROJO",IF(F57&lt;=0.4,"VERDE"))))</f>
        <v>VERDE</v>
      </c>
      <c r="G60" s="228" t="e">
        <f t="shared" si="26"/>
        <v>#REF!</v>
      </c>
      <c r="H60" s="228" t="str">
        <f t="shared" si="26"/>
        <v>VERDE</v>
      </c>
      <c r="I60" s="228" t="str">
        <f t="shared" si="26"/>
        <v>VERDE</v>
      </c>
      <c r="J60" s="228" t="str">
        <f t="shared" si="26"/>
        <v>VERDE</v>
      </c>
      <c r="K60" s="228" t="str">
        <f t="shared" si="26"/>
        <v>VERDE</v>
      </c>
      <c r="L60" s="228" t="str">
        <f t="shared" si="26"/>
        <v>VERDE</v>
      </c>
      <c r="M60" s="228" t="str">
        <f t="shared" si="26"/>
        <v>VERDE</v>
      </c>
      <c r="N60" s="228" t="str">
        <f t="shared" si="26"/>
        <v>VERDE</v>
      </c>
      <c r="O60" s="228" t="str">
        <f>IF(O57&lt;0,"AHORRO NEGATIVO",IF(O58&gt;0.8,"ROJO",IF(O57&gt;0.4,"ROJO",IF(O57&lt;=0.4,"VERDE"))))</f>
        <v>VERDE</v>
      </c>
      <c r="P60" s="228" t="str">
        <f>IF(P57&lt;0,"AHORRO NEGATIVO",IF(P58&gt;0.8,"ROJO",IF(P57&gt;0.4,"ROJO",IF(P57&lt;=0.4,"VERDE"))))</f>
        <v>VERDE</v>
      </c>
      <c r="Q60" s="228" t="str">
        <f>IF(Q57&lt;0,"AHORRO NEGATIVO",IF(Q58&gt;0.8,"ROJO",IF(Q57&gt;0.4,"ROJO",IF(Q57&lt;=0.4,"VERDE"))))</f>
        <v>VERDE</v>
      </c>
      <c r="R60" s="228" t="str">
        <f>IF(R57&lt;0,"AHORRO NEGATIVO",IF(R58&gt;0.8,"ROJO",IF(R57&gt;0.4,"ROJO",IF(R57&lt;=0.4,"VERDE"))))</f>
        <v>VERDE</v>
      </c>
      <c r="S60" s="228" t="str">
        <f>IF(S57&lt;0,"AHORRO NEGATIVO",IF(S58&gt;0.8,"ROJO",IF(S57&gt;0.4,"ROJO",IF(S57&lt;=0.4,"VERDE"))))</f>
        <v>VERDE</v>
      </c>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row>
    <row r="61" spans="1:5" ht="15">
      <c r="A61" s="229" t="s">
        <v>385</v>
      </c>
      <c r="B61" s="61"/>
      <c r="C61" s="179"/>
      <c r="D61" s="61"/>
      <c r="E61" s="61"/>
    </row>
    <row r="62" spans="1:5" ht="15" hidden="1">
      <c r="A62" s="61"/>
      <c r="B62" s="61"/>
      <c r="C62" s="61"/>
      <c r="D62" s="61"/>
      <c r="E62" s="61"/>
    </row>
    <row r="63" spans="1:5" ht="15" hidden="1">
      <c r="A63" s="61"/>
      <c r="B63" s="61"/>
      <c r="C63" s="61"/>
      <c r="D63" s="61"/>
      <c r="E63" s="61"/>
    </row>
    <row r="64" spans="1:5" ht="15.75" hidden="1" thickBot="1">
      <c r="A64" s="61"/>
      <c r="B64" s="61"/>
      <c r="C64" s="61"/>
      <c r="D64" s="61"/>
      <c r="E64" s="61"/>
    </row>
    <row r="65" spans="1:6" ht="15.75" hidden="1" thickBot="1">
      <c r="A65" s="230" t="s">
        <v>386</v>
      </c>
      <c r="B65" s="231" t="s">
        <v>387</v>
      </c>
      <c r="C65" s="232"/>
      <c r="D65" s="233"/>
      <c r="E65" s="234"/>
      <c r="F65" s="179" t="s">
        <v>388</v>
      </c>
    </row>
    <row r="66" spans="1:5" ht="15" hidden="1">
      <c r="A66" s="61"/>
      <c r="B66" s="61"/>
      <c r="C66" s="61"/>
      <c r="D66" s="61"/>
      <c r="E66" s="61"/>
    </row>
    <row r="67" spans="1:5" ht="15" hidden="1">
      <c r="A67" s="61" t="s">
        <v>378</v>
      </c>
      <c r="B67" s="61"/>
      <c r="C67" s="61"/>
      <c r="D67" s="61"/>
      <c r="E67" s="61"/>
    </row>
    <row r="68" spans="1:5" ht="15">
      <c r="A68" s="61"/>
      <c r="B68" s="61"/>
      <c r="C68" s="61"/>
      <c r="D68" s="61"/>
      <c r="E68" s="61"/>
    </row>
    <row r="69" spans="1:19" ht="15" hidden="1">
      <c r="A69" s="61"/>
      <c r="B69" s="61"/>
      <c r="C69" s="61"/>
      <c r="D69" s="61"/>
      <c r="E69" s="303" t="e">
        <f>+'INGRESOS PROYECTADOS MARCO FISC'!#REF!</f>
        <v>#REF!</v>
      </c>
      <c r="F69" s="303">
        <f>+'INGRESOS PROYECTADOS MARCO FISC'!C7</f>
        <v>263908038487</v>
      </c>
      <c r="G69" s="303">
        <f>+'INGRESOS PROYECTADOS MARCO FISC'!D7</f>
        <v>318447900467</v>
      </c>
      <c r="H69" s="303">
        <f>+'INGRESOS PROYECTADOS MARCO FISC'!E7</f>
        <v>333362423919.58997</v>
      </c>
      <c r="I69" s="303">
        <f>+'INGRESOS PROYECTADOS MARCO FISC'!F7</f>
        <v>41471348158.09</v>
      </c>
      <c r="J69" s="303">
        <f>+'INGRESOS PROYECTADOS MARCO FISC'!G7</f>
        <v>42874468602.8327</v>
      </c>
      <c r="K69" s="303">
        <f>+'INGRESOS PROYECTADOS MARCO FISC'!H7</f>
        <v>44160702660.91768</v>
      </c>
      <c r="L69" s="303">
        <f>+'INGRESOS PROYECTADOS MARCO FISC'!I7</f>
        <v>45485523740.74522</v>
      </c>
      <c r="M69" s="303">
        <f>+'INGRESOS PROYECTADOS MARCO FISC'!J7</f>
        <v>46850089452.96757</v>
      </c>
      <c r="N69" s="303">
        <f>+'INGRESOS PROYECTADOS MARCO FISC'!K7</f>
        <v>48255592136.556595</v>
      </c>
      <c r="O69" s="303">
        <f>+'INGRESOS PROYECTADOS MARCO FISC'!L7</f>
        <v>49703259900.6533</v>
      </c>
      <c r="P69" s="303">
        <f>+'INGRESOS PROYECTADOS MARCO FISC'!M7</f>
        <v>51176446913.22496</v>
      </c>
      <c r="Q69" s="303">
        <f>+'INGRESOS PROYECTADOS MARCO FISC'!P7</f>
        <v>55920728111.67823</v>
      </c>
      <c r="R69" s="303">
        <f>+'INGRESOS PROYECTADOS MARCO FISC'!Q7</f>
        <v>866264292958.3423</v>
      </c>
      <c r="S69" s="303">
        <f>+'INGRESOS PROYECTADOS MARCO FISC'!R7</f>
        <v>10849692906</v>
      </c>
    </row>
    <row r="70" spans="1:19" ht="15" hidden="1">
      <c r="A70" s="61"/>
      <c r="B70" s="61"/>
      <c r="C70" s="61"/>
      <c r="D70" s="61"/>
      <c r="E70" s="303" t="e">
        <f>+E69-E6</f>
        <v>#REF!</v>
      </c>
      <c r="F70" s="303">
        <f aca="true" t="shared" si="27" ref="F70:Q70">+F69-F6</f>
        <v>0</v>
      </c>
      <c r="G70" s="303">
        <f t="shared" si="27"/>
        <v>0</v>
      </c>
      <c r="H70" s="303">
        <f t="shared" si="27"/>
        <v>0</v>
      </c>
      <c r="I70" s="303">
        <f t="shared" si="27"/>
        <v>-0.30999755859375</v>
      </c>
      <c r="J70" s="303">
        <f t="shared" si="27"/>
        <v>158979999.6807022</v>
      </c>
      <c r="K70" s="303">
        <f t="shared" si="27"/>
        <v>163749399.67111206</v>
      </c>
      <c r="L70" s="303">
        <f t="shared" si="27"/>
        <v>168661881.66125488</v>
      </c>
      <c r="M70" s="303">
        <f t="shared" si="27"/>
        <v>173721738.11108398</v>
      </c>
      <c r="N70" s="303">
        <f t="shared" si="27"/>
        <v>178933390.25441742</v>
      </c>
      <c r="O70" s="303">
        <f t="shared" si="27"/>
        <v>184301391.96205902</v>
      </c>
      <c r="P70" s="303">
        <f>+P69-P6</f>
        <v>477620918.2414398</v>
      </c>
      <c r="Q70" s="303">
        <f t="shared" si="27"/>
        <v>3700937336.845192</v>
      </c>
      <c r="R70" s="303">
        <f>+R69-R6</f>
        <v>812479031950.0518</v>
      </c>
      <c r="S70" s="303">
        <f>+S69-S6</f>
        <v>-44549125932.539246</v>
      </c>
    </row>
    <row r="71" spans="1:19" ht="15" hidden="1">
      <c r="A71" s="61"/>
      <c r="B71" s="61"/>
      <c r="C71" s="61"/>
      <c r="D71" s="303">
        <f>+'MARCO GASTOS'!B13</f>
        <v>4487608426</v>
      </c>
      <c r="E71" s="303">
        <f>+D71</f>
        <v>4487608426</v>
      </c>
      <c r="F71" s="303">
        <f>+'MARCO GASTOS'!C13</f>
        <v>7943854340</v>
      </c>
      <c r="G71" s="303" t="e">
        <f>+'MARCO GASTOS'!D13</f>
        <v>#REF!</v>
      </c>
      <c r="H71" s="303">
        <f>+'MARCO GASTOS'!E13</f>
        <v>8804418508.61</v>
      </c>
      <c r="I71" s="303">
        <f>+'MARCO GASTOS'!F13</f>
        <v>9833972835.55432</v>
      </c>
      <c r="J71" s="303">
        <f>+'MARCO GASTOS'!G13</f>
        <v>9833972835.55432</v>
      </c>
      <c r="K71" s="303">
        <f>+'MARCO GASTOS'!H13</f>
        <v>9892092020.620949</v>
      </c>
      <c r="L71" s="303">
        <f>+'MARCO GASTOS'!I13</f>
        <v>10188854781.239578</v>
      </c>
      <c r="M71" s="303">
        <f>+'MARCO GASTOS'!J13</f>
        <v>10494520424.676764</v>
      </c>
      <c r="N71" s="303">
        <f>+'MARCO GASTOS'!K13</f>
        <v>10809356037.41707</v>
      </c>
      <c r="O71" s="303">
        <f>+'MARCO GASTOS'!L13</f>
        <v>11133636718.539581</v>
      </c>
      <c r="P71" s="303">
        <f>+'MARCO GASTOS'!M13</f>
        <v>11467645820.095766</v>
      </c>
      <c r="Q71" s="303">
        <f>+'MARCO GASTOS'!N13</f>
        <v>11811675194.698645</v>
      </c>
      <c r="R71" s="303">
        <f>+'MARCO GASTOS'!O13</f>
        <v>12166025450.539602</v>
      </c>
      <c r="S71" s="303">
        <f>+'MARCO GASTOS'!P13</f>
        <v>12531006214.055786</v>
      </c>
    </row>
    <row r="72" spans="1:19" ht="15" hidden="1">
      <c r="A72" s="61"/>
      <c r="B72" s="61"/>
      <c r="C72" s="61"/>
      <c r="D72" s="303">
        <f>+D71-D52</f>
        <v>0</v>
      </c>
      <c r="E72" s="303">
        <f>+E71-E52</f>
        <v>0</v>
      </c>
      <c r="F72" s="303">
        <f aca="true" t="shared" si="28" ref="F72:Q72">+F71-F52</f>
        <v>0</v>
      </c>
      <c r="G72" s="303" t="e">
        <f t="shared" si="28"/>
        <v>#REF!</v>
      </c>
      <c r="H72" s="303">
        <f t="shared" si="28"/>
        <v>870408402.6100006</v>
      </c>
      <c r="I72" s="303">
        <f t="shared" si="28"/>
        <v>0</v>
      </c>
      <c r="J72" s="303">
        <f t="shared" si="28"/>
        <v>680693511.5563202</v>
      </c>
      <c r="K72" s="303">
        <f t="shared" si="28"/>
        <v>701114316.9030094</v>
      </c>
      <c r="L72" s="303">
        <f t="shared" si="28"/>
        <v>722147746.410099</v>
      </c>
      <c r="M72" s="303">
        <f t="shared" si="28"/>
        <v>743812178.8024025</v>
      </c>
      <c r="N72" s="303">
        <f t="shared" si="28"/>
        <v>766126544.1664753</v>
      </c>
      <c r="O72" s="303">
        <f t="shared" si="28"/>
        <v>789110340.4914684</v>
      </c>
      <c r="P72" s="303">
        <f>+P71-P52</f>
        <v>812783650.706213</v>
      </c>
      <c r="Q72" s="303">
        <f t="shared" si="28"/>
        <v>837167160.2274017</v>
      </c>
      <c r="R72" s="303">
        <f>+R71-R52</f>
        <v>862282175.0342216</v>
      </c>
      <c r="S72" s="303">
        <f>+S71-S52</f>
        <v>888150640.2852459</v>
      </c>
    </row>
    <row r="73" spans="1:5" ht="15">
      <c r="A73" s="61"/>
      <c r="B73" s="61"/>
      <c r="C73" s="61"/>
      <c r="D73" s="61"/>
      <c r="E73" s="61"/>
    </row>
    <row r="74" spans="1:5" ht="15">
      <c r="A74" s="61"/>
      <c r="B74" s="61"/>
      <c r="C74" s="61"/>
      <c r="D74" s="61"/>
      <c r="E74" s="61"/>
    </row>
    <row r="75" spans="1:5" ht="15">
      <c r="A75" s="61"/>
      <c r="B75" s="61"/>
      <c r="C75" s="61"/>
      <c r="D75" s="61"/>
      <c r="E75" s="61"/>
    </row>
    <row r="76" spans="1:5" ht="15">
      <c r="A76" s="61" t="s">
        <v>1618</v>
      </c>
      <c r="B76" s="61"/>
      <c r="C76" s="61"/>
      <c r="D76" s="61"/>
      <c r="E76" s="61"/>
    </row>
    <row r="77" spans="1:5" ht="17.25">
      <c r="A77" s="1429" t="s">
        <v>1600</v>
      </c>
      <c r="B77" s="1429"/>
      <c r="C77" s="61"/>
      <c r="D77" s="61"/>
      <c r="E77" s="61"/>
    </row>
    <row r="78" spans="1:5" ht="17.25">
      <c r="A78" s="514" t="s">
        <v>1602</v>
      </c>
      <c r="B78" s="514"/>
      <c r="C78" s="61"/>
      <c r="D78" s="61"/>
      <c r="E78" s="61"/>
    </row>
    <row r="79" spans="1:5" ht="15">
      <c r="A79" s="61"/>
      <c r="B79" s="61"/>
      <c r="C79" s="61"/>
      <c r="D79" s="61"/>
      <c r="E79" s="61"/>
    </row>
    <row r="80" s="61" customFormat="1" ht="15">
      <c r="BN80" s="62"/>
    </row>
    <row r="81" s="61" customFormat="1" ht="15">
      <c r="BN81" s="62"/>
    </row>
    <row r="82" spans="1:66" s="61" customFormat="1" ht="15">
      <c r="A82" s="61" t="s">
        <v>1619</v>
      </c>
      <c r="BN82" s="62"/>
    </row>
    <row r="83" spans="1:66" s="61" customFormat="1" ht="16.5">
      <c r="A83" s="515" t="s">
        <v>1599</v>
      </c>
      <c r="B83" s="513"/>
      <c r="BN83" s="62"/>
    </row>
    <row r="84" spans="1:66" s="61" customFormat="1" ht="16.5">
      <c r="A84" s="513" t="s">
        <v>1601</v>
      </c>
      <c r="B84" s="513"/>
      <c r="BN84" s="62"/>
    </row>
    <row r="85" s="61" customFormat="1" ht="15">
      <c r="BN85" s="62"/>
    </row>
    <row r="86" s="61" customFormat="1" ht="15">
      <c r="BN86" s="62"/>
    </row>
    <row r="87" s="61" customFormat="1" ht="15">
      <c r="BN87" s="62"/>
    </row>
    <row r="88" s="61" customFormat="1" ht="15">
      <c r="BN88" s="62"/>
    </row>
    <row r="89" s="61" customFormat="1" ht="15">
      <c r="BN89" s="62"/>
    </row>
    <row r="90" s="61" customFormat="1" ht="15">
      <c r="BN90" s="62"/>
    </row>
    <row r="91" s="61" customFormat="1" ht="15">
      <c r="BN91" s="62"/>
    </row>
    <row r="92" s="61" customFormat="1" ht="15">
      <c r="BN92" s="62"/>
    </row>
    <row r="93" s="61" customFormat="1" ht="15"/>
    <row r="94" s="61" customFormat="1" ht="15"/>
    <row r="95" s="61" customFormat="1" ht="15"/>
    <row r="96" s="61" customFormat="1" ht="15"/>
    <row r="97" s="61" customFormat="1" ht="15"/>
    <row r="98" s="61" customFormat="1" ht="15"/>
    <row r="99" s="61" customFormat="1" ht="15"/>
    <row r="100" s="61" customFormat="1" ht="15"/>
    <row r="101" s="61" customFormat="1" ht="15"/>
    <row r="102" s="61" customFormat="1" ht="15"/>
    <row r="103" s="61" customFormat="1" ht="15"/>
    <row r="104" s="61" customFormat="1" ht="15"/>
    <row r="105" s="61" customFormat="1" ht="15"/>
    <row r="106" s="61" customFormat="1" ht="15"/>
    <row r="107" s="61" customFormat="1" ht="15"/>
    <row r="108" s="61" customFormat="1" ht="15"/>
    <row r="109" s="61" customFormat="1" ht="15"/>
    <row r="110" s="61" customFormat="1" ht="15"/>
    <row r="111" s="61" customFormat="1" ht="15"/>
    <row r="112" s="61" customFormat="1" ht="15"/>
    <row r="113" s="61" customFormat="1" ht="15"/>
    <row r="114" s="61" customFormat="1" ht="15"/>
    <row r="115" s="61" customFormat="1" ht="15"/>
    <row r="116" s="61" customFormat="1" ht="15"/>
    <row r="117" s="61" customFormat="1" ht="15"/>
  </sheetData>
  <sheetProtection/>
  <mergeCells count="5">
    <mergeCell ref="A1:Q1"/>
    <mergeCell ref="A2:Q2"/>
    <mergeCell ref="A3:Q3"/>
    <mergeCell ref="A47:Q47"/>
    <mergeCell ref="A77:B77"/>
  </mergeCells>
  <printOptions/>
  <pageMargins left="0.25" right="0.41" top="1" bottom="1" header="0" footer="0"/>
  <pageSetup orientation="landscape" paperSize="5" scale="60" r:id="rId3"/>
  <legacyDrawing r:id="rId2"/>
</worksheet>
</file>

<file path=xl/worksheets/sheet8.xml><?xml version="1.0" encoding="utf-8"?>
<worksheet xmlns="http://schemas.openxmlformats.org/spreadsheetml/2006/main" xmlns:r="http://schemas.openxmlformats.org/officeDocument/2006/relationships">
  <dimension ref="A1:AS136"/>
  <sheetViews>
    <sheetView zoomScalePageLayoutView="0" workbookViewId="0" topLeftCell="A1">
      <pane ySplit="7" topLeftCell="A8" activePane="bottomLeft" state="frozen"/>
      <selection pane="topLeft" activeCell="A1" sqref="A1"/>
      <selection pane="bottomLeft" activeCell="A4" sqref="A4:P4"/>
    </sheetView>
  </sheetViews>
  <sheetFormatPr defaultColWidth="11.421875" defaultRowHeight="15"/>
  <cols>
    <col min="1" max="1" width="18.28125" style="252" customWidth="1"/>
    <col min="2" max="2" width="40.8515625" style="253" customWidth="1"/>
    <col min="3" max="3" width="18.8515625" style="306" hidden="1" customWidth="1"/>
    <col min="4" max="4" width="16.421875" style="306" hidden="1" customWidth="1"/>
    <col min="5" max="5" width="16.421875" style="299" customWidth="1"/>
    <col min="6" max="6" width="17.8515625" style="244" customWidth="1"/>
    <col min="7" max="7" width="17.28125" style="244" customWidth="1"/>
    <col min="8" max="8" width="17.421875" style="244" customWidth="1"/>
    <col min="9" max="13" width="13.7109375" style="244" bestFit="1" customWidth="1"/>
    <col min="14" max="15" width="13.7109375" style="308" bestFit="1" customWidth="1"/>
    <col min="16" max="16" width="13.7109375" style="244" bestFit="1" customWidth="1"/>
    <col min="17" max="17" width="16.421875" style="244" bestFit="1" customWidth="1"/>
    <col min="18" max="18" width="28.140625" style="244" hidden="1" customWidth="1"/>
    <col min="19" max="19" width="15.421875" style="244" hidden="1" customWidth="1"/>
    <col min="20" max="20" width="11.8515625" style="244" hidden="1" customWidth="1"/>
    <col min="21" max="21" width="15.421875" style="244" hidden="1" customWidth="1"/>
    <col min="22" max="22" width="16.7109375" style="244" hidden="1" customWidth="1"/>
    <col min="23" max="23" width="24.7109375" style="252" hidden="1" customWidth="1"/>
    <col min="24" max="24" width="16.8515625" style="252" hidden="1" customWidth="1"/>
    <col min="25" max="25" width="11.421875" style="252" hidden="1" customWidth="1"/>
    <col min="26" max="26" width="15.57421875" style="252" hidden="1" customWidth="1"/>
    <col min="27" max="27" width="20.00390625" style="252" hidden="1" customWidth="1"/>
    <col min="28" max="30" width="11.421875" style="252" hidden="1" customWidth="1"/>
    <col min="31" max="31" width="11.421875" style="277" hidden="1" customWidth="1"/>
    <col min="32" max="42" width="11.57421875" style="297" hidden="1" customWidth="1"/>
    <col min="43" max="44" width="11.57421875" style="289" hidden="1" customWidth="1"/>
    <col min="45" max="45" width="11.421875" style="252" hidden="1" customWidth="1"/>
    <col min="46" max="16384" width="11.421875" style="252" customWidth="1"/>
  </cols>
  <sheetData>
    <row r="1" spans="1:44" s="17" customFormat="1" ht="18">
      <c r="A1" s="1430" t="s">
        <v>256</v>
      </c>
      <c r="B1" s="1430"/>
      <c r="C1" s="1430"/>
      <c r="D1" s="1430"/>
      <c r="E1" s="1430"/>
      <c r="F1" s="1430"/>
      <c r="G1" s="1430"/>
      <c r="H1" s="1430"/>
      <c r="I1" s="1430"/>
      <c r="J1" s="1430"/>
      <c r="K1" s="1430"/>
      <c r="L1" s="1430"/>
      <c r="M1" s="1430"/>
      <c r="N1" s="1430"/>
      <c r="O1" s="1430"/>
      <c r="P1" s="1430"/>
      <c r="Q1" s="1430"/>
      <c r="AF1" s="287"/>
      <c r="AG1" s="287"/>
      <c r="AH1" s="287"/>
      <c r="AI1" s="287"/>
      <c r="AJ1" s="287"/>
      <c r="AK1" s="287"/>
      <c r="AL1" s="287"/>
      <c r="AM1" s="287"/>
      <c r="AN1" s="287"/>
      <c r="AO1" s="287"/>
      <c r="AP1" s="287"/>
      <c r="AQ1" s="287"/>
      <c r="AR1" s="287"/>
    </row>
    <row r="2" spans="1:44" s="17" customFormat="1" ht="18">
      <c r="A2" s="1430" t="s">
        <v>396</v>
      </c>
      <c r="B2" s="1430"/>
      <c r="C2" s="1430"/>
      <c r="D2" s="1430"/>
      <c r="E2" s="1430"/>
      <c r="F2" s="1430"/>
      <c r="G2" s="1430"/>
      <c r="H2" s="1430"/>
      <c r="I2" s="1430"/>
      <c r="J2" s="1430"/>
      <c r="K2" s="1430"/>
      <c r="L2" s="1430"/>
      <c r="M2" s="1430"/>
      <c r="N2" s="1430"/>
      <c r="O2" s="1430"/>
      <c r="P2" s="1430"/>
      <c r="AF2" s="287"/>
      <c r="AG2" s="287"/>
      <c r="AH2" s="287"/>
      <c r="AI2" s="287"/>
      <c r="AJ2" s="287"/>
      <c r="AK2" s="287"/>
      <c r="AL2" s="287"/>
      <c r="AM2" s="287"/>
      <c r="AN2" s="287"/>
      <c r="AO2" s="287"/>
      <c r="AP2" s="287"/>
      <c r="AQ2" s="287"/>
      <c r="AR2" s="287"/>
    </row>
    <row r="3" spans="1:44" s="17" customFormat="1" ht="18.75" customHeight="1">
      <c r="A3" s="1430" t="s">
        <v>1757</v>
      </c>
      <c r="B3" s="1430"/>
      <c r="C3" s="1430"/>
      <c r="D3" s="1430"/>
      <c r="E3" s="1430"/>
      <c r="F3" s="1430"/>
      <c r="G3" s="1430"/>
      <c r="H3" s="1430"/>
      <c r="I3" s="1430"/>
      <c r="J3" s="1430"/>
      <c r="K3" s="1430"/>
      <c r="L3" s="1430"/>
      <c r="M3" s="1430"/>
      <c r="N3" s="1430"/>
      <c r="O3" s="1430"/>
      <c r="P3" s="1430"/>
      <c r="Q3" s="249"/>
      <c r="R3" s="249"/>
      <c r="S3" s="250"/>
      <c r="AF3" s="287"/>
      <c r="AG3" s="287"/>
      <c r="AH3" s="287"/>
      <c r="AI3" s="287"/>
      <c r="AJ3" s="287"/>
      <c r="AK3" s="287"/>
      <c r="AL3" s="287"/>
      <c r="AM3" s="287"/>
      <c r="AN3" s="287"/>
      <c r="AO3" s="287"/>
      <c r="AP3" s="287"/>
      <c r="AQ3" s="287"/>
      <c r="AR3" s="287"/>
    </row>
    <row r="4" spans="1:44" s="17" customFormat="1" ht="18" customHeight="1">
      <c r="A4" s="1430" t="s">
        <v>397</v>
      </c>
      <c r="B4" s="1430"/>
      <c r="C4" s="1430"/>
      <c r="D4" s="1430"/>
      <c r="E4" s="1430"/>
      <c r="F4" s="1430"/>
      <c r="G4" s="1430"/>
      <c r="H4" s="1430"/>
      <c r="I4" s="1430"/>
      <c r="J4" s="1430"/>
      <c r="K4" s="1430"/>
      <c r="L4" s="1430"/>
      <c r="M4" s="1430"/>
      <c r="N4" s="1430"/>
      <c r="O4" s="1430"/>
      <c r="P4" s="1430"/>
      <c r="Q4" s="20"/>
      <c r="R4" s="20"/>
      <c r="S4" s="251"/>
      <c r="AF4" s="287"/>
      <c r="AG4" s="287"/>
      <c r="AH4" s="287"/>
      <c r="AI4" s="287"/>
      <c r="AJ4" s="287"/>
      <c r="AK4" s="287"/>
      <c r="AL4" s="287"/>
      <c r="AM4" s="287"/>
      <c r="AN4" s="287"/>
      <c r="AO4" s="287"/>
      <c r="AP4" s="287"/>
      <c r="AQ4" s="287"/>
      <c r="AR4" s="287"/>
    </row>
    <row r="5" spans="18:42" ht="15.75">
      <c r="R5" s="244">
        <f>+R7*48%</f>
        <v>5207852594.88</v>
      </c>
      <c r="AE5" s="249"/>
      <c r="AF5" s="288"/>
      <c r="AG5" s="287"/>
      <c r="AH5" s="287"/>
      <c r="AI5" s="287"/>
      <c r="AJ5" s="287"/>
      <c r="AK5" s="287"/>
      <c r="AL5" s="287"/>
      <c r="AM5" s="287"/>
      <c r="AN5" s="287"/>
      <c r="AO5" s="287"/>
      <c r="AP5" s="287"/>
    </row>
    <row r="6" spans="1:42" ht="18" customHeight="1">
      <c r="A6" s="1192" t="s">
        <v>496</v>
      </c>
      <c r="B6" s="254" t="s">
        <v>271</v>
      </c>
      <c r="C6" s="307">
        <v>2010</v>
      </c>
      <c r="D6" s="307">
        <v>2011</v>
      </c>
      <c r="E6" s="300">
        <f>+D6+2</f>
        <v>2013</v>
      </c>
      <c r="F6" s="246">
        <f aca="true" t="shared" si="0" ref="F6:P6">+E6+1</f>
        <v>2014</v>
      </c>
      <c r="G6" s="246">
        <f t="shared" si="0"/>
        <v>2015</v>
      </c>
      <c r="H6" s="246">
        <f t="shared" si="0"/>
        <v>2016</v>
      </c>
      <c r="I6" s="246">
        <f t="shared" si="0"/>
        <v>2017</v>
      </c>
      <c r="J6" s="246">
        <f t="shared" si="0"/>
        <v>2018</v>
      </c>
      <c r="K6" s="246">
        <f t="shared" si="0"/>
        <v>2019</v>
      </c>
      <c r="L6" s="246">
        <f t="shared" si="0"/>
        <v>2020</v>
      </c>
      <c r="M6" s="246">
        <f t="shared" si="0"/>
        <v>2021</v>
      </c>
      <c r="N6" s="246">
        <f t="shared" si="0"/>
        <v>2022</v>
      </c>
      <c r="O6" s="246">
        <f t="shared" si="0"/>
        <v>2023</v>
      </c>
      <c r="P6" s="246">
        <f t="shared" si="0"/>
        <v>2024</v>
      </c>
      <c r="Q6" s="246" t="s">
        <v>497</v>
      </c>
      <c r="R6" s="255" t="s">
        <v>168</v>
      </c>
      <c r="S6" s="256" t="s">
        <v>167</v>
      </c>
      <c r="T6" s="256" t="s">
        <v>166</v>
      </c>
      <c r="U6" s="257" t="s">
        <v>165</v>
      </c>
      <c r="V6" s="258" t="s">
        <v>164</v>
      </c>
      <c r="Z6" s="259" t="e">
        <f>+#REF!</f>
        <v>#REF!</v>
      </c>
      <c r="AA6" s="252" t="s">
        <v>250</v>
      </c>
      <c r="AE6" s="20"/>
      <c r="AF6" s="290"/>
      <c r="AG6" s="287"/>
      <c r="AH6" s="287"/>
      <c r="AI6" s="287"/>
      <c r="AJ6" s="287"/>
      <c r="AK6" s="287"/>
      <c r="AL6" s="287"/>
      <c r="AM6" s="287"/>
      <c r="AN6" s="287"/>
      <c r="AO6" s="287"/>
      <c r="AP6" s="287"/>
    </row>
    <row r="7" spans="1:42" ht="15">
      <c r="A7" s="1192"/>
      <c r="B7" s="260" t="s">
        <v>163</v>
      </c>
      <c r="C7" s="301">
        <f>+C8+C34+C63+C81+C126</f>
        <v>263908038487</v>
      </c>
      <c r="D7" s="301">
        <f>+D8+D34+D63+D81+D126+D95</f>
        <v>318447900467</v>
      </c>
      <c r="E7" s="301">
        <f>+E8+E34+E63+E81+E126+E95</f>
        <v>333362423919.58997</v>
      </c>
      <c r="F7" s="301">
        <f aca="true" t="shared" si="1" ref="F7:P7">+F8+F34+F63+F81+F126</f>
        <v>41471348158.09</v>
      </c>
      <c r="G7" s="301">
        <f t="shared" si="1"/>
        <v>42874468602.8327</v>
      </c>
      <c r="H7" s="301">
        <f t="shared" si="1"/>
        <v>44160702660.91768</v>
      </c>
      <c r="I7" s="301">
        <f t="shared" si="1"/>
        <v>45485523740.74522</v>
      </c>
      <c r="J7" s="301">
        <f t="shared" si="1"/>
        <v>46850089452.96757</v>
      </c>
      <c r="K7" s="301">
        <f t="shared" si="1"/>
        <v>48255592136.556595</v>
      </c>
      <c r="L7" s="301">
        <f t="shared" si="1"/>
        <v>49703259900.6533</v>
      </c>
      <c r="M7" s="301">
        <f t="shared" si="1"/>
        <v>51176446913.22496</v>
      </c>
      <c r="N7" s="301">
        <f t="shared" si="1"/>
        <v>52711740320.62172</v>
      </c>
      <c r="O7" s="301">
        <f t="shared" si="1"/>
        <v>54291969040.46431</v>
      </c>
      <c r="P7" s="301">
        <f t="shared" si="1"/>
        <v>55920728111.67823</v>
      </c>
      <c r="Q7" s="301">
        <f>SUM(E7:P7)</f>
        <v>866264292958.3423</v>
      </c>
      <c r="R7" s="245">
        <f>SUM(R8:R134)</f>
        <v>10849692906</v>
      </c>
      <c r="S7" s="244">
        <f>+(2605680*5%)+2605860</f>
        <v>2736144</v>
      </c>
      <c r="T7" s="244">
        <f>+S7/30</f>
        <v>91204.8</v>
      </c>
      <c r="U7" s="244">
        <f>+T7*82*13</f>
        <v>97224316.80000001</v>
      </c>
      <c r="V7" s="261">
        <f>(+R7*1.5%)+U7</f>
        <v>259969710.39000002</v>
      </c>
      <c r="W7" s="252" t="s">
        <v>162</v>
      </c>
      <c r="Z7" s="252">
        <f>+V7</f>
        <v>259969710.39000002</v>
      </c>
      <c r="AA7" s="252" t="s">
        <v>251</v>
      </c>
      <c r="AE7" s="17"/>
      <c r="AF7" s="287"/>
      <c r="AG7" s="287"/>
      <c r="AH7" s="287"/>
      <c r="AI7" s="287"/>
      <c r="AJ7" s="287"/>
      <c r="AK7" s="287"/>
      <c r="AL7" s="287"/>
      <c r="AM7" s="287"/>
      <c r="AN7" s="287"/>
      <c r="AO7" s="287"/>
      <c r="AP7" s="287"/>
    </row>
    <row r="8" spans="1:42" ht="15.75">
      <c r="A8" s="262" t="s">
        <v>161</v>
      </c>
      <c r="B8" s="260" t="s">
        <v>160</v>
      </c>
      <c r="C8" s="301">
        <f>+C9+C10+C11+C14+C17+C20+C21+C22+C23+C24+C25+C26+C27+C28+C32+C29</f>
        <v>14319322000</v>
      </c>
      <c r="D8" s="301">
        <f>+D9+D10+D11+D14+D17+D20+D21+D22+D23+D24+D25+D26+D27+D28+D32+D29</f>
        <v>13153601660</v>
      </c>
      <c r="E8" s="301">
        <f aca="true" t="shared" si="2" ref="E8:P8">+E9+E10+E11+E14+E17+E20+E21+E22+E23+E24+E25+E26+E27+E28+E32+E29</f>
        <v>15140332910</v>
      </c>
      <c r="F8" s="301">
        <f t="shared" si="2"/>
        <v>20901261824</v>
      </c>
      <c r="G8" s="301">
        <f t="shared" si="2"/>
        <v>21528299678.72</v>
      </c>
      <c r="H8" s="301">
        <f t="shared" si="2"/>
        <v>22174148669.0816</v>
      </c>
      <c r="I8" s="301">
        <f t="shared" si="2"/>
        <v>22839373129.15405</v>
      </c>
      <c r="J8" s="301">
        <f t="shared" si="2"/>
        <v>23524554323.02867</v>
      </c>
      <c r="K8" s="301">
        <f t="shared" si="2"/>
        <v>24230290952.719532</v>
      </c>
      <c r="L8" s="301">
        <f t="shared" si="2"/>
        <v>24957199681.30112</v>
      </c>
      <c r="M8" s="301">
        <f t="shared" si="2"/>
        <v>25688004887.29222</v>
      </c>
      <c r="N8" s="301">
        <f>+N9+N10+N11+N14+N17+N20+N21+N22+N23+N24+N25+N26+N27+N28+N32+N29</f>
        <v>26458645033.910988</v>
      </c>
      <c r="O8" s="301">
        <f>+O9+O10+O11+O14+O17+O20+O21+O22+O23+O24+O25+O26+O27+O28+O32+O29</f>
        <v>27252404384.928318</v>
      </c>
      <c r="P8" s="301">
        <f t="shared" si="2"/>
        <v>28069976516.47617</v>
      </c>
      <c r="Q8" s="247">
        <f>+Q9+Q10+Q11+Q14+Q17+Q20+Q21+Q22+Q23+Q24+Q25+Q26+Q27+Q28+Q32+Q29</f>
        <v>310237415650.6127</v>
      </c>
      <c r="Z8" s="252">
        <f>+V9</f>
        <v>78261750</v>
      </c>
      <c r="AA8" s="252" t="s">
        <v>157</v>
      </c>
      <c r="AE8" s="20"/>
      <c r="AF8" s="291"/>
      <c r="AG8" s="291"/>
      <c r="AH8" s="291"/>
      <c r="AI8" s="290"/>
      <c r="AJ8" s="287"/>
      <c r="AK8" s="287"/>
      <c r="AL8" s="287"/>
      <c r="AM8" s="287"/>
      <c r="AN8" s="287"/>
      <c r="AO8" s="287"/>
      <c r="AP8" s="287"/>
    </row>
    <row r="9" spans="1:45" ht="15">
      <c r="A9" s="263" t="s">
        <v>159</v>
      </c>
      <c r="B9" s="264" t="s">
        <v>158</v>
      </c>
      <c r="C9" s="302">
        <v>2800000000</v>
      </c>
      <c r="D9" s="310">
        <f>+C9*(1+$AI$10)</f>
        <v>2884000000</v>
      </c>
      <c r="E9" s="360">
        <v>2070520000</v>
      </c>
      <c r="F9" s="248">
        <f>+'INGRESOS 2014'!H9</f>
        <v>1033501000</v>
      </c>
      <c r="G9" s="248">
        <f>+F9*(1+$AL$10)</f>
        <v>1064506030</v>
      </c>
      <c r="H9" s="248">
        <f>+G9*(1+$AM$10)</f>
        <v>1096441210.9</v>
      </c>
      <c r="I9" s="248">
        <f>+H9*(1+$AN$10)</f>
        <v>1129334447.2270002</v>
      </c>
      <c r="J9" s="248">
        <f>+I9*(1+$AO$10)</f>
        <v>1163214480.6438103</v>
      </c>
      <c r="K9" s="248">
        <f>+J9*(1+$AP$10)</f>
        <v>1198110915.0631247</v>
      </c>
      <c r="L9" s="248">
        <f>+K9*(1+$AQ$10)</f>
        <v>1234054242.5150185</v>
      </c>
      <c r="M9" s="248">
        <f aca="true" t="shared" si="3" ref="M9:P10">+L9*(1+$AR$10)</f>
        <v>1271075869.790469</v>
      </c>
      <c r="N9" s="309">
        <f t="shared" si="3"/>
        <v>1309208145.884183</v>
      </c>
      <c r="O9" s="309">
        <f t="shared" si="3"/>
        <v>1348484390.2607086</v>
      </c>
      <c r="P9" s="309">
        <f t="shared" si="3"/>
        <v>1388938921.96853</v>
      </c>
      <c r="Q9" s="248">
        <f>SUM(C9:P9)</f>
        <v>20991389654.252842</v>
      </c>
      <c r="R9" s="244">
        <f>+C9*80%</f>
        <v>2240000000</v>
      </c>
      <c r="T9" s="244">
        <f>+(496900*5%)+496900</f>
        <v>521745</v>
      </c>
      <c r="V9" s="244">
        <f>+T9*150</f>
        <v>78261750</v>
      </c>
      <c r="W9" s="252" t="s">
        <v>157</v>
      </c>
      <c r="Z9" s="265">
        <v>15000000</v>
      </c>
      <c r="AA9" s="252" t="s">
        <v>398</v>
      </c>
      <c r="AE9" s="266"/>
      <c r="AF9" s="267">
        <v>2008</v>
      </c>
      <c r="AG9" s="267">
        <f>+AF9+1</f>
        <v>2009</v>
      </c>
      <c r="AH9" s="267">
        <f aca="true" t="shared" si="4" ref="AH9:AP9">+AG9+1</f>
        <v>2010</v>
      </c>
      <c r="AI9" s="267">
        <f t="shared" si="4"/>
        <v>2011</v>
      </c>
      <c r="AJ9" s="267">
        <f t="shared" si="4"/>
        <v>2012</v>
      </c>
      <c r="AK9" s="267">
        <f t="shared" si="4"/>
        <v>2013</v>
      </c>
      <c r="AL9" s="267">
        <f t="shared" si="4"/>
        <v>2014</v>
      </c>
      <c r="AM9" s="267">
        <f t="shared" si="4"/>
        <v>2015</v>
      </c>
      <c r="AN9" s="267">
        <f t="shared" si="4"/>
        <v>2016</v>
      </c>
      <c r="AO9" s="267">
        <f t="shared" si="4"/>
        <v>2017</v>
      </c>
      <c r="AP9" s="267">
        <f t="shared" si="4"/>
        <v>2018</v>
      </c>
      <c r="AQ9" s="267">
        <f>+AP9+1</f>
        <v>2019</v>
      </c>
      <c r="AR9" s="267">
        <f>+AQ9+1</f>
        <v>2020</v>
      </c>
      <c r="AS9" s="267">
        <f>+AR9+1</f>
        <v>2021</v>
      </c>
    </row>
    <row r="10" spans="1:45" ht="30">
      <c r="A10" s="263" t="s">
        <v>156</v>
      </c>
      <c r="B10" s="264" t="s">
        <v>155</v>
      </c>
      <c r="C10" s="302">
        <v>10000000</v>
      </c>
      <c r="D10" s="310">
        <f>+C10*(1+$AI$10)</f>
        <v>10300000</v>
      </c>
      <c r="E10" s="360">
        <v>1609000</v>
      </c>
      <c r="F10" s="248">
        <f>+'INGRESOS 2014'!H10</f>
        <v>0</v>
      </c>
      <c r="G10" s="248">
        <f>+F10*(1+$AL$10)</f>
        <v>0</v>
      </c>
      <c r="H10" s="248">
        <f>+G10*(1+$AM$10)</f>
        <v>0</v>
      </c>
      <c r="I10" s="248">
        <f>+H10*(1+$AN$10)</f>
        <v>0</v>
      </c>
      <c r="J10" s="248">
        <f>+I10*(1+$AO$10)</f>
        <v>0</v>
      </c>
      <c r="K10" s="248">
        <f>+J10*(1+$AP$10)</f>
        <v>0</v>
      </c>
      <c r="L10" s="248">
        <f>+K10*(1+$AQ$10)</f>
        <v>0</v>
      </c>
      <c r="M10" s="248">
        <f t="shared" si="3"/>
        <v>0</v>
      </c>
      <c r="N10" s="309">
        <f t="shared" si="3"/>
        <v>0</v>
      </c>
      <c r="O10" s="309">
        <f t="shared" si="3"/>
        <v>0</v>
      </c>
      <c r="P10" s="309">
        <f t="shared" si="3"/>
        <v>0</v>
      </c>
      <c r="Q10" s="309">
        <f>SUM(C10:P10)</f>
        <v>21909000</v>
      </c>
      <c r="R10" s="244">
        <f>+C10</f>
        <v>10000000</v>
      </c>
      <c r="V10" s="244" t="e">
        <f>+#REF!-V7-V9</f>
        <v>#REF!</v>
      </c>
      <c r="W10" s="252" t="s">
        <v>154</v>
      </c>
      <c r="Z10" s="268">
        <v>11000000</v>
      </c>
      <c r="AA10" s="252" t="s">
        <v>399</v>
      </c>
      <c r="AE10" s="269" t="s">
        <v>272</v>
      </c>
      <c r="AF10" s="292">
        <v>0.04</v>
      </c>
      <c r="AG10" s="292">
        <v>0.035</v>
      </c>
      <c r="AH10" s="30">
        <v>0.03</v>
      </c>
      <c r="AI10" s="293">
        <v>0.03</v>
      </c>
      <c r="AJ10" s="30">
        <v>0.03</v>
      </c>
      <c r="AK10" s="30">
        <v>0.03</v>
      </c>
      <c r="AL10" s="30">
        <v>0.03</v>
      </c>
      <c r="AM10" s="30">
        <v>0.03</v>
      </c>
      <c r="AN10" s="30">
        <v>0.03</v>
      </c>
      <c r="AO10" s="30">
        <v>0.03</v>
      </c>
      <c r="AP10" s="30">
        <v>0.03</v>
      </c>
      <c r="AQ10" s="30">
        <v>0.03</v>
      </c>
      <c r="AR10" s="30">
        <v>0.03</v>
      </c>
      <c r="AS10" s="30">
        <v>0.03</v>
      </c>
    </row>
    <row r="11" spans="1:42" ht="15">
      <c r="A11" s="263" t="s">
        <v>153</v>
      </c>
      <c r="B11" s="270" t="s">
        <v>152</v>
      </c>
      <c r="C11" s="301">
        <f>SUM(C12:C13)</f>
        <v>290000000</v>
      </c>
      <c r="D11" s="301">
        <f aca="true" t="shared" si="5" ref="D11:P11">SUM(D12:D13)</f>
        <v>228700000</v>
      </c>
      <c r="E11" s="301">
        <f t="shared" si="5"/>
        <v>216506000</v>
      </c>
      <c r="F11" s="301">
        <f t="shared" si="5"/>
        <v>394533355</v>
      </c>
      <c r="G11" s="301">
        <f t="shared" si="5"/>
        <v>406369355.65</v>
      </c>
      <c r="H11" s="301">
        <f t="shared" si="5"/>
        <v>418560436.3195</v>
      </c>
      <c r="I11" s="301">
        <f t="shared" si="5"/>
        <v>431117249.40908504</v>
      </c>
      <c r="J11" s="301">
        <f t="shared" si="5"/>
        <v>444050766.8913576</v>
      </c>
      <c r="K11" s="301">
        <f t="shared" si="5"/>
        <v>457372289.89809835</v>
      </c>
      <c r="L11" s="301">
        <f t="shared" si="5"/>
        <v>471093458.5950414</v>
      </c>
      <c r="M11" s="301">
        <f t="shared" si="5"/>
        <v>485226262.3528926</v>
      </c>
      <c r="N11" s="301">
        <f>SUM(N12:N13)</f>
        <v>499783050.2234794</v>
      </c>
      <c r="O11" s="301">
        <f>SUM(O12:O13)</f>
        <v>514776541.73018384</v>
      </c>
      <c r="P11" s="301">
        <f t="shared" si="5"/>
        <v>530219837.9820894</v>
      </c>
      <c r="Q11" s="247">
        <f>SUM(Q12:Q13)</f>
        <v>5788308604.051728</v>
      </c>
      <c r="R11" s="286">
        <f>+C11</f>
        <v>290000000</v>
      </c>
      <c r="Z11" s="271" t="e">
        <f>+Z6-Z7-Z8-Z9-Z10</f>
        <v>#REF!</v>
      </c>
      <c r="AA11" s="252" t="s">
        <v>154</v>
      </c>
      <c r="AE11" s="17"/>
      <c r="AF11" s="287"/>
      <c r="AG11" s="287"/>
      <c r="AH11" s="30"/>
      <c r="AI11" s="30"/>
      <c r="AJ11" s="30"/>
      <c r="AK11" s="30"/>
      <c r="AL11" s="30"/>
      <c r="AM11" s="30"/>
      <c r="AN11" s="30"/>
      <c r="AO11" s="30"/>
      <c r="AP11" s="30"/>
    </row>
    <row r="12" spans="1:42" ht="30">
      <c r="A12" s="263" t="s">
        <v>151</v>
      </c>
      <c r="B12" s="264" t="s">
        <v>150</v>
      </c>
      <c r="C12" s="302">
        <v>120000000</v>
      </c>
      <c r="D12" s="310">
        <f>+C12*(1+$AI$10)</f>
        <v>123600000</v>
      </c>
      <c r="E12" s="360">
        <v>108253000</v>
      </c>
      <c r="F12" s="248">
        <f>+'INGRESOS 2014'!H12</f>
        <v>315000000</v>
      </c>
      <c r="G12" s="248">
        <f>+F12*(1+$AL$10)</f>
        <v>324450000</v>
      </c>
      <c r="H12" s="248">
        <f>+G12*(1+$AM$10)</f>
        <v>334183500</v>
      </c>
      <c r="I12" s="248">
        <f>+H12*(1+$AN$10)</f>
        <v>344209005</v>
      </c>
      <c r="J12" s="248">
        <f>+I12*(1+$AO$10)</f>
        <v>354535275.15000004</v>
      </c>
      <c r="K12" s="248">
        <f>+J12*(1+$AP$10)</f>
        <v>365171333.40450007</v>
      </c>
      <c r="L12" s="248">
        <f>+K12*(1+$AQ$10)</f>
        <v>376126473.4066351</v>
      </c>
      <c r="M12" s="248">
        <f>+L12*(1+$AR$10)</f>
        <v>387410267.60883415</v>
      </c>
      <c r="N12" s="309">
        <f aca="true" t="shared" si="6" ref="N12:P13">+M12*(1+$AR$10)</f>
        <v>399032575.6370992</v>
      </c>
      <c r="O12" s="309">
        <f t="shared" si="6"/>
        <v>411003552.9062122</v>
      </c>
      <c r="P12" s="309">
        <f t="shared" si="6"/>
        <v>423333659.4933986</v>
      </c>
      <c r="Q12" s="309">
        <f>SUM(C12:P12)</f>
        <v>4386308642.60668</v>
      </c>
      <c r="AE12" s="17"/>
      <c r="AF12" s="287"/>
      <c r="AG12" s="287"/>
      <c r="AH12" s="30"/>
      <c r="AI12" s="30"/>
      <c r="AJ12" s="30"/>
      <c r="AK12" s="30"/>
      <c r="AL12" s="30"/>
      <c r="AM12" s="30"/>
      <c r="AN12" s="30"/>
      <c r="AO12" s="30"/>
      <c r="AP12" s="30"/>
    </row>
    <row r="13" spans="1:42" ht="30">
      <c r="A13" s="263" t="s">
        <v>149</v>
      </c>
      <c r="B13" s="264" t="s">
        <v>148</v>
      </c>
      <c r="C13" s="302">
        <v>170000000</v>
      </c>
      <c r="D13" s="310">
        <f>+C13*(1+$AI$10)-70000000</f>
        <v>105100000</v>
      </c>
      <c r="E13" s="360">
        <v>108253000</v>
      </c>
      <c r="F13" s="248">
        <f>+'INGRESOS 2014'!H13</f>
        <v>79533355</v>
      </c>
      <c r="G13" s="248">
        <f>+F13*(1+$AL$10)</f>
        <v>81919355.65</v>
      </c>
      <c r="H13" s="248">
        <f>+G13*(1+$AM$10)</f>
        <v>84376936.31950001</v>
      </c>
      <c r="I13" s="248">
        <f>+H13*(1+$AN$10)</f>
        <v>86908244.40908502</v>
      </c>
      <c r="J13" s="248">
        <f>+I13*(1+$AO$10)</f>
        <v>89515491.74135758</v>
      </c>
      <c r="K13" s="248">
        <f>+J13*(1+$AP$10)</f>
        <v>92200956.49359831</v>
      </c>
      <c r="L13" s="248">
        <f>+K13*(1+$AQ$10)</f>
        <v>94966985.18840626</v>
      </c>
      <c r="M13" s="248">
        <f>+L13*(1+$AR$10)</f>
        <v>97815994.74405845</v>
      </c>
      <c r="N13" s="309">
        <f t="shared" si="6"/>
        <v>100750474.5863802</v>
      </c>
      <c r="O13" s="309">
        <f t="shared" si="6"/>
        <v>103772988.82397161</v>
      </c>
      <c r="P13" s="309">
        <f t="shared" si="6"/>
        <v>106886178.48869076</v>
      </c>
      <c r="Q13" s="309">
        <f>SUM(C13:P13)</f>
        <v>1401999961.445048</v>
      </c>
      <c r="Z13" s="272" t="e">
        <f>+Z11/#REF!</f>
        <v>#REF!</v>
      </c>
      <c r="AA13" s="252" t="s">
        <v>400</v>
      </c>
      <c r="AE13" s="17"/>
      <c r="AF13" s="287"/>
      <c r="AG13" s="287"/>
      <c r="AH13" s="30"/>
      <c r="AI13" s="30"/>
      <c r="AJ13" s="30"/>
      <c r="AK13" s="30"/>
      <c r="AL13" s="30"/>
      <c r="AM13" s="30"/>
      <c r="AN13" s="30"/>
      <c r="AO13" s="30"/>
      <c r="AP13" s="30"/>
    </row>
    <row r="14" spans="1:42" ht="30">
      <c r="A14" s="263" t="s">
        <v>147</v>
      </c>
      <c r="B14" s="270" t="s">
        <v>146</v>
      </c>
      <c r="C14" s="301">
        <f>SUM(C15:C16)</f>
        <v>6400000000</v>
      </c>
      <c r="D14" s="301">
        <f aca="true" t="shared" si="7" ref="D14:P14">SUM(D15:D16)</f>
        <v>7012000000</v>
      </c>
      <c r="E14" s="301">
        <f t="shared" si="7"/>
        <v>10122360000</v>
      </c>
      <c r="F14" s="301">
        <f t="shared" si="7"/>
        <v>12489850000</v>
      </c>
      <c r="G14" s="301">
        <f t="shared" si="7"/>
        <v>12864545500</v>
      </c>
      <c r="H14" s="301">
        <f t="shared" si="7"/>
        <v>13250481865</v>
      </c>
      <c r="I14" s="301">
        <f t="shared" si="7"/>
        <v>13647996320.95</v>
      </c>
      <c r="J14" s="301">
        <f t="shared" si="7"/>
        <v>14057436210.5785</v>
      </c>
      <c r="K14" s="301">
        <f t="shared" si="7"/>
        <v>14479159296.895855</v>
      </c>
      <c r="L14" s="301">
        <f t="shared" si="7"/>
        <v>14913534075.802732</v>
      </c>
      <c r="M14" s="301">
        <f t="shared" si="7"/>
        <v>15360940098.076815</v>
      </c>
      <c r="N14" s="301">
        <f>SUM(N15:N16)</f>
        <v>15821768301.01912</v>
      </c>
      <c r="O14" s="301">
        <f>SUM(O15:O16)</f>
        <v>16296421350.049692</v>
      </c>
      <c r="P14" s="301">
        <f t="shared" si="7"/>
        <v>16785313990.551184</v>
      </c>
      <c r="Q14" s="247">
        <f>SUM(Q15:Q16)</f>
        <v>183501807008.9239</v>
      </c>
      <c r="R14" s="245">
        <f>+C14</f>
        <v>6400000000</v>
      </c>
      <c r="AE14" s="17"/>
      <c r="AF14" s="287"/>
      <c r="AG14" s="287"/>
      <c r="AH14" s="30"/>
      <c r="AI14" s="30"/>
      <c r="AJ14" s="30"/>
      <c r="AK14" s="30"/>
      <c r="AL14" s="30"/>
      <c r="AM14" s="30"/>
      <c r="AN14" s="30"/>
      <c r="AO14" s="30"/>
      <c r="AP14" s="30"/>
    </row>
    <row r="15" spans="1:42" ht="30">
      <c r="A15" s="263" t="s">
        <v>145</v>
      </c>
      <c r="B15" s="264" t="s">
        <v>144</v>
      </c>
      <c r="C15" s="302">
        <v>4800000000</v>
      </c>
      <c r="D15" s="310">
        <v>5944000000</v>
      </c>
      <c r="E15" s="360">
        <v>9022320000</v>
      </c>
      <c r="F15" s="248">
        <f>+'INGRESOS 2014'!H15</f>
        <v>12000000000</v>
      </c>
      <c r="G15" s="248">
        <f>+F15*(1+$AL$10)</f>
        <v>12360000000</v>
      </c>
      <c r="H15" s="248">
        <f>+G15*(1+$AM$10)</f>
        <v>12730800000</v>
      </c>
      <c r="I15" s="248">
        <f>+H15*(1+$AN$10)</f>
        <v>13112724000</v>
      </c>
      <c r="J15" s="248">
        <f>+I15*(1+$AO$10)</f>
        <v>13506105720</v>
      </c>
      <c r="K15" s="248">
        <f>+J15*(1+$AP$10)</f>
        <v>13911288891.6</v>
      </c>
      <c r="L15" s="248">
        <f>+K15*(1+$AQ$10)</f>
        <v>14328627558.348001</v>
      </c>
      <c r="M15" s="248">
        <f>+L15*(1+$AR$10)</f>
        <v>14758486385.098442</v>
      </c>
      <c r="N15" s="309">
        <f aca="true" t="shared" si="8" ref="N15:P16">+M15*(1+$AR$10)</f>
        <v>15201240976.651396</v>
      </c>
      <c r="O15" s="309">
        <f t="shared" si="8"/>
        <v>15657278205.950937</v>
      </c>
      <c r="P15" s="309">
        <f t="shared" si="8"/>
        <v>16126996552.129465</v>
      </c>
      <c r="Q15" s="309">
        <f>SUM(C15:P15)</f>
        <v>173459868289.77823</v>
      </c>
      <c r="AE15" s="17"/>
      <c r="AF15" s="287"/>
      <c r="AG15" s="287"/>
      <c r="AH15" s="30"/>
      <c r="AI15" s="30"/>
      <c r="AJ15" s="30"/>
      <c r="AK15" s="30"/>
      <c r="AL15" s="30"/>
      <c r="AM15" s="30"/>
      <c r="AN15" s="30"/>
      <c r="AO15" s="30"/>
      <c r="AP15" s="30"/>
    </row>
    <row r="16" spans="1:42" ht="30">
      <c r="A16" s="263" t="s">
        <v>143</v>
      </c>
      <c r="B16" s="264" t="s">
        <v>142</v>
      </c>
      <c r="C16" s="302">
        <v>1600000000</v>
      </c>
      <c r="D16" s="310">
        <v>1068000000</v>
      </c>
      <c r="E16" s="360">
        <v>1100040000</v>
      </c>
      <c r="F16" s="248">
        <f>+'INGRESOS 2014'!H16</f>
        <v>489850000</v>
      </c>
      <c r="G16" s="248">
        <f>+F16*(1+$AL$10)</f>
        <v>504545500</v>
      </c>
      <c r="H16" s="248">
        <f>+G16*(1+$AM$10)</f>
        <v>519681865</v>
      </c>
      <c r="I16" s="248">
        <f>+H16*(1+$AN$10)</f>
        <v>535272320.95</v>
      </c>
      <c r="J16" s="248">
        <f>+I16*(1+$AO$10)</f>
        <v>551330490.5785</v>
      </c>
      <c r="K16" s="248">
        <f>+J16*(1+$AP$10)</f>
        <v>567870405.295855</v>
      </c>
      <c r="L16" s="248">
        <f>+K16*(1+$AQ$10)</f>
        <v>584906517.4547307</v>
      </c>
      <c r="M16" s="248">
        <f>+L16*(1+$AR$10)</f>
        <v>602453712.9783727</v>
      </c>
      <c r="N16" s="309">
        <f t="shared" si="8"/>
        <v>620527324.367724</v>
      </c>
      <c r="O16" s="309">
        <f t="shared" si="8"/>
        <v>639143144.0987557</v>
      </c>
      <c r="P16" s="309">
        <f t="shared" si="8"/>
        <v>658317438.4217184</v>
      </c>
      <c r="Q16" s="309">
        <f>SUM(C16:P16)</f>
        <v>10041938719.145655</v>
      </c>
      <c r="AE16" s="17"/>
      <c r="AF16" s="287"/>
      <c r="AG16" s="287"/>
      <c r="AH16" s="30"/>
      <c r="AI16" s="30"/>
      <c r="AJ16" s="30"/>
      <c r="AK16" s="30"/>
      <c r="AL16" s="30"/>
      <c r="AM16" s="30"/>
      <c r="AN16" s="30"/>
      <c r="AO16" s="30"/>
      <c r="AP16" s="30"/>
    </row>
    <row r="17" spans="1:42" ht="15">
      <c r="A17" s="263" t="s">
        <v>141</v>
      </c>
      <c r="B17" s="270" t="s">
        <v>140</v>
      </c>
      <c r="C17" s="301">
        <f>SUM(C18:C19)</f>
        <v>370522000</v>
      </c>
      <c r="D17" s="301">
        <f aca="true" t="shared" si="9" ref="D17:P17">SUM(D18:D19)</f>
        <v>526637660</v>
      </c>
      <c r="E17" s="301">
        <f t="shared" si="9"/>
        <v>542436790</v>
      </c>
      <c r="F17" s="301">
        <f t="shared" si="9"/>
        <v>932222469</v>
      </c>
      <c r="G17" s="301">
        <f t="shared" si="9"/>
        <v>960189143.07</v>
      </c>
      <c r="H17" s="301">
        <f t="shared" si="9"/>
        <v>988994817.3621001</v>
      </c>
      <c r="I17" s="301">
        <f t="shared" si="9"/>
        <v>1018664661.8829632</v>
      </c>
      <c r="J17" s="301">
        <f t="shared" si="9"/>
        <v>1049224601.7394521</v>
      </c>
      <c r="K17" s="301">
        <f t="shared" si="9"/>
        <v>1080701339.7916358</v>
      </c>
      <c r="L17" s="301">
        <f t="shared" si="9"/>
        <v>1113122379.985385</v>
      </c>
      <c r="M17" s="301">
        <f t="shared" si="9"/>
        <v>1146516051.3849466</v>
      </c>
      <c r="N17" s="301">
        <f>SUM(N18:N19)</f>
        <v>1180911532.926495</v>
      </c>
      <c r="O17" s="301">
        <f>SUM(O18:O19)</f>
        <v>1216338878.91429</v>
      </c>
      <c r="P17" s="301">
        <f t="shared" si="9"/>
        <v>1252829045.2817185</v>
      </c>
      <c r="Q17" s="247">
        <f>SUM(Q18:Q19)</f>
        <v>13379311371.338984</v>
      </c>
      <c r="R17" s="245">
        <f>+C17</f>
        <v>370522000</v>
      </c>
      <c r="AE17" s="273" t="s">
        <v>276</v>
      </c>
      <c r="AF17" s="294">
        <v>0.045</v>
      </c>
      <c r="AG17" s="294">
        <v>0.02</v>
      </c>
      <c r="AH17" s="30">
        <v>0.02</v>
      </c>
      <c r="AI17" s="293">
        <v>0.025</v>
      </c>
      <c r="AJ17" s="30">
        <v>0.03</v>
      </c>
      <c r="AK17" s="30">
        <v>0.03</v>
      </c>
      <c r="AL17" s="30">
        <v>0.03</v>
      </c>
      <c r="AM17" s="30">
        <v>0.03</v>
      </c>
      <c r="AN17" s="30">
        <v>0.03</v>
      </c>
      <c r="AO17" s="30">
        <v>0.03</v>
      </c>
      <c r="AP17" s="30">
        <v>0.03</v>
      </c>
    </row>
    <row r="18" spans="1:42" ht="30">
      <c r="A18" s="263" t="s">
        <v>139</v>
      </c>
      <c r="B18" s="264" t="s">
        <v>138</v>
      </c>
      <c r="C18" s="302">
        <v>255522000</v>
      </c>
      <c r="D18" s="310">
        <f>+C18*(1+$AI$10)+250000000</f>
        <v>513187660</v>
      </c>
      <c r="E18" s="360">
        <v>528583290</v>
      </c>
      <c r="F18" s="248">
        <f>+'INGRESOS 2014'!H18</f>
        <v>923222469</v>
      </c>
      <c r="G18" s="248">
        <f aca="true" t="shared" si="10" ref="G18:G28">+F18*(1+$AL$10)</f>
        <v>950919143.07</v>
      </c>
      <c r="H18" s="248">
        <f aca="true" t="shared" si="11" ref="H18:H28">+G18*(1+$AM$10)</f>
        <v>979446717.3621001</v>
      </c>
      <c r="I18" s="248">
        <f aca="true" t="shared" si="12" ref="I18:I28">+H18*(1+$AN$10)</f>
        <v>1008830118.8829632</v>
      </c>
      <c r="J18" s="248">
        <f aca="true" t="shared" si="13" ref="J18:J28">+I18*(1+$AO$10)</f>
        <v>1039095022.4494522</v>
      </c>
      <c r="K18" s="248">
        <f aca="true" t="shared" si="14" ref="K18:K28">+J18*(1+$AP$10)</f>
        <v>1070267873.1229358</v>
      </c>
      <c r="L18" s="248">
        <f aca="true" t="shared" si="15" ref="L18:L28">+K18*(1+$AQ$10)</f>
        <v>1102375909.316624</v>
      </c>
      <c r="M18" s="248">
        <f aca="true" t="shared" si="16" ref="M18:P27">+L18*(1+$AR$10)</f>
        <v>1135447186.5961227</v>
      </c>
      <c r="N18" s="309">
        <f t="shared" si="16"/>
        <v>1169510602.1940064</v>
      </c>
      <c r="O18" s="309">
        <f t="shared" si="16"/>
        <v>1204595920.2598267</v>
      </c>
      <c r="P18" s="309">
        <f t="shared" si="16"/>
        <v>1240733797.8676214</v>
      </c>
      <c r="Q18" s="309">
        <f aca="true" t="shared" si="17" ref="Q18:Q28">SUM(C18:P18)</f>
        <v>13121737710.12165</v>
      </c>
      <c r="AE18" s="17"/>
      <c r="AF18" s="294"/>
      <c r="AG18" s="294"/>
      <c r="AH18" s="30"/>
      <c r="AI18" s="30"/>
      <c r="AJ18" s="30"/>
      <c r="AK18" s="30"/>
      <c r="AL18" s="30"/>
      <c r="AM18" s="30"/>
      <c r="AN18" s="30"/>
      <c r="AO18" s="30"/>
      <c r="AP18" s="30"/>
    </row>
    <row r="19" spans="1:42" ht="30">
      <c r="A19" s="263" t="s">
        <v>137</v>
      </c>
      <c r="B19" s="264" t="s">
        <v>136</v>
      </c>
      <c r="C19" s="302">
        <v>115000000</v>
      </c>
      <c r="D19" s="310">
        <f>+C19*(1+$AI$10)-105000000</f>
        <v>13450000</v>
      </c>
      <c r="E19" s="360">
        <v>13853500</v>
      </c>
      <c r="F19" s="248">
        <f>+'INGRESOS 2014'!H19</f>
        <v>9000000</v>
      </c>
      <c r="G19" s="248">
        <f t="shared" si="10"/>
        <v>9270000</v>
      </c>
      <c r="H19" s="248">
        <f t="shared" si="11"/>
        <v>9548100</v>
      </c>
      <c r="I19" s="248">
        <f t="shared" si="12"/>
        <v>9834543</v>
      </c>
      <c r="J19" s="248">
        <f t="shared" si="13"/>
        <v>10129579.290000001</v>
      </c>
      <c r="K19" s="248">
        <f t="shared" si="14"/>
        <v>10433466.668700002</v>
      </c>
      <c r="L19" s="248">
        <f t="shared" si="15"/>
        <v>10746470.668761002</v>
      </c>
      <c r="M19" s="248">
        <f t="shared" si="16"/>
        <v>11068864.788823832</v>
      </c>
      <c r="N19" s="309">
        <f t="shared" si="16"/>
        <v>11400930.732488547</v>
      </c>
      <c r="O19" s="309">
        <f t="shared" si="16"/>
        <v>11742958.654463204</v>
      </c>
      <c r="P19" s="309">
        <f t="shared" si="16"/>
        <v>12095247.4140971</v>
      </c>
      <c r="Q19" s="309">
        <f t="shared" si="17"/>
        <v>257573661.2173337</v>
      </c>
      <c r="S19" s="252"/>
      <c r="T19" s="252"/>
      <c r="U19" s="252"/>
      <c r="V19" s="252"/>
      <c r="AE19" s="17"/>
      <c r="AF19" s="294">
        <v>0</v>
      </c>
      <c r="AG19" s="294">
        <v>0</v>
      </c>
      <c r="AH19" s="30">
        <v>0</v>
      </c>
      <c r="AI19" s="30">
        <v>0</v>
      </c>
      <c r="AJ19" s="30">
        <v>0</v>
      </c>
      <c r="AK19" s="30">
        <v>0</v>
      </c>
      <c r="AL19" s="30">
        <v>0</v>
      </c>
      <c r="AM19" s="30">
        <v>0</v>
      </c>
      <c r="AN19" s="30">
        <v>0</v>
      </c>
      <c r="AO19" s="30">
        <v>0</v>
      </c>
      <c r="AP19" s="30">
        <v>0</v>
      </c>
    </row>
    <row r="20" spans="1:42" ht="30">
      <c r="A20" s="263" t="s">
        <v>135</v>
      </c>
      <c r="B20" s="264" t="s">
        <v>134</v>
      </c>
      <c r="C20" s="302">
        <v>1000000</v>
      </c>
      <c r="D20" s="310">
        <f>+C20*(1+$AI$10)</f>
        <v>1030000</v>
      </c>
      <c r="E20" s="360">
        <v>500000</v>
      </c>
      <c r="F20" s="248">
        <f>+'INGRESOS 2014'!H20</f>
        <v>1000000</v>
      </c>
      <c r="G20" s="248">
        <f t="shared" si="10"/>
        <v>1030000</v>
      </c>
      <c r="H20" s="248">
        <f t="shared" si="11"/>
        <v>1060900</v>
      </c>
      <c r="I20" s="248">
        <f t="shared" si="12"/>
        <v>1092727</v>
      </c>
      <c r="J20" s="248">
        <f t="shared" si="13"/>
        <v>1125508.81</v>
      </c>
      <c r="K20" s="248">
        <f t="shared" si="14"/>
        <v>1159274.0743</v>
      </c>
      <c r="L20" s="248">
        <f t="shared" si="15"/>
        <v>1194052.296529</v>
      </c>
      <c r="M20" s="248">
        <f t="shared" si="16"/>
        <v>1229873.86542487</v>
      </c>
      <c r="N20" s="309">
        <f t="shared" si="16"/>
        <v>1266770.0813876162</v>
      </c>
      <c r="O20" s="309">
        <f t="shared" si="16"/>
        <v>1304773.1838292447</v>
      </c>
      <c r="P20" s="309">
        <f t="shared" si="16"/>
        <v>1343916.379344122</v>
      </c>
      <c r="Q20" s="309">
        <f t="shared" si="17"/>
        <v>15337795.690814855</v>
      </c>
      <c r="R20" s="244">
        <f>+C20</f>
        <v>1000000</v>
      </c>
      <c r="S20" s="252"/>
      <c r="T20" s="252"/>
      <c r="U20" s="252"/>
      <c r="V20" s="252"/>
      <c r="AE20" s="17"/>
      <c r="AF20" s="294">
        <v>0</v>
      </c>
      <c r="AG20" s="294">
        <v>0</v>
      </c>
      <c r="AH20" s="30">
        <v>0</v>
      </c>
      <c r="AI20" s="30">
        <v>0</v>
      </c>
      <c r="AJ20" s="30">
        <v>0</v>
      </c>
      <c r="AK20" s="30">
        <v>0</v>
      </c>
      <c r="AL20" s="30">
        <v>0</v>
      </c>
      <c r="AM20" s="30">
        <v>0</v>
      </c>
      <c r="AN20" s="30">
        <v>0</v>
      </c>
      <c r="AO20" s="30">
        <v>0</v>
      </c>
      <c r="AP20" s="30">
        <v>0</v>
      </c>
    </row>
    <row r="21" spans="1:42" ht="30">
      <c r="A21" s="263" t="s">
        <v>133</v>
      </c>
      <c r="B21" s="264" t="s">
        <v>132</v>
      </c>
      <c r="C21" s="302">
        <v>500000</v>
      </c>
      <c r="D21" s="310">
        <f>+C21*(1+$AI$10)</f>
        <v>515000</v>
      </c>
      <c r="E21" s="360">
        <v>530450</v>
      </c>
      <c r="F21" s="248">
        <f>+'INGRESOS 2014'!H21</f>
        <v>500000</v>
      </c>
      <c r="G21" s="248">
        <f t="shared" si="10"/>
        <v>515000</v>
      </c>
      <c r="H21" s="248">
        <f t="shared" si="11"/>
        <v>530450</v>
      </c>
      <c r="I21" s="248">
        <f t="shared" si="12"/>
        <v>546363.5</v>
      </c>
      <c r="J21" s="248">
        <f t="shared" si="13"/>
        <v>562754.405</v>
      </c>
      <c r="K21" s="248">
        <f t="shared" si="14"/>
        <v>579637.03715</v>
      </c>
      <c r="L21" s="248">
        <f t="shared" si="15"/>
        <v>597026.1482645</v>
      </c>
      <c r="M21" s="248">
        <f t="shared" si="16"/>
        <v>614936.932712435</v>
      </c>
      <c r="N21" s="309">
        <f t="shared" si="16"/>
        <v>633385.0406938081</v>
      </c>
      <c r="O21" s="309">
        <f t="shared" si="16"/>
        <v>652386.5919146223</v>
      </c>
      <c r="P21" s="309">
        <f t="shared" si="16"/>
        <v>671958.189672061</v>
      </c>
      <c r="Q21" s="309">
        <f t="shared" si="17"/>
        <v>7949347.845407427</v>
      </c>
      <c r="R21" s="244">
        <f>+C21</f>
        <v>500000</v>
      </c>
      <c r="S21" s="252"/>
      <c r="T21" s="252"/>
      <c r="U21" s="252"/>
      <c r="V21" s="252"/>
      <c r="AE21" s="17"/>
      <c r="AF21" s="294">
        <v>0</v>
      </c>
      <c r="AG21" s="294">
        <v>0</v>
      </c>
      <c r="AH21" s="30">
        <v>0</v>
      </c>
      <c r="AI21" s="30">
        <v>0</v>
      </c>
      <c r="AJ21" s="30">
        <v>0</v>
      </c>
      <c r="AK21" s="30">
        <v>0</v>
      </c>
      <c r="AL21" s="30">
        <v>0</v>
      </c>
      <c r="AM21" s="30">
        <v>0</v>
      </c>
      <c r="AN21" s="30">
        <v>0</v>
      </c>
      <c r="AO21" s="30">
        <v>0</v>
      </c>
      <c r="AP21" s="30">
        <v>0</v>
      </c>
    </row>
    <row r="22" spans="1:42" ht="30">
      <c r="A22" s="263" t="s">
        <v>131</v>
      </c>
      <c r="B22" s="264" t="s">
        <v>130</v>
      </c>
      <c r="C22" s="302">
        <v>500000</v>
      </c>
      <c r="D22" s="310">
        <f>+C22*(1+$AI$10)</f>
        <v>515000</v>
      </c>
      <c r="E22" s="360">
        <v>530450</v>
      </c>
      <c r="F22" s="248">
        <f>+'INGRESOS 2014'!H22</f>
        <v>0</v>
      </c>
      <c r="G22" s="248">
        <f t="shared" si="10"/>
        <v>0</v>
      </c>
      <c r="H22" s="248">
        <f t="shared" si="11"/>
        <v>0</v>
      </c>
      <c r="I22" s="248">
        <f t="shared" si="12"/>
        <v>0</v>
      </c>
      <c r="J22" s="248">
        <f t="shared" si="13"/>
        <v>0</v>
      </c>
      <c r="K22" s="248">
        <f t="shared" si="14"/>
        <v>0</v>
      </c>
      <c r="L22" s="248">
        <f t="shared" si="15"/>
        <v>0</v>
      </c>
      <c r="M22" s="248">
        <f t="shared" si="16"/>
        <v>0</v>
      </c>
      <c r="N22" s="309">
        <f t="shared" si="16"/>
        <v>0</v>
      </c>
      <c r="O22" s="309">
        <f t="shared" si="16"/>
        <v>0</v>
      </c>
      <c r="P22" s="309">
        <f t="shared" si="16"/>
        <v>0</v>
      </c>
      <c r="Q22" s="309">
        <f t="shared" si="17"/>
        <v>1545450</v>
      </c>
      <c r="R22" s="244">
        <f>+C22</f>
        <v>500000</v>
      </c>
      <c r="S22" s="252"/>
      <c r="T22" s="252"/>
      <c r="U22" s="252"/>
      <c r="V22" s="252"/>
      <c r="AE22" s="17"/>
      <c r="AF22" s="294">
        <v>0</v>
      </c>
      <c r="AG22" s="294">
        <v>0</v>
      </c>
      <c r="AH22" s="30">
        <v>0</v>
      </c>
      <c r="AI22" s="30">
        <v>0</v>
      </c>
      <c r="AJ22" s="30">
        <v>0</v>
      </c>
      <c r="AK22" s="30">
        <v>0</v>
      </c>
      <c r="AL22" s="30">
        <v>0</v>
      </c>
      <c r="AM22" s="30">
        <v>0</v>
      </c>
      <c r="AN22" s="30">
        <v>0</v>
      </c>
      <c r="AO22" s="30">
        <v>0</v>
      </c>
      <c r="AP22" s="30">
        <v>0</v>
      </c>
    </row>
    <row r="23" spans="1:42" ht="30">
      <c r="A23" s="263" t="s">
        <v>129</v>
      </c>
      <c r="B23" s="264" t="s">
        <v>128</v>
      </c>
      <c r="C23" s="302">
        <v>1000000</v>
      </c>
      <c r="D23" s="312">
        <f>+C23*(1+$AI$10)</f>
        <v>1030000</v>
      </c>
      <c r="E23" s="302">
        <f>+'[4]InfEjecucionIngresosContraloria'!$F$31</f>
        <v>200000</v>
      </c>
      <c r="F23" s="248">
        <f>+'INGRESOS 2014'!H23</f>
        <v>0</v>
      </c>
      <c r="G23" s="248">
        <f t="shared" si="10"/>
        <v>0</v>
      </c>
      <c r="H23" s="248">
        <f t="shared" si="11"/>
        <v>0</v>
      </c>
      <c r="I23" s="248">
        <f t="shared" si="12"/>
        <v>0</v>
      </c>
      <c r="J23" s="248">
        <f t="shared" si="13"/>
        <v>0</v>
      </c>
      <c r="K23" s="248">
        <f t="shared" si="14"/>
        <v>0</v>
      </c>
      <c r="L23" s="248">
        <f t="shared" si="15"/>
        <v>0</v>
      </c>
      <c r="M23" s="248">
        <f t="shared" si="16"/>
        <v>0</v>
      </c>
      <c r="N23" s="309">
        <f t="shared" si="16"/>
        <v>0</v>
      </c>
      <c r="O23" s="309">
        <f t="shared" si="16"/>
        <v>0</v>
      </c>
      <c r="P23" s="309">
        <f t="shared" si="16"/>
        <v>0</v>
      </c>
      <c r="Q23" s="309">
        <f t="shared" si="17"/>
        <v>2230000</v>
      </c>
      <c r="R23" s="244">
        <f>+C23</f>
        <v>1000000</v>
      </c>
      <c r="S23" s="252"/>
      <c r="T23" s="252"/>
      <c r="U23" s="252"/>
      <c r="V23" s="252"/>
      <c r="AE23" s="17"/>
      <c r="AF23" s="294">
        <v>0</v>
      </c>
      <c r="AG23" s="294">
        <v>0</v>
      </c>
      <c r="AH23" s="30">
        <v>0</v>
      </c>
      <c r="AI23" s="30">
        <v>0</v>
      </c>
      <c r="AJ23" s="30">
        <v>0</v>
      </c>
      <c r="AK23" s="30">
        <v>0</v>
      </c>
      <c r="AL23" s="30">
        <v>0</v>
      </c>
      <c r="AM23" s="30">
        <v>0</v>
      </c>
      <c r="AN23" s="30">
        <v>0</v>
      </c>
      <c r="AO23" s="30">
        <v>0</v>
      </c>
      <c r="AP23" s="30">
        <v>0</v>
      </c>
    </row>
    <row r="24" spans="1:42" ht="30">
      <c r="A24" s="263" t="s">
        <v>127</v>
      </c>
      <c r="B24" s="264" t="s">
        <v>126</v>
      </c>
      <c r="C24" s="302">
        <v>10000000</v>
      </c>
      <c r="D24" s="310">
        <v>20000000</v>
      </c>
      <c r="E24" s="302">
        <f>+'[4]InfEjecucionIngresosContraloria'!$F$32</f>
        <v>20600000</v>
      </c>
      <c r="F24" s="248">
        <f>+'INGRESOS 2014'!H24</f>
        <v>506000000</v>
      </c>
      <c r="G24" s="248">
        <f t="shared" si="10"/>
        <v>521180000</v>
      </c>
      <c r="H24" s="248">
        <f t="shared" si="11"/>
        <v>536815400</v>
      </c>
      <c r="I24" s="248">
        <f t="shared" si="12"/>
        <v>552919862</v>
      </c>
      <c r="J24" s="248">
        <f t="shared" si="13"/>
        <v>569507457.86</v>
      </c>
      <c r="K24" s="248">
        <f t="shared" si="14"/>
        <v>586592681.5958</v>
      </c>
      <c r="L24" s="248">
        <f t="shared" si="15"/>
        <v>604190462.0436741</v>
      </c>
      <c r="M24" s="248">
        <f t="shared" si="16"/>
        <v>622316175.9049844</v>
      </c>
      <c r="N24" s="309">
        <f t="shared" si="16"/>
        <v>640985661.1821339</v>
      </c>
      <c r="O24" s="309">
        <f t="shared" si="16"/>
        <v>660215231.0175979</v>
      </c>
      <c r="P24" s="309">
        <f t="shared" si="16"/>
        <v>680021687.9481258</v>
      </c>
      <c r="Q24" s="309">
        <f t="shared" si="17"/>
        <v>6531344619.552316</v>
      </c>
      <c r="S24" s="252"/>
      <c r="T24" s="252"/>
      <c r="U24" s="252"/>
      <c r="V24" s="252"/>
      <c r="AE24" s="17"/>
      <c r="AF24" s="294">
        <v>0</v>
      </c>
      <c r="AG24" s="294">
        <v>0</v>
      </c>
      <c r="AH24" s="30">
        <v>0</v>
      </c>
      <c r="AI24" s="30">
        <v>0</v>
      </c>
      <c r="AJ24" s="30">
        <v>0</v>
      </c>
      <c r="AK24" s="30">
        <v>0</v>
      </c>
      <c r="AL24" s="30">
        <v>0</v>
      </c>
      <c r="AM24" s="30">
        <v>0</v>
      </c>
      <c r="AN24" s="30">
        <v>0</v>
      </c>
      <c r="AO24" s="30">
        <v>0</v>
      </c>
      <c r="AP24" s="30">
        <v>0</v>
      </c>
    </row>
    <row r="25" spans="1:42" ht="45">
      <c r="A25" s="263" t="s">
        <v>125</v>
      </c>
      <c r="B25" s="264" t="s">
        <v>124</v>
      </c>
      <c r="C25" s="302">
        <v>1500000</v>
      </c>
      <c r="D25" s="310">
        <f>+C25*(1+$AI$10)</f>
        <v>1545000</v>
      </c>
      <c r="E25" s="360">
        <v>2591350</v>
      </c>
      <c r="F25" s="248">
        <f>+'INGRESOS 2014'!H25</f>
        <v>7500000</v>
      </c>
      <c r="G25" s="248">
        <f t="shared" si="10"/>
        <v>7725000</v>
      </c>
      <c r="H25" s="248">
        <f t="shared" si="11"/>
        <v>7956750</v>
      </c>
      <c r="I25" s="248">
        <f t="shared" si="12"/>
        <v>8195452.5</v>
      </c>
      <c r="J25" s="248">
        <f t="shared" si="13"/>
        <v>8441316.075000001</v>
      </c>
      <c r="K25" s="248">
        <f t="shared" si="14"/>
        <v>8694555.55725</v>
      </c>
      <c r="L25" s="248">
        <f t="shared" si="15"/>
        <v>8955392.2239675</v>
      </c>
      <c r="M25" s="248">
        <f t="shared" si="16"/>
        <v>9224053.990686525</v>
      </c>
      <c r="N25" s="309">
        <f t="shared" si="16"/>
        <v>9500775.610407121</v>
      </c>
      <c r="O25" s="309">
        <f t="shared" si="16"/>
        <v>9785798.878719335</v>
      </c>
      <c r="P25" s="309">
        <f t="shared" si="16"/>
        <v>10079372.845080916</v>
      </c>
      <c r="Q25" s="309">
        <f t="shared" si="17"/>
        <v>101694817.6811114</v>
      </c>
      <c r="R25" s="244">
        <f>+C25</f>
        <v>1500000</v>
      </c>
      <c r="S25" s="252"/>
      <c r="T25" s="252"/>
      <c r="U25" s="252"/>
      <c r="V25" s="252"/>
      <c r="AE25" s="17"/>
      <c r="AF25" s="294">
        <v>0</v>
      </c>
      <c r="AG25" s="294">
        <v>0</v>
      </c>
      <c r="AH25" s="30">
        <v>0</v>
      </c>
      <c r="AI25" s="30">
        <v>0</v>
      </c>
      <c r="AJ25" s="30">
        <v>0</v>
      </c>
      <c r="AK25" s="30">
        <v>0</v>
      </c>
      <c r="AL25" s="30">
        <v>0</v>
      </c>
      <c r="AM25" s="30">
        <v>0</v>
      </c>
      <c r="AN25" s="30">
        <v>0</v>
      </c>
      <c r="AO25" s="30">
        <v>0</v>
      </c>
      <c r="AP25" s="30">
        <v>0</v>
      </c>
    </row>
    <row r="26" spans="1:42" ht="15">
      <c r="A26" s="263" t="s">
        <v>123</v>
      </c>
      <c r="B26" s="264" t="s">
        <v>122</v>
      </c>
      <c r="C26" s="302">
        <v>200000</v>
      </c>
      <c r="D26" s="310">
        <f>+C26*(1+$AI$10)</f>
        <v>206000</v>
      </c>
      <c r="E26" s="360">
        <v>362180</v>
      </c>
      <c r="F26" s="248">
        <f>+'INGRESOS 2014'!H26</f>
        <v>700000</v>
      </c>
      <c r="G26" s="248">
        <f t="shared" si="10"/>
        <v>721000</v>
      </c>
      <c r="H26" s="248">
        <f t="shared" si="11"/>
        <v>742630</v>
      </c>
      <c r="I26" s="248">
        <f t="shared" si="12"/>
        <v>764908.9</v>
      </c>
      <c r="J26" s="248">
        <f t="shared" si="13"/>
        <v>787856.167</v>
      </c>
      <c r="K26" s="248">
        <f t="shared" si="14"/>
        <v>811491.85201</v>
      </c>
      <c r="L26" s="248">
        <f t="shared" si="15"/>
        <v>835836.6075703001</v>
      </c>
      <c r="M26" s="248">
        <f t="shared" si="16"/>
        <v>860911.7057974092</v>
      </c>
      <c r="N26" s="309">
        <f t="shared" si="16"/>
        <v>886739.0569713315</v>
      </c>
      <c r="O26" s="309">
        <f t="shared" si="16"/>
        <v>913341.2286804714</v>
      </c>
      <c r="P26" s="309">
        <f t="shared" si="16"/>
        <v>940741.4655408856</v>
      </c>
      <c r="Q26" s="309">
        <f t="shared" si="17"/>
        <v>9733636.983570399</v>
      </c>
      <c r="R26" s="244">
        <f>+C26</f>
        <v>200000</v>
      </c>
      <c r="S26" s="252"/>
      <c r="T26" s="252"/>
      <c r="U26" s="252"/>
      <c r="V26" s="252"/>
      <c r="AE26" s="17"/>
      <c r="AF26" s="294">
        <v>0</v>
      </c>
      <c r="AG26" s="294">
        <v>0</v>
      </c>
      <c r="AH26" s="30">
        <v>0</v>
      </c>
      <c r="AI26" s="30">
        <v>0</v>
      </c>
      <c r="AJ26" s="30">
        <v>0</v>
      </c>
      <c r="AK26" s="30">
        <v>0</v>
      </c>
      <c r="AL26" s="30">
        <v>0</v>
      </c>
      <c r="AM26" s="30">
        <v>0</v>
      </c>
      <c r="AN26" s="30">
        <v>0</v>
      </c>
      <c r="AO26" s="30">
        <v>0</v>
      </c>
      <c r="AP26" s="30">
        <v>0</v>
      </c>
    </row>
    <row r="27" spans="1:42" ht="30">
      <c r="A27" s="263" t="s">
        <v>121</v>
      </c>
      <c r="B27" s="264" t="s">
        <v>120</v>
      </c>
      <c r="C27" s="302">
        <v>500000</v>
      </c>
      <c r="D27" s="310">
        <f>+C27*(1+$AI$10)</f>
        <v>515000</v>
      </c>
      <c r="E27" s="360">
        <v>980450</v>
      </c>
      <c r="F27" s="248">
        <f>+'INGRESOS 2014'!H27</f>
        <v>1000000</v>
      </c>
      <c r="G27" s="248">
        <f t="shared" si="10"/>
        <v>1030000</v>
      </c>
      <c r="H27" s="248">
        <f t="shared" si="11"/>
        <v>1060900</v>
      </c>
      <c r="I27" s="248">
        <f t="shared" si="12"/>
        <v>1092727</v>
      </c>
      <c r="J27" s="248">
        <f t="shared" si="13"/>
        <v>1125508.81</v>
      </c>
      <c r="K27" s="248">
        <f t="shared" si="14"/>
        <v>1159274.0743</v>
      </c>
      <c r="L27" s="248">
        <f t="shared" si="15"/>
        <v>1194052.296529</v>
      </c>
      <c r="M27" s="248">
        <f t="shared" si="16"/>
        <v>1229873.86542487</v>
      </c>
      <c r="N27" s="309">
        <f t="shared" si="16"/>
        <v>1266770.0813876162</v>
      </c>
      <c r="O27" s="309">
        <f t="shared" si="16"/>
        <v>1304773.1838292447</v>
      </c>
      <c r="P27" s="309">
        <f t="shared" si="16"/>
        <v>1343916.379344122</v>
      </c>
      <c r="Q27" s="309">
        <f t="shared" si="17"/>
        <v>14803245.690814855</v>
      </c>
      <c r="R27" s="244">
        <f>+C27</f>
        <v>500000</v>
      </c>
      <c r="S27" s="252"/>
      <c r="T27" s="252"/>
      <c r="U27" s="252"/>
      <c r="V27" s="252"/>
      <c r="AE27" s="17"/>
      <c r="AF27" s="294">
        <v>0</v>
      </c>
      <c r="AG27" s="294">
        <v>0</v>
      </c>
      <c r="AH27" s="30">
        <v>0</v>
      </c>
      <c r="AI27" s="30">
        <v>0</v>
      </c>
      <c r="AJ27" s="30">
        <v>0</v>
      </c>
      <c r="AK27" s="30">
        <v>0</v>
      </c>
      <c r="AL27" s="30">
        <v>0</v>
      </c>
      <c r="AM27" s="30">
        <v>0</v>
      </c>
      <c r="AN27" s="30">
        <v>0</v>
      </c>
      <c r="AO27" s="30">
        <v>0</v>
      </c>
      <c r="AP27" s="30">
        <v>0</v>
      </c>
    </row>
    <row r="28" spans="1:42" ht="15">
      <c r="A28" s="263" t="s">
        <v>119</v>
      </c>
      <c r="B28" s="264" t="s">
        <v>118</v>
      </c>
      <c r="C28" s="302">
        <v>262000000</v>
      </c>
      <c r="D28" s="310">
        <f>+C28*(1+$AI$10)</f>
        <v>269860000</v>
      </c>
      <c r="E28" s="359">
        <v>277955800</v>
      </c>
      <c r="F28" s="248">
        <f>+'INGRESOS 2014'!H28</f>
        <v>500000000</v>
      </c>
      <c r="G28" s="248">
        <f t="shared" si="10"/>
        <v>515000000</v>
      </c>
      <c r="H28" s="248">
        <f t="shared" si="11"/>
        <v>530450000</v>
      </c>
      <c r="I28" s="248">
        <f t="shared" si="12"/>
        <v>546363500</v>
      </c>
      <c r="J28" s="248">
        <f t="shared" si="13"/>
        <v>562754405</v>
      </c>
      <c r="K28" s="248">
        <f t="shared" si="14"/>
        <v>579637037.15</v>
      </c>
      <c r="L28" s="248">
        <f t="shared" si="15"/>
        <v>597026148.2645</v>
      </c>
      <c r="M28" s="248">
        <f>+K28*(1+$AR$10)</f>
        <v>597026148.2645</v>
      </c>
      <c r="N28" s="309">
        <f>+M28*(1+$AR$10)</f>
        <v>614936932.712435</v>
      </c>
      <c r="O28" s="309">
        <f>+N28*(1+$AR$10)</f>
        <v>633385040.6938081</v>
      </c>
      <c r="P28" s="309">
        <f>+O28*(1+$AR$10)</f>
        <v>652386591.9146223</v>
      </c>
      <c r="Q28" s="309">
        <f t="shared" si="17"/>
        <v>7138781603.999866</v>
      </c>
      <c r="S28" s="252"/>
      <c r="T28" s="252"/>
      <c r="U28" s="252"/>
      <c r="V28" s="252"/>
      <c r="AE28" s="17"/>
      <c r="AF28" s="294">
        <v>0</v>
      </c>
      <c r="AG28" s="294">
        <v>0</v>
      </c>
      <c r="AH28" s="30">
        <v>0</v>
      </c>
      <c r="AI28" s="30">
        <v>0</v>
      </c>
      <c r="AJ28" s="30">
        <v>0</v>
      </c>
      <c r="AK28" s="30">
        <v>0</v>
      </c>
      <c r="AL28" s="30">
        <v>0</v>
      </c>
      <c r="AM28" s="30">
        <v>0</v>
      </c>
      <c r="AN28" s="30">
        <v>0</v>
      </c>
      <c r="AO28" s="30">
        <v>0</v>
      </c>
      <c r="AP28" s="30">
        <v>0</v>
      </c>
    </row>
    <row r="29" spans="1:42" ht="15">
      <c r="A29" s="262" t="s">
        <v>117</v>
      </c>
      <c r="B29" s="270" t="s">
        <v>116</v>
      </c>
      <c r="C29" s="301">
        <f>SUM(C30:C31)</f>
        <v>4170600000</v>
      </c>
      <c r="D29" s="301">
        <f aca="true" t="shared" si="18" ref="D29:P29">SUM(D30:D31)</f>
        <v>2195718000</v>
      </c>
      <c r="E29" s="301">
        <f t="shared" si="18"/>
        <v>1881589540</v>
      </c>
      <c r="F29" s="301">
        <f t="shared" si="18"/>
        <v>5031455000</v>
      </c>
      <c r="G29" s="301">
        <f t="shared" si="18"/>
        <v>5182398650</v>
      </c>
      <c r="H29" s="301">
        <f t="shared" si="18"/>
        <v>5337870609.5</v>
      </c>
      <c r="I29" s="301">
        <f t="shared" si="18"/>
        <v>5498006727.785</v>
      </c>
      <c r="J29" s="301">
        <f t="shared" si="18"/>
        <v>5662946929.618551</v>
      </c>
      <c r="K29" s="301">
        <f t="shared" si="18"/>
        <v>5832835337.507107</v>
      </c>
      <c r="L29" s="301">
        <f t="shared" si="18"/>
        <v>6007820397.63232</v>
      </c>
      <c r="M29" s="301">
        <f t="shared" si="18"/>
        <v>6188055009.561291</v>
      </c>
      <c r="N29" s="301">
        <f>SUM(N30:N31)</f>
        <v>6373696659.848129</v>
      </c>
      <c r="O29" s="301">
        <f>SUM(O30:O31)</f>
        <v>6564907559.643574</v>
      </c>
      <c r="P29" s="301">
        <f t="shared" si="18"/>
        <v>6761854786.432881</v>
      </c>
      <c r="Q29" s="247">
        <f>SUM(Q30:Q31)</f>
        <v>72689755207.52887</v>
      </c>
      <c r="S29" s="252"/>
      <c r="T29" s="252"/>
      <c r="U29" s="252"/>
      <c r="V29" s="252"/>
      <c r="AE29" s="17"/>
      <c r="AF29" s="294">
        <v>0.025</v>
      </c>
      <c r="AG29" s="294">
        <v>0.02</v>
      </c>
      <c r="AH29" s="294">
        <v>0.02</v>
      </c>
      <c r="AI29" s="294">
        <v>0.02</v>
      </c>
      <c r="AJ29" s="294">
        <v>0.02</v>
      </c>
      <c r="AK29" s="294">
        <v>0.02</v>
      </c>
      <c r="AL29" s="294">
        <v>0.02</v>
      </c>
      <c r="AM29" s="294">
        <v>0.02</v>
      </c>
      <c r="AN29" s="294">
        <v>0.02</v>
      </c>
      <c r="AO29" s="294">
        <v>0.02</v>
      </c>
      <c r="AP29" s="294">
        <v>0.02</v>
      </c>
    </row>
    <row r="30" spans="1:42" ht="15">
      <c r="A30" s="263" t="s">
        <v>115</v>
      </c>
      <c r="B30" s="264" t="s">
        <v>114</v>
      </c>
      <c r="C30" s="302">
        <v>1390200000</v>
      </c>
      <c r="D30" s="312">
        <f>+C30*(1+$AI$10)-400000000</f>
        <v>1031906000</v>
      </c>
      <c r="E30" s="302">
        <f>+D30*(1+$AJ$10)-380000000</f>
        <v>682863180</v>
      </c>
      <c r="F30" s="248">
        <f>+'INGRESOS 2014'!H30</f>
        <v>1610500000</v>
      </c>
      <c r="G30" s="248">
        <f>+F30*(1+$AL$10)</f>
        <v>1658815000</v>
      </c>
      <c r="H30" s="248">
        <f>+G30*(1+$AM$10)</f>
        <v>1708579450</v>
      </c>
      <c r="I30" s="248">
        <f>+H30*(1+$AN$10)</f>
        <v>1759836833.5</v>
      </c>
      <c r="J30" s="248">
        <f>+I30*(1+$AO$10)</f>
        <v>1812631938.505</v>
      </c>
      <c r="K30" s="248">
        <f>+J30*(1+$AP$10)</f>
        <v>1867010896.66015</v>
      </c>
      <c r="L30" s="248">
        <f>+K30*(1+$AQ$10)</f>
        <v>1923021223.5599546</v>
      </c>
      <c r="M30" s="248">
        <f>+L30*(1+$AR$10)</f>
        <v>1980711860.2667534</v>
      </c>
      <c r="N30" s="309">
        <f aca="true" t="shared" si="19" ref="N30:P31">+M30*(1+$AR$10)</f>
        <v>2040133216.0747561</v>
      </c>
      <c r="O30" s="309">
        <f t="shared" si="19"/>
        <v>2101337212.556999</v>
      </c>
      <c r="P30" s="309">
        <f t="shared" si="19"/>
        <v>2164377328.933709</v>
      </c>
      <c r="Q30" s="309">
        <f>SUM(C30:P30)</f>
        <v>23731924140.057323</v>
      </c>
      <c r="S30" s="252"/>
      <c r="T30" s="252"/>
      <c r="U30" s="252"/>
      <c r="V30" s="252"/>
      <c r="AE30" s="17"/>
      <c r="AF30" s="294">
        <v>0.035</v>
      </c>
      <c r="AG30" s="294">
        <v>0.03</v>
      </c>
      <c r="AH30" s="30">
        <v>0.025</v>
      </c>
      <c r="AI30" s="30">
        <v>0.025</v>
      </c>
      <c r="AJ30" s="30">
        <v>0.025</v>
      </c>
      <c r="AK30" s="30">
        <v>0.025</v>
      </c>
      <c r="AL30" s="30">
        <v>0.025</v>
      </c>
      <c r="AM30" s="30">
        <v>0.025</v>
      </c>
      <c r="AN30" s="30">
        <v>0.025</v>
      </c>
      <c r="AO30" s="30">
        <v>0.025</v>
      </c>
      <c r="AP30" s="30">
        <v>0.025</v>
      </c>
    </row>
    <row r="31" spans="1:42" ht="30">
      <c r="A31" s="263" t="s">
        <v>113</v>
      </c>
      <c r="B31" s="264" t="s">
        <v>112</v>
      </c>
      <c r="C31" s="302">
        <v>2780400000</v>
      </c>
      <c r="D31" s="312">
        <f>+C31*(1+$AI$10)-1700000000</f>
        <v>1163812000</v>
      </c>
      <c r="E31" s="302">
        <f>+D31*(1+$AJ$10)</f>
        <v>1198726360</v>
      </c>
      <c r="F31" s="248">
        <f>+'INGRESOS 2014'!H31</f>
        <v>3420955000</v>
      </c>
      <c r="G31" s="248">
        <f>+F31*(1+$AL$10)</f>
        <v>3523583650</v>
      </c>
      <c r="H31" s="248">
        <f>+G31*(1+$AM$10)</f>
        <v>3629291159.5</v>
      </c>
      <c r="I31" s="248">
        <f>+H31*(1+$AN$10)</f>
        <v>3738169894.2850003</v>
      </c>
      <c r="J31" s="248">
        <f>+I31*(1+$AO$10)</f>
        <v>3850314991.1135507</v>
      </c>
      <c r="K31" s="248">
        <f>+J31*(1+$AP$10)</f>
        <v>3965824440.846957</v>
      </c>
      <c r="L31" s="248">
        <f>+K31*(1+$AQ$10)</f>
        <v>4084799174.072366</v>
      </c>
      <c r="M31" s="248">
        <f>+L31*(1+$AR$10)</f>
        <v>4207343149.2945375</v>
      </c>
      <c r="N31" s="309">
        <f t="shared" si="19"/>
        <v>4333563443.773374</v>
      </c>
      <c r="O31" s="309">
        <f t="shared" si="19"/>
        <v>4463570347.086575</v>
      </c>
      <c r="P31" s="309">
        <f t="shared" si="19"/>
        <v>4597477457.499172</v>
      </c>
      <c r="Q31" s="309">
        <f>SUM(C31:P31)</f>
        <v>48957831067.47154</v>
      </c>
      <c r="S31" s="252"/>
      <c r="T31" s="252"/>
      <c r="U31" s="252"/>
      <c r="V31" s="252"/>
      <c r="AE31" s="17"/>
      <c r="AF31" s="294"/>
      <c r="AG31" s="294"/>
      <c r="AH31" s="30"/>
      <c r="AI31" s="30"/>
      <c r="AJ31" s="30"/>
      <c r="AK31" s="30"/>
      <c r="AL31" s="30"/>
      <c r="AM31" s="30"/>
      <c r="AN31" s="30"/>
      <c r="AO31" s="30"/>
      <c r="AP31" s="30"/>
    </row>
    <row r="32" spans="1:42" ht="30">
      <c r="A32" s="262" t="s">
        <v>111</v>
      </c>
      <c r="B32" s="270" t="s">
        <v>110</v>
      </c>
      <c r="C32" s="301">
        <f>SUM(C33)</f>
        <v>1000000</v>
      </c>
      <c r="D32" s="301">
        <f aca="true" t="shared" si="20" ref="D32:P32">SUM(D33)</f>
        <v>1030000</v>
      </c>
      <c r="E32" s="301">
        <f t="shared" si="20"/>
        <v>1060900</v>
      </c>
      <c r="F32" s="301">
        <f t="shared" si="20"/>
        <v>3000000</v>
      </c>
      <c r="G32" s="301">
        <f t="shared" si="20"/>
        <v>3090000</v>
      </c>
      <c r="H32" s="301">
        <f t="shared" si="20"/>
        <v>3182700</v>
      </c>
      <c r="I32" s="301">
        <f t="shared" si="20"/>
        <v>3278181</v>
      </c>
      <c r="J32" s="301">
        <f t="shared" si="20"/>
        <v>3376526.43</v>
      </c>
      <c r="K32" s="301">
        <f t="shared" si="20"/>
        <v>3477822.2229000004</v>
      </c>
      <c r="L32" s="301">
        <f t="shared" si="20"/>
        <v>3582156.8895870005</v>
      </c>
      <c r="M32" s="301">
        <f t="shared" si="20"/>
        <v>3689621.5962746106</v>
      </c>
      <c r="N32" s="301">
        <f t="shared" si="20"/>
        <v>3800310.244162849</v>
      </c>
      <c r="O32" s="301">
        <f t="shared" si="20"/>
        <v>3914319.5514877345</v>
      </c>
      <c r="P32" s="301">
        <f t="shared" si="20"/>
        <v>4031749.1380323665</v>
      </c>
      <c r="Q32" s="247">
        <f>SUM(Q33)</f>
        <v>41514287.072444566</v>
      </c>
      <c r="R32" s="261">
        <f>+C32</f>
        <v>1000000</v>
      </c>
      <c r="S32" s="252"/>
      <c r="T32" s="252"/>
      <c r="U32" s="252"/>
      <c r="V32" s="252"/>
      <c r="AE32" s="17"/>
      <c r="AF32" s="294"/>
      <c r="AG32" s="294"/>
      <c r="AH32" s="30"/>
      <c r="AI32" s="30"/>
      <c r="AJ32" s="30"/>
      <c r="AK32" s="30"/>
      <c r="AL32" s="30"/>
      <c r="AM32" s="30"/>
      <c r="AN32" s="30"/>
      <c r="AO32" s="30"/>
      <c r="AP32" s="30"/>
    </row>
    <row r="33" spans="1:42" ht="15">
      <c r="A33" s="263" t="s">
        <v>109</v>
      </c>
      <c r="B33" s="264" t="s">
        <v>108</v>
      </c>
      <c r="C33" s="302">
        <v>1000000</v>
      </c>
      <c r="D33" s="310">
        <f>+C33*(1+$AI$10)</f>
        <v>1030000</v>
      </c>
      <c r="E33" s="360">
        <v>1060900</v>
      </c>
      <c r="F33" s="248">
        <f>+'INGRESOS 2014'!H33</f>
        <v>3000000</v>
      </c>
      <c r="G33" s="248">
        <f>+F33*(1+$AL$10)</f>
        <v>3090000</v>
      </c>
      <c r="H33" s="248">
        <f>+G33*(1+$AM$10)</f>
        <v>3182700</v>
      </c>
      <c r="I33" s="248">
        <f>+H33*(1+$AN$10)</f>
        <v>3278181</v>
      </c>
      <c r="J33" s="248">
        <f>+I33*(1+$AO$10)</f>
        <v>3376526.43</v>
      </c>
      <c r="K33" s="248">
        <f>+J33*(1+$AP$10)</f>
        <v>3477822.2229000004</v>
      </c>
      <c r="L33" s="248">
        <f>+K33*(1+$AQ$10)</f>
        <v>3582156.8895870005</v>
      </c>
      <c r="M33" s="248">
        <f>+L33*(1+$AR$10)</f>
        <v>3689621.5962746106</v>
      </c>
      <c r="N33" s="309">
        <f>+M33*(1+$AR$10)</f>
        <v>3800310.244162849</v>
      </c>
      <c r="O33" s="309">
        <f>+N33*(1+$AR$10)</f>
        <v>3914319.5514877345</v>
      </c>
      <c r="P33" s="309">
        <f>+O33*(1+$AR$10)</f>
        <v>4031749.1380323665</v>
      </c>
      <c r="Q33" s="309">
        <f>SUM(C33:P33)</f>
        <v>41514287.072444566</v>
      </c>
      <c r="R33" s="261"/>
      <c r="S33" s="252"/>
      <c r="T33" s="252"/>
      <c r="U33" s="252"/>
      <c r="V33" s="252"/>
      <c r="AE33" s="17"/>
      <c r="AF33" s="294"/>
      <c r="AG33" s="294"/>
      <c r="AH33" s="30"/>
      <c r="AI33" s="30"/>
      <c r="AJ33" s="30"/>
      <c r="AK33" s="30"/>
      <c r="AL33" s="30"/>
      <c r="AM33" s="30"/>
      <c r="AN33" s="30"/>
      <c r="AO33" s="30"/>
      <c r="AP33" s="30"/>
    </row>
    <row r="34" spans="1:42" ht="30">
      <c r="A34" s="262" t="s">
        <v>107</v>
      </c>
      <c r="B34" s="270" t="s">
        <v>106</v>
      </c>
      <c r="C34" s="301">
        <f>+C35+C36+C37+C38+C39+C40+C41+C42+C43+C44+C45+C52+C55+C56+C58+C59</f>
        <v>198813050000</v>
      </c>
      <c r="D34" s="301">
        <f>+D35+D36+D37+D38+D39+D40+D41+D42+D43+D44+D45+D52+D55+D56+D57+D58+D59</f>
        <v>260439430402</v>
      </c>
      <c r="E34" s="301">
        <f aca="true" t="shared" si="21" ref="E34:P34">+E35+E36+E37+E38+E39+E40+E41+E42+E43+E44+E45+E52+E55+E56+E58+E59</f>
        <v>281875302945</v>
      </c>
      <c r="F34" s="301">
        <f t="shared" si="21"/>
        <v>3673781000</v>
      </c>
      <c r="G34" s="301">
        <f t="shared" si="21"/>
        <v>4183994430</v>
      </c>
      <c r="H34" s="301">
        <f t="shared" si="21"/>
        <v>4309514262.900001</v>
      </c>
      <c r="I34" s="301">
        <f t="shared" si="21"/>
        <v>4438799690.787</v>
      </c>
      <c r="J34" s="301">
        <f t="shared" si="21"/>
        <v>4571963681.51061</v>
      </c>
      <c r="K34" s="301">
        <f t="shared" si="21"/>
        <v>4709122591.955928</v>
      </c>
      <c r="L34" s="301">
        <f t="shared" si="21"/>
        <v>4850396269.714606</v>
      </c>
      <c r="M34" s="301">
        <f t="shared" si="21"/>
        <v>4995908157.806044</v>
      </c>
      <c r="N34" s="301">
        <f>+N35+N36+N37+N38+N39+N40+N41+N42+N43+N44+N45+N52+N55+N56+N58+N59</f>
        <v>5145785402.540225</v>
      </c>
      <c r="O34" s="301">
        <f>+O35+O36+O37+O38+O39+O40+O41+O42+O43+O44+O45+O52+O55+O56+O58+O59</f>
        <v>5299035474.840367</v>
      </c>
      <c r="P34" s="301">
        <f t="shared" si="21"/>
        <v>5458006539.085579</v>
      </c>
      <c r="Q34" s="301">
        <f>+Q35+Q36+Q37+Q38+Q39+Q40+Q41+Q42+Q43+Q44+Q45+Q52+Q55+Q56+Q57+Q58+Q59</f>
        <v>436631284330.6404</v>
      </c>
      <c r="R34" s="261"/>
      <c r="S34" s="252"/>
      <c r="T34" s="252"/>
      <c r="U34" s="252"/>
      <c r="V34" s="252"/>
      <c r="AE34" s="17"/>
      <c r="AF34" s="294"/>
      <c r="AG34" s="294"/>
      <c r="AH34" s="30"/>
      <c r="AI34" s="30"/>
      <c r="AJ34" s="30"/>
      <c r="AK34" s="30"/>
      <c r="AL34" s="30"/>
      <c r="AM34" s="30"/>
      <c r="AN34" s="30"/>
      <c r="AO34" s="30"/>
      <c r="AP34" s="30"/>
    </row>
    <row r="35" spans="1:42" ht="15">
      <c r="A35" s="263" t="s">
        <v>105</v>
      </c>
      <c r="B35" s="264" t="s">
        <v>104</v>
      </c>
      <c r="C35" s="302">
        <v>30000000</v>
      </c>
      <c r="D35" s="310">
        <f>+C35*(1+$AI$10)</f>
        <v>30900000</v>
      </c>
      <c r="E35" s="360">
        <v>31827000</v>
      </c>
      <c r="F35" s="248">
        <f>+'INGRESOS 2014'!H35</f>
        <v>41000000</v>
      </c>
      <c r="G35" s="248">
        <f aca="true" t="shared" si="22" ref="G35:G44">+F35*(1+$AL$10)</f>
        <v>42230000</v>
      </c>
      <c r="H35" s="248">
        <f aca="true" t="shared" si="23" ref="H35:H44">+G35*(1+$AM$10)</f>
        <v>43496900</v>
      </c>
      <c r="I35" s="248">
        <f aca="true" t="shared" si="24" ref="I35:I44">+H35*(1+$AN$10)</f>
        <v>44801807</v>
      </c>
      <c r="J35" s="248">
        <f aca="true" t="shared" si="25" ref="J35:J44">+I35*(1+$AO$10)</f>
        <v>46145861.21</v>
      </c>
      <c r="K35" s="248">
        <f aca="true" t="shared" si="26" ref="K35:K44">+J35*(1+$AP$10)</f>
        <v>47530237.0463</v>
      </c>
      <c r="L35" s="248">
        <f aca="true" t="shared" si="27" ref="L35:L44">+K35*(1+$AQ$10)</f>
        <v>48956144.157689005</v>
      </c>
      <c r="M35" s="248">
        <f aca="true" t="shared" si="28" ref="M35:P44">+L35*(1+$AR$10)</f>
        <v>50424828.48241968</v>
      </c>
      <c r="N35" s="309">
        <f t="shared" si="28"/>
        <v>51937573.33689227</v>
      </c>
      <c r="O35" s="309">
        <f t="shared" si="28"/>
        <v>53495700.53699904</v>
      </c>
      <c r="P35" s="309">
        <f t="shared" si="28"/>
        <v>55100571.55310901</v>
      </c>
      <c r="Q35" s="309">
        <f aca="true" t="shared" si="29" ref="Q35:Q44">SUM(C35:P35)</f>
        <v>617846623.323409</v>
      </c>
      <c r="R35" s="261">
        <f>+C35</f>
        <v>30000000</v>
      </c>
      <c r="S35" s="252"/>
      <c r="T35" s="252"/>
      <c r="U35" s="252"/>
      <c r="V35" s="252"/>
      <c r="AE35" s="17"/>
      <c r="AF35" s="294">
        <v>0.025</v>
      </c>
      <c r="AG35" s="294">
        <v>0.02</v>
      </c>
      <c r="AH35" s="294">
        <v>0.02</v>
      </c>
      <c r="AI35" s="294">
        <v>0.02</v>
      </c>
      <c r="AJ35" s="294">
        <v>0.02</v>
      </c>
      <c r="AK35" s="294">
        <v>0.02</v>
      </c>
      <c r="AL35" s="294">
        <v>0.02</v>
      </c>
      <c r="AM35" s="294">
        <v>0.02</v>
      </c>
      <c r="AN35" s="294">
        <v>0.02</v>
      </c>
      <c r="AO35" s="294">
        <v>0.02</v>
      </c>
      <c r="AP35" s="294">
        <v>0.02</v>
      </c>
    </row>
    <row r="36" spans="1:42" ht="15">
      <c r="A36" s="263" t="s">
        <v>103</v>
      </c>
      <c r="B36" s="264" t="s">
        <v>102</v>
      </c>
      <c r="C36" s="302">
        <v>30000000</v>
      </c>
      <c r="D36" s="310">
        <f>+C36*(1+$AI$10)</f>
        <v>30900000</v>
      </c>
      <c r="E36" s="360">
        <v>31827000</v>
      </c>
      <c r="F36" s="248">
        <f>+'INGRESOS 2014'!H36</f>
        <v>54384000</v>
      </c>
      <c r="G36" s="248">
        <f t="shared" si="22"/>
        <v>56015520</v>
      </c>
      <c r="H36" s="248">
        <f t="shared" si="23"/>
        <v>57695985.6</v>
      </c>
      <c r="I36" s="248">
        <f t="shared" si="24"/>
        <v>59426865.168000005</v>
      </c>
      <c r="J36" s="248">
        <f t="shared" si="25"/>
        <v>61209671.123040006</v>
      </c>
      <c r="K36" s="248">
        <f t="shared" si="26"/>
        <v>63045961.256731205</v>
      </c>
      <c r="L36" s="248">
        <f t="shared" si="27"/>
        <v>64937340.094433144</v>
      </c>
      <c r="M36" s="248">
        <f t="shared" si="28"/>
        <v>66885460.29726614</v>
      </c>
      <c r="N36" s="309">
        <f t="shared" si="28"/>
        <v>68892024.10618412</v>
      </c>
      <c r="O36" s="309">
        <f t="shared" si="28"/>
        <v>70958784.82936965</v>
      </c>
      <c r="P36" s="309">
        <f t="shared" si="28"/>
        <v>73087548.37425074</v>
      </c>
      <c r="Q36" s="309">
        <f t="shared" si="29"/>
        <v>789266160.8492751</v>
      </c>
      <c r="R36" s="261">
        <f>+C36</f>
        <v>30000000</v>
      </c>
      <c r="S36" s="252"/>
      <c r="T36" s="252"/>
      <c r="U36" s="252"/>
      <c r="V36" s="252"/>
      <c r="AE36" s="17"/>
      <c r="AF36" s="294">
        <v>0.025</v>
      </c>
      <c r="AG36" s="294">
        <v>0.02</v>
      </c>
      <c r="AH36" s="30">
        <v>0.01</v>
      </c>
      <c r="AI36" s="30">
        <v>0.01</v>
      </c>
      <c r="AJ36" s="30">
        <v>0.01</v>
      </c>
      <c r="AK36" s="30">
        <v>0.01</v>
      </c>
      <c r="AL36" s="30">
        <v>0.01</v>
      </c>
      <c r="AM36" s="30">
        <v>0.01</v>
      </c>
      <c r="AN36" s="30">
        <v>0.01</v>
      </c>
      <c r="AO36" s="30">
        <v>0.01</v>
      </c>
      <c r="AP36" s="30">
        <v>0.01</v>
      </c>
    </row>
    <row r="37" spans="1:42" ht="30">
      <c r="A37" s="263" t="s">
        <v>101</v>
      </c>
      <c r="B37" s="264" t="s">
        <v>100</v>
      </c>
      <c r="C37" s="302">
        <v>3000000</v>
      </c>
      <c r="D37" s="310">
        <f>+C37*(1+$AI$10)+10000000</f>
        <v>13090000</v>
      </c>
      <c r="E37" s="360">
        <v>5482700</v>
      </c>
      <c r="F37" s="248">
        <f>+'INGRESOS 2014'!H37</f>
        <v>15000000</v>
      </c>
      <c r="G37" s="248">
        <f t="shared" si="22"/>
        <v>15450000</v>
      </c>
      <c r="H37" s="248">
        <f t="shared" si="23"/>
        <v>15913500</v>
      </c>
      <c r="I37" s="248">
        <f t="shared" si="24"/>
        <v>16390905</v>
      </c>
      <c r="J37" s="248">
        <f t="shared" si="25"/>
        <v>16882632.150000002</v>
      </c>
      <c r="K37" s="248">
        <f t="shared" si="26"/>
        <v>17389111.1145</v>
      </c>
      <c r="L37" s="248">
        <f t="shared" si="27"/>
        <v>17910784.447935</v>
      </c>
      <c r="M37" s="248">
        <f t="shared" si="28"/>
        <v>18448107.98137305</v>
      </c>
      <c r="N37" s="309">
        <f t="shared" si="28"/>
        <v>19001551.220814243</v>
      </c>
      <c r="O37" s="309">
        <f t="shared" si="28"/>
        <v>19571597.75743867</v>
      </c>
      <c r="P37" s="309">
        <f t="shared" si="28"/>
        <v>20158745.69016183</v>
      </c>
      <c r="Q37" s="309">
        <f t="shared" si="29"/>
        <v>213689635.3622228</v>
      </c>
      <c r="R37" s="261">
        <f>+C37</f>
        <v>3000000</v>
      </c>
      <c r="S37" s="252"/>
      <c r="T37" s="252"/>
      <c r="U37" s="252"/>
      <c r="V37" s="252"/>
      <c r="AE37" s="17"/>
      <c r="AF37" s="294">
        <v>0.035</v>
      </c>
      <c r="AG37" s="294">
        <v>0.03</v>
      </c>
      <c r="AH37" s="30">
        <v>0.025</v>
      </c>
      <c r="AI37" s="30">
        <v>0.01</v>
      </c>
      <c r="AJ37" s="30">
        <v>0.01</v>
      </c>
      <c r="AK37" s="30">
        <v>0.01</v>
      </c>
      <c r="AL37" s="30">
        <v>0.01</v>
      </c>
      <c r="AM37" s="30">
        <v>0.01</v>
      </c>
      <c r="AN37" s="30">
        <v>0.01</v>
      </c>
      <c r="AO37" s="30">
        <v>0.01</v>
      </c>
      <c r="AP37" s="30">
        <v>0.01</v>
      </c>
    </row>
    <row r="38" spans="1:42" ht="15">
      <c r="A38" s="263" t="s">
        <v>99</v>
      </c>
      <c r="B38" s="264" t="s">
        <v>98</v>
      </c>
      <c r="C38" s="302">
        <v>500000</v>
      </c>
      <c r="D38" s="310">
        <f>+C38*(1+$AI$10)</f>
        <v>515000</v>
      </c>
      <c r="E38" s="360">
        <v>230450</v>
      </c>
      <c r="F38" s="248">
        <f>+'INGRESOS 2014'!H38</f>
        <v>500000</v>
      </c>
      <c r="G38" s="248">
        <f t="shared" si="22"/>
        <v>515000</v>
      </c>
      <c r="H38" s="248">
        <f t="shared" si="23"/>
        <v>530450</v>
      </c>
      <c r="I38" s="248">
        <f t="shared" si="24"/>
        <v>546363.5</v>
      </c>
      <c r="J38" s="248">
        <f t="shared" si="25"/>
        <v>562754.405</v>
      </c>
      <c r="K38" s="248">
        <f t="shared" si="26"/>
        <v>579637.03715</v>
      </c>
      <c r="L38" s="248">
        <f t="shared" si="27"/>
        <v>597026.1482645</v>
      </c>
      <c r="M38" s="248">
        <f t="shared" si="28"/>
        <v>614936.932712435</v>
      </c>
      <c r="N38" s="309">
        <f t="shared" si="28"/>
        <v>633385.0406938081</v>
      </c>
      <c r="O38" s="309">
        <f t="shared" si="28"/>
        <v>652386.5919146223</v>
      </c>
      <c r="P38" s="309">
        <f t="shared" si="28"/>
        <v>671958.189672061</v>
      </c>
      <c r="Q38" s="309">
        <f t="shared" si="29"/>
        <v>7649347.845407427</v>
      </c>
      <c r="R38" s="261">
        <f>+C38</f>
        <v>500000</v>
      </c>
      <c r="S38" s="252"/>
      <c r="T38" s="252"/>
      <c r="U38" s="252"/>
      <c r="V38" s="252"/>
      <c r="AE38" s="17"/>
      <c r="AF38" s="294">
        <v>0</v>
      </c>
      <c r="AG38" s="294">
        <v>0</v>
      </c>
      <c r="AH38" s="30">
        <v>0</v>
      </c>
      <c r="AI38" s="30">
        <v>0</v>
      </c>
      <c r="AJ38" s="30">
        <v>0</v>
      </c>
      <c r="AK38" s="30">
        <v>0</v>
      </c>
      <c r="AL38" s="30">
        <v>0</v>
      </c>
      <c r="AM38" s="30">
        <v>0</v>
      </c>
      <c r="AN38" s="30">
        <v>0</v>
      </c>
      <c r="AO38" s="30">
        <v>0</v>
      </c>
      <c r="AP38" s="30">
        <v>0</v>
      </c>
    </row>
    <row r="39" spans="1:42" ht="15">
      <c r="A39" s="263" t="s">
        <v>97</v>
      </c>
      <c r="B39" s="264" t="s">
        <v>96</v>
      </c>
      <c r="C39" s="302">
        <v>280000000</v>
      </c>
      <c r="D39" s="310">
        <f>+C39*(1+$AI$10)+12000000</f>
        <v>300400000</v>
      </c>
      <c r="E39" s="360">
        <v>159412000</v>
      </c>
      <c r="F39" s="248">
        <f>+'INGRESOS 2014'!H39</f>
        <v>0</v>
      </c>
      <c r="G39" s="248">
        <f t="shared" si="22"/>
        <v>0</v>
      </c>
      <c r="H39" s="248">
        <f t="shared" si="23"/>
        <v>0</v>
      </c>
      <c r="I39" s="248">
        <f t="shared" si="24"/>
        <v>0</v>
      </c>
      <c r="J39" s="248">
        <f t="shared" si="25"/>
        <v>0</v>
      </c>
      <c r="K39" s="248">
        <f t="shared" si="26"/>
        <v>0</v>
      </c>
      <c r="L39" s="248">
        <f t="shared" si="27"/>
        <v>0</v>
      </c>
      <c r="M39" s="248">
        <f t="shared" si="28"/>
        <v>0</v>
      </c>
      <c r="N39" s="309">
        <f t="shared" si="28"/>
        <v>0</v>
      </c>
      <c r="O39" s="309">
        <f t="shared" si="28"/>
        <v>0</v>
      </c>
      <c r="P39" s="309">
        <f t="shared" si="28"/>
        <v>0</v>
      </c>
      <c r="Q39" s="309">
        <f t="shared" si="29"/>
        <v>739812000</v>
      </c>
      <c r="R39" s="261">
        <f>+C39*90%</f>
        <v>252000000</v>
      </c>
      <c r="S39" s="252"/>
      <c r="T39" s="252"/>
      <c r="U39" s="252"/>
      <c r="V39" s="252"/>
      <c r="AE39" s="17"/>
      <c r="AF39" s="294">
        <v>0</v>
      </c>
      <c r="AG39" s="294">
        <v>0</v>
      </c>
      <c r="AH39" s="30">
        <v>0</v>
      </c>
      <c r="AI39" s="30">
        <v>0</v>
      </c>
      <c r="AJ39" s="30">
        <v>0</v>
      </c>
      <c r="AK39" s="30">
        <v>0</v>
      </c>
      <c r="AL39" s="30">
        <v>0</v>
      </c>
      <c r="AM39" s="30">
        <v>0</v>
      </c>
      <c r="AN39" s="30">
        <v>0</v>
      </c>
      <c r="AO39" s="30">
        <v>0</v>
      </c>
      <c r="AP39" s="30">
        <v>0</v>
      </c>
    </row>
    <row r="40" spans="1:42" ht="30">
      <c r="A40" s="263" t="s">
        <v>95</v>
      </c>
      <c r="B40" s="264" t="s">
        <v>94</v>
      </c>
      <c r="C40" s="302">
        <v>500000</v>
      </c>
      <c r="D40" s="310">
        <f>+C40*(1+$AI$10)</f>
        <v>515000</v>
      </c>
      <c r="E40" s="360">
        <v>530450</v>
      </c>
      <c r="F40" s="248">
        <f>+'INGRESOS 2014'!H40</f>
        <v>2000000</v>
      </c>
      <c r="G40" s="248">
        <f t="shared" si="22"/>
        <v>2060000</v>
      </c>
      <c r="H40" s="248">
        <f t="shared" si="23"/>
        <v>2121800</v>
      </c>
      <c r="I40" s="248">
        <f t="shared" si="24"/>
        <v>2185454</v>
      </c>
      <c r="J40" s="248">
        <f t="shared" si="25"/>
        <v>2251017.62</v>
      </c>
      <c r="K40" s="248">
        <f t="shared" si="26"/>
        <v>2318548.1486</v>
      </c>
      <c r="L40" s="248">
        <f t="shared" si="27"/>
        <v>2388104.593058</v>
      </c>
      <c r="M40" s="248">
        <f t="shared" si="28"/>
        <v>2459747.73084974</v>
      </c>
      <c r="N40" s="309">
        <f t="shared" si="28"/>
        <v>2533540.1627752325</v>
      </c>
      <c r="O40" s="309">
        <f t="shared" si="28"/>
        <v>2609546.3676584894</v>
      </c>
      <c r="P40" s="309">
        <f t="shared" si="28"/>
        <v>2687832.758688244</v>
      </c>
      <c r="Q40" s="309">
        <f t="shared" si="29"/>
        <v>27161041.38162971</v>
      </c>
      <c r="R40" s="244">
        <f>+C40</f>
        <v>500000</v>
      </c>
      <c r="S40" s="252"/>
      <c r="T40" s="252"/>
      <c r="U40" s="252"/>
      <c r="V40" s="252"/>
      <c r="AE40" s="17"/>
      <c r="AF40" s="294">
        <v>0</v>
      </c>
      <c r="AG40" s="294">
        <v>0</v>
      </c>
      <c r="AH40" s="30">
        <v>0</v>
      </c>
      <c r="AI40" s="30">
        <v>0</v>
      </c>
      <c r="AJ40" s="30">
        <v>0</v>
      </c>
      <c r="AK40" s="30">
        <v>0</v>
      </c>
      <c r="AL40" s="30">
        <v>0</v>
      </c>
      <c r="AM40" s="30">
        <v>0</v>
      </c>
      <c r="AN40" s="30">
        <v>0</v>
      </c>
      <c r="AO40" s="30">
        <v>0</v>
      </c>
      <c r="AP40" s="30">
        <v>0</v>
      </c>
    </row>
    <row r="41" spans="1:42" ht="15">
      <c r="A41" s="263" t="s">
        <v>93</v>
      </c>
      <c r="B41" s="264" t="s">
        <v>92</v>
      </c>
      <c r="C41" s="302">
        <v>500000</v>
      </c>
      <c r="D41" s="310">
        <f>+C41*(1+$AI$10)</f>
        <v>515000</v>
      </c>
      <c r="E41" s="360">
        <v>230450</v>
      </c>
      <c r="F41" s="248">
        <f>+'INGRESOS 2014'!H41</f>
        <v>200000</v>
      </c>
      <c r="G41" s="248">
        <f t="shared" si="22"/>
        <v>206000</v>
      </c>
      <c r="H41" s="248">
        <f t="shared" si="23"/>
        <v>212180</v>
      </c>
      <c r="I41" s="248">
        <f t="shared" si="24"/>
        <v>218545.4</v>
      </c>
      <c r="J41" s="248">
        <f t="shared" si="25"/>
        <v>225101.762</v>
      </c>
      <c r="K41" s="248">
        <f t="shared" si="26"/>
        <v>231854.81485999998</v>
      </c>
      <c r="L41" s="248">
        <f t="shared" si="27"/>
        <v>238810.4593058</v>
      </c>
      <c r="M41" s="248">
        <f t="shared" si="28"/>
        <v>245974.773084974</v>
      </c>
      <c r="N41" s="309">
        <f t="shared" si="28"/>
        <v>253354.01627752322</v>
      </c>
      <c r="O41" s="309">
        <f t="shared" si="28"/>
        <v>260954.63676584893</v>
      </c>
      <c r="P41" s="309">
        <f t="shared" si="28"/>
        <v>268783.2758688244</v>
      </c>
      <c r="Q41" s="309">
        <f t="shared" si="29"/>
        <v>3807009.13816297</v>
      </c>
      <c r="R41" s="244">
        <f>+C41</f>
        <v>500000</v>
      </c>
      <c r="S41" s="252"/>
      <c r="T41" s="252"/>
      <c r="U41" s="252"/>
      <c r="V41" s="252"/>
      <c r="AE41" s="17"/>
      <c r="AF41" s="294">
        <v>0</v>
      </c>
      <c r="AG41" s="294">
        <v>0</v>
      </c>
      <c r="AH41" s="30">
        <v>0</v>
      </c>
      <c r="AI41" s="30">
        <v>0</v>
      </c>
      <c r="AJ41" s="30">
        <v>0</v>
      </c>
      <c r="AK41" s="30">
        <v>0</v>
      </c>
      <c r="AL41" s="30">
        <v>0</v>
      </c>
      <c r="AM41" s="30">
        <v>0</v>
      </c>
      <c r="AN41" s="30">
        <v>0</v>
      </c>
      <c r="AO41" s="30">
        <v>0</v>
      </c>
      <c r="AP41" s="30">
        <v>0</v>
      </c>
    </row>
    <row r="42" spans="1:42" ht="15">
      <c r="A42" s="263" t="s">
        <v>91</v>
      </c>
      <c r="B42" s="264" t="s">
        <v>90</v>
      </c>
      <c r="C42" s="302">
        <v>500000</v>
      </c>
      <c r="D42" s="310">
        <f>+C42*(1+$AI$10)</f>
        <v>515000</v>
      </c>
      <c r="E42" s="360">
        <v>230450</v>
      </c>
      <c r="F42" s="248">
        <f>+'INGRESOS 2014'!H42</f>
        <v>200000</v>
      </c>
      <c r="G42" s="248">
        <f t="shared" si="22"/>
        <v>206000</v>
      </c>
      <c r="H42" s="248">
        <f t="shared" si="23"/>
        <v>212180</v>
      </c>
      <c r="I42" s="248">
        <f t="shared" si="24"/>
        <v>218545.4</v>
      </c>
      <c r="J42" s="248">
        <f t="shared" si="25"/>
        <v>225101.762</v>
      </c>
      <c r="K42" s="248">
        <f t="shared" si="26"/>
        <v>231854.81485999998</v>
      </c>
      <c r="L42" s="248">
        <f t="shared" si="27"/>
        <v>238810.4593058</v>
      </c>
      <c r="M42" s="248">
        <f t="shared" si="28"/>
        <v>245974.773084974</v>
      </c>
      <c r="N42" s="309">
        <f t="shared" si="28"/>
        <v>253354.01627752322</v>
      </c>
      <c r="O42" s="309">
        <f t="shared" si="28"/>
        <v>260954.63676584893</v>
      </c>
      <c r="P42" s="309">
        <f t="shared" si="28"/>
        <v>268783.2758688244</v>
      </c>
      <c r="Q42" s="309">
        <f t="shared" si="29"/>
        <v>3807009.13816297</v>
      </c>
      <c r="R42" s="244">
        <f>+C42</f>
        <v>500000</v>
      </c>
      <c r="S42" s="252"/>
      <c r="T42" s="252"/>
      <c r="U42" s="252"/>
      <c r="V42" s="252"/>
      <c r="AE42" s="17"/>
      <c r="AF42" s="294">
        <v>0</v>
      </c>
      <c r="AG42" s="294">
        <v>0</v>
      </c>
      <c r="AH42" s="30">
        <v>0</v>
      </c>
      <c r="AI42" s="30">
        <v>0</v>
      </c>
      <c r="AJ42" s="30">
        <v>0</v>
      </c>
      <c r="AK42" s="30">
        <v>0</v>
      </c>
      <c r="AL42" s="30">
        <v>0</v>
      </c>
      <c r="AM42" s="30">
        <v>0</v>
      </c>
      <c r="AN42" s="30">
        <v>0</v>
      </c>
      <c r="AO42" s="30">
        <v>0</v>
      </c>
      <c r="AP42" s="30">
        <v>0</v>
      </c>
    </row>
    <row r="43" spans="1:42" ht="15">
      <c r="A43" s="263" t="s">
        <v>89</v>
      </c>
      <c r="B43" s="264" t="s">
        <v>88</v>
      </c>
      <c r="C43" s="302">
        <v>500000</v>
      </c>
      <c r="D43" s="310">
        <f>+C43*(1+$AI$10)</f>
        <v>515000</v>
      </c>
      <c r="E43" s="360">
        <v>530450</v>
      </c>
      <c r="F43" s="248">
        <f>+'INGRESOS 2014'!H43</f>
        <v>200000</v>
      </c>
      <c r="G43" s="248">
        <f t="shared" si="22"/>
        <v>206000</v>
      </c>
      <c r="H43" s="248">
        <f t="shared" si="23"/>
        <v>212180</v>
      </c>
      <c r="I43" s="248">
        <f t="shared" si="24"/>
        <v>218545.4</v>
      </c>
      <c r="J43" s="248">
        <f t="shared" si="25"/>
        <v>225101.762</v>
      </c>
      <c r="K43" s="248">
        <f t="shared" si="26"/>
        <v>231854.81485999998</v>
      </c>
      <c r="L43" s="248">
        <f t="shared" si="27"/>
        <v>238810.4593058</v>
      </c>
      <c r="M43" s="248">
        <f t="shared" si="28"/>
        <v>245974.773084974</v>
      </c>
      <c r="N43" s="309">
        <f t="shared" si="28"/>
        <v>253354.01627752322</v>
      </c>
      <c r="O43" s="309">
        <f t="shared" si="28"/>
        <v>260954.63676584893</v>
      </c>
      <c r="P43" s="309">
        <f t="shared" si="28"/>
        <v>268783.2758688244</v>
      </c>
      <c r="Q43" s="309">
        <f t="shared" si="29"/>
        <v>4107009.13816297</v>
      </c>
      <c r="R43" s="244">
        <f>+C43</f>
        <v>500000</v>
      </c>
      <c r="S43" s="252"/>
      <c r="T43" s="252"/>
      <c r="U43" s="252"/>
      <c r="V43" s="252"/>
      <c r="AE43" s="17"/>
      <c r="AF43" s="294">
        <v>0</v>
      </c>
      <c r="AG43" s="294">
        <v>0</v>
      </c>
      <c r="AH43" s="30">
        <v>0</v>
      </c>
      <c r="AI43" s="30">
        <v>0</v>
      </c>
      <c r="AJ43" s="30">
        <v>0</v>
      </c>
      <c r="AK43" s="30">
        <v>0</v>
      </c>
      <c r="AL43" s="30">
        <v>0</v>
      </c>
      <c r="AM43" s="30">
        <v>0</v>
      </c>
      <c r="AN43" s="30">
        <v>0</v>
      </c>
      <c r="AO43" s="30">
        <v>0</v>
      </c>
      <c r="AP43" s="30">
        <v>0</v>
      </c>
    </row>
    <row r="44" spans="1:42" ht="45">
      <c r="A44" s="263" t="s">
        <v>87</v>
      </c>
      <c r="B44" s="264" t="s">
        <v>86</v>
      </c>
      <c r="C44" s="302">
        <v>3417850000</v>
      </c>
      <c r="D44" s="312">
        <v>3020385500</v>
      </c>
      <c r="E44" s="302">
        <f>+D44*(1+$AJ$10)-1500000000</f>
        <v>1610997065</v>
      </c>
      <c r="F44" s="248">
        <f>+'INGRESOS 2014'!H44</f>
        <v>3500000000</v>
      </c>
      <c r="G44" s="248">
        <f t="shared" si="22"/>
        <v>3605000000</v>
      </c>
      <c r="H44" s="248">
        <f t="shared" si="23"/>
        <v>3713150000</v>
      </c>
      <c r="I44" s="248">
        <f t="shared" si="24"/>
        <v>3824544500</v>
      </c>
      <c r="J44" s="248">
        <f t="shared" si="25"/>
        <v>3939280835</v>
      </c>
      <c r="K44" s="248">
        <f t="shared" si="26"/>
        <v>4057459260.05</v>
      </c>
      <c r="L44" s="248">
        <f t="shared" si="27"/>
        <v>4179183037.8515005</v>
      </c>
      <c r="M44" s="248">
        <f t="shared" si="28"/>
        <v>4304558528.987045</v>
      </c>
      <c r="N44" s="309">
        <f t="shared" si="28"/>
        <v>4433695284.856657</v>
      </c>
      <c r="O44" s="309">
        <f t="shared" si="28"/>
        <v>4566706143.402357</v>
      </c>
      <c r="P44" s="309">
        <f t="shared" si="28"/>
        <v>4703707327.704428</v>
      </c>
      <c r="Q44" s="309">
        <f t="shared" si="29"/>
        <v>52876517482.85199</v>
      </c>
      <c r="S44" s="252"/>
      <c r="T44" s="252"/>
      <c r="U44" s="252"/>
      <c r="V44" s="252"/>
      <c r="AE44" s="17"/>
      <c r="AF44" s="294">
        <v>0</v>
      </c>
      <c r="AG44" s="294">
        <v>0</v>
      </c>
      <c r="AH44" s="30">
        <v>0</v>
      </c>
      <c r="AI44" s="30">
        <v>0</v>
      </c>
      <c r="AJ44" s="30">
        <v>0</v>
      </c>
      <c r="AK44" s="30">
        <v>0</v>
      </c>
      <c r="AL44" s="30">
        <v>0</v>
      </c>
      <c r="AM44" s="30">
        <v>0</v>
      </c>
      <c r="AN44" s="30">
        <v>0</v>
      </c>
      <c r="AO44" s="30">
        <v>0</v>
      </c>
      <c r="AP44" s="30">
        <v>0</v>
      </c>
    </row>
    <row r="45" spans="1:42" ht="15">
      <c r="A45" s="262" t="s">
        <v>85</v>
      </c>
      <c r="B45" s="270" t="s">
        <v>84</v>
      </c>
      <c r="C45" s="301">
        <f>SUM(C46:C51)</f>
        <v>17700000</v>
      </c>
      <c r="D45" s="301">
        <f aca="true" t="shared" si="30" ref="D45:P45">SUM(D46:D51)</f>
        <v>18231000</v>
      </c>
      <c r="E45" s="301">
        <f t="shared" si="30"/>
        <v>13477930</v>
      </c>
      <c r="F45" s="301">
        <f t="shared" si="30"/>
        <v>19500000</v>
      </c>
      <c r="G45" s="301">
        <f t="shared" si="30"/>
        <v>20085000</v>
      </c>
      <c r="H45" s="301">
        <f t="shared" si="30"/>
        <v>20687550</v>
      </c>
      <c r="I45" s="301">
        <f t="shared" si="30"/>
        <v>21308176.5</v>
      </c>
      <c r="J45" s="301">
        <f t="shared" si="30"/>
        <v>21947421.795000006</v>
      </c>
      <c r="K45" s="301">
        <f t="shared" si="30"/>
        <v>22605844.44885</v>
      </c>
      <c r="L45" s="301">
        <f t="shared" si="30"/>
        <v>23284019.782315504</v>
      </c>
      <c r="M45" s="301">
        <f t="shared" si="30"/>
        <v>23982540.375784967</v>
      </c>
      <c r="N45" s="301">
        <f>SUM(N46:N51)</f>
        <v>24702016.587058518</v>
      </c>
      <c r="O45" s="301">
        <f>SUM(O46:O51)</f>
        <v>25443077.084670275</v>
      </c>
      <c r="P45" s="301">
        <f t="shared" si="30"/>
        <v>26206369.39721038</v>
      </c>
      <c r="Q45" s="247">
        <f>SUM(Q46:Q51)</f>
        <v>299160945.9708896</v>
      </c>
      <c r="R45" s="245"/>
      <c r="S45" s="252"/>
      <c r="T45" s="252"/>
      <c r="U45" s="252"/>
      <c r="V45" s="252"/>
      <c r="AE45" s="17"/>
      <c r="AF45" s="294">
        <v>0.035</v>
      </c>
      <c r="AG45" s="294">
        <v>0.03</v>
      </c>
      <c r="AH45" s="30">
        <v>0.02</v>
      </c>
      <c r="AI45" s="30">
        <v>0.02</v>
      </c>
      <c r="AJ45" s="30">
        <v>0.02</v>
      </c>
      <c r="AK45" s="30">
        <v>0.02</v>
      </c>
      <c r="AL45" s="30">
        <v>0.02</v>
      </c>
      <c r="AM45" s="30">
        <v>0.02</v>
      </c>
      <c r="AN45" s="30">
        <v>0.02</v>
      </c>
      <c r="AO45" s="30">
        <v>0.02</v>
      </c>
      <c r="AP45" s="30">
        <v>0.02</v>
      </c>
    </row>
    <row r="46" spans="1:42" ht="15">
      <c r="A46" s="263" t="s">
        <v>83</v>
      </c>
      <c r="B46" s="264" t="s">
        <v>69</v>
      </c>
      <c r="C46" s="302">
        <v>10000000</v>
      </c>
      <c r="D46" s="310">
        <f aca="true" t="shared" si="31" ref="D46:D51">+C46*(1+$AI$10)</f>
        <v>10300000</v>
      </c>
      <c r="E46" s="360">
        <v>10609000</v>
      </c>
      <c r="F46" s="248">
        <f>+'INGRESOS 2014'!H46</f>
        <v>15000000</v>
      </c>
      <c r="G46" s="248">
        <f aca="true" t="shared" si="32" ref="G46:G51">+F46*(1+$AL$10)</f>
        <v>15450000</v>
      </c>
      <c r="H46" s="248">
        <f aca="true" t="shared" si="33" ref="H46:H51">+G46*(1+$AM$10)</f>
        <v>15913500</v>
      </c>
      <c r="I46" s="248">
        <f aca="true" t="shared" si="34" ref="I46:I51">+H46*(1+$AN$10)</f>
        <v>16390905</v>
      </c>
      <c r="J46" s="248">
        <f aca="true" t="shared" si="35" ref="J46:J51">+I46*(1+$AO$10)</f>
        <v>16882632.150000002</v>
      </c>
      <c r="K46" s="248">
        <f aca="true" t="shared" si="36" ref="K46:K51">+J46*(1+$AP$10)</f>
        <v>17389111.1145</v>
      </c>
      <c r="L46" s="248">
        <f aca="true" t="shared" si="37" ref="L46:L51">+K46*(1+$AQ$10)</f>
        <v>17910784.447935</v>
      </c>
      <c r="M46" s="248">
        <f aca="true" t="shared" si="38" ref="M46:P51">+L46*(1+$AR$10)</f>
        <v>18448107.98137305</v>
      </c>
      <c r="N46" s="309">
        <f t="shared" si="38"/>
        <v>19001551.220814243</v>
      </c>
      <c r="O46" s="309">
        <f t="shared" si="38"/>
        <v>19571597.75743867</v>
      </c>
      <c r="P46" s="309">
        <f t="shared" si="38"/>
        <v>20158745.69016183</v>
      </c>
      <c r="Q46" s="309">
        <f aca="true" t="shared" si="39" ref="Q46:Q51">SUM(C46:P46)</f>
        <v>223025935.3622228</v>
      </c>
      <c r="R46" s="244">
        <f aca="true" t="shared" si="40" ref="R46:R51">+C46</f>
        <v>10000000</v>
      </c>
      <c r="S46" s="252"/>
      <c r="T46" s="252"/>
      <c r="U46" s="252"/>
      <c r="V46" s="252"/>
      <c r="AE46" s="274"/>
      <c r="AF46" s="294"/>
      <c r="AG46" s="294"/>
      <c r="AH46" s="30"/>
      <c r="AI46" s="30"/>
      <c r="AJ46" s="30"/>
      <c r="AK46" s="30"/>
      <c r="AL46" s="30"/>
      <c r="AM46" s="30"/>
      <c r="AN46" s="30"/>
      <c r="AO46" s="30"/>
      <c r="AP46" s="30"/>
    </row>
    <row r="47" spans="1:42" ht="15">
      <c r="A47" s="263" t="s">
        <v>82</v>
      </c>
      <c r="B47" s="264" t="s">
        <v>81</v>
      </c>
      <c r="C47" s="302">
        <v>1000000</v>
      </c>
      <c r="D47" s="310">
        <f t="shared" si="31"/>
        <v>1030000</v>
      </c>
      <c r="E47" s="360">
        <v>560900</v>
      </c>
      <c r="F47" s="248">
        <f>+'INGRESOS 2014'!H47</f>
        <v>500000</v>
      </c>
      <c r="G47" s="248">
        <f t="shared" si="32"/>
        <v>515000</v>
      </c>
      <c r="H47" s="248">
        <f t="shared" si="33"/>
        <v>530450</v>
      </c>
      <c r="I47" s="248">
        <f t="shared" si="34"/>
        <v>546363.5</v>
      </c>
      <c r="J47" s="248">
        <f t="shared" si="35"/>
        <v>562754.405</v>
      </c>
      <c r="K47" s="248">
        <f t="shared" si="36"/>
        <v>579637.03715</v>
      </c>
      <c r="L47" s="248">
        <f t="shared" si="37"/>
        <v>597026.1482645</v>
      </c>
      <c r="M47" s="248">
        <f t="shared" si="38"/>
        <v>614936.932712435</v>
      </c>
      <c r="N47" s="309">
        <f t="shared" si="38"/>
        <v>633385.0406938081</v>
      </c>
      <c r="O47" s="309">
        <f t="shared" si="38"/>
        <v>652386.5919146223</v>
      </c>
      <c r="P47" s="309">
        <f t="shared" si="38"/>
        <v>671958.189672061</v>
      </c>
      <c r="Q47" s="309">
        <f t="shared" si="39"/>
        <v>8994797.845407426</v>
      </c>
      <c r="R47" s="244">
        <f t="shared" si="40"/>
        <v>1000000</v>
      </c>
      <c r="S47" s="252"/>
      <c r="T47" s="252"/>
      <c r="U47" s="252"/>
      <c r="V47" s="252"/>
      <c r="AE47" s="17"/>
      <c r="AF47" s="294"/>
      <c r="AG47" s="294"/>
      <c r="AH47" s="30"/>
      <c r="AI47" s="30"/>
      <c r="AJ47" s="30"/>
      <c r="AK47" s="30"/>
      <c r="AL47" s="30"/>
      <c r="AM47" s="30"/>
      <c r="AN47" s="30"/>
      <c r="AO47" s="30"/>
      <c r="AP47" s="30"/>
    </row>
    <row r="48" spans="1:42" ht="15">
      <c r="A48" s="263" t="s">
        <v>80</v>
      </c>
      <c r="B48" s="264" t="s">
        <v>79</v>
      </c>
      <c r="C48" s="302">
        <v>5000000</v>
      </c>
      <c r="D48" s="310">
        <f t="shared" si="31"/>
        <v>5150000</v>
      </c>
      <c r="E48" s="360">
        <v>1304500</v>
      </c>
      <c r="F48" s="248">
        <f>+'INGRESOS 2014'!H48</f>
        <v>1000000</v>
      </c>
      <c r="G48" s="248">
        <f t="shared" si="32"/>
        <v>1030000</v>
      </c>
      <c r="H48" s="248">
        <f t="shared" si="33"/>
        <v>1060900</v>
      </c>
      <c r="I48" s="248">
        <f t="shared" si="34"/>
        <v>1092727</v>
      </c>
      <c r="J48" s="248">
        <f t="shared" si="35"/>
        <v>1125508.81</v>
      </c>
      <c r="K48" s="248">
        <f t="shared" si="36"/>
        <v>1159274.0743</v>
      </c>
      <c r="L48" s="248">
        <f t="shared" si="37"/>
        <v>1194052.296529</v>
      </c>
      <c r="M48" s="248">
        <f t="shared" si="38"/>
        <v>1229873.86542487</v>
      </c>
      <c r="N48" s="309">
        <f t="shared" si="38"/>
        <v>1266770.0813876162</v>
      </c>
      <c r="O48" s="309">
        <f t="shared" si="38"/>
        <v>1304773.1838292447</v>
      </c>
      <c r="P48" s="309">
        <f t="shared" si="38"/>
        <v>1343916.379344122</v>
      </c>
      <c r="Q48" s="309">
        <f t="shared" si="39"/>
        <v>24262295.690814853</v>
      </c>
      <c r="R48" s="244">
        <f t="shared" si="40"/>
        <v>5000000</v>
      </c>
      <c r="S48" s="252"/>
      <c r="T48" s="252"/>
      <c r="U48" s="252"/>
      <c r="V48" s="252"/>
      <c r="AE48" s="17"/>
      <c r="AF48" s="294"/>
      <c r="AG48" s="294"/>
      <c r="AH48" s="30"/>
      <c r="AI48" s="30"/>
      <c r="AJ48" s="30"/>
      <c r="AK48" s="30"/>
      <c r="AL48" s="30"/>
      <c r="AM48" s="30"/>
      <c r="AN48" s="30"/>
      <c r="AO48" s="30"/>
      <c r="AP48" s="30"/>
    </row>
    <row r="49" spans="1:42" ht="15">
      <c r="A49" s="263" t="s">
        <v>78</v>
      </c>
      <c r="B49" s="264" t="s">
        <v>77</v>
      </c>
      <c r="C49" s="302">
        <v>500000</v>
      </c>
      <c r="D49" s="310">
        <f t="shared" si="31"/>
        <v>515000</v>
      </c>
      <c r="E49" s="360">
        <v>530450</v>
      </c>
      <c r="F49" s="248">
        <f>+'INGRESOS 2014'!H49</f>
        <v>500000</v>
      </c>
      <c r="G49" s="248">
        <f t="shared" si="32"/>
        <v>515000</v>
      </c>
      <c r="H49" s="248">
        <f t="shared" si="33"/>
        <v>530450</v>
      </c>
      <c r="I49" s="248">
        <f t="shared" si="34"/>
        <v>546363.5</v>
      </c>
      <c r="J49" s="248">
        <f t="shared" si="35"/>
        <v>562754.405</v>
      </c>
      <c r="K49" s="248">
        <f t="shared" si="36"/>
        <v>579637.03715</v>
      </c>
      <c r="L49" s="248">
        <f t="shared" si="37"/>
        <v>597026.1482645</v>
      </c>
      <c r="M49" s="248">
        <f t="shared" si="38"/>
        <v>614936.932712435</v>
      </c>
      <c r="N49" s="309">
        <f t="shared" si="38"/>
        <v>633385.0406938081</v>
      </c>
      <c r="O49" s="309">
        <f t="shared" si="38"/>
        <v>652386.5919146223</v>
      </c>
      <c r="P49" s="309">
        <f t="shared" si="38"/>
        <v>671958.189672061</v>
      </c>
      <c r="Q49" s="309">
        <f t="shared" si="39"/>
        <v>7949347.845407427</v>
      </c>
      <c r="R49" s="244">
        <f t="shared" si="40"/>
        <v>500000</v>
      </c>
      <c r="S49" s="252"/>
      <c r="T49" s="252"/>
      <c r="U49" s="252"/>
      <c r="V49" s="252"/>
      <c r="AE49" s="17"/>
      <c r="AF49" s="294">
        <v>0</v>
      </c>
      <c r="AG49" s="294">
        <v>0</v>
      </c>
      <c r="AH49" s="30">
        <v>0</v>
      </c>
      <c r="AI49" s="30">
        <v>0</v>
      </c>
      <c r="AJ49" s="30">
        <v>0</v>
      </c>
      <c r="AK49" s="30">
        <v>0</v>
      </c>
      <c r="AL49" s="30">
        <v>0</v>
      </c>
      <c r="AM49" s="30">
        <v>0</v>
      </c>
      <c r="AN49" s="30">
        <v>0</v>
      </c>
      <c r="AO49" s="30">
        <v>0</v>
      </c>
      <c r="AP49" s="30">
        <v>0</v>
      </c>
    </row>
    <row r="50" spans="1:42" ht="15">
      <c r="A50" s="263" t="s">
        <v>76</v>
      </c>
      <c r="B50" s="264" t="s">
        <v>75</v>
      </c>
      <c r="C50" s="302">
        <v>1000000</v>
      </c>
      <c r="D50" s="310">
        <f t="shared" si="31"/>
        <v>1030000</v>
      </c>
      <c r="E50" s="360">
        <v>260900</v>
      </c>
      <c r="F50" s="248">
        <f>+'INGRESOS 2014'!H50</f>
        <v>2000000</v>
      </c>
      <c r="G50" s="248">
        <f t="shared" si="32"/>
        <v>2060000</v>
      </c>
      <c r="H50" s="248">
        <f t="shared" si="33"/>
        <v>2121800</v>
      </c>
      <c r="I50" s="248">
        <f t="shared" si="34"/>
        <v>2185454</v>
      </c>
      <c r="J50" s="248">
        <f t="shared" si="35"/>
        <v>2251017.62</v>
      </c>
      <c r="K50" s="248">
        <f t="shared" si="36"/>
        <v>2318548.1486</v>
      </c>
      <c r="L50" s="248">
        <f t="shared" si="37"/>
        <v>2388104.593058</v>
      </c>
      <c r="M50" s="248">
        <f t="shared" si="38"/>
        <v>2459747.73084974</v>
      </c>
      <c r="N50" s="309">
        <f t="shared" si="38"/>
        <v>2533540.1627752325</v>
      </c>
      <c r="O50" s="309">
        <f t="shared" si="38"/>
        <v>2609546.3676584894</v>
      </c>
      <c r="P50" s="309">
        <f t="shared" si="38"/>
        <v>2687832.758688244</v>
      </c>
      <c r="Q50" s="309">
        <f t="shared" si="39"/>
        <v>27906491.38162971</v>
      </c>
      <c r="R50" s="244">
        <f t="shared" si="40"/>
        <v>1000000</v>
      </c>
      <c r="S50" s="252"/>
      <c r="T50" s="252"/>
      <c r="U50" s="252"/>
      <c r="V50" s="252"/>
      <c r="AE50" s="17"/>
      <c r="AF50" s="294"/>
      <c r="AG50" s="294"/>
      <c r="AH50" s="30"/>
      <c r="AI50" s="30"/>
      <c r="AJ50" s="30"/>
      <c r="AK50" s="30"/>
      <c r="AL50" s="30"/>
      <c r="AM50" s="30"/>
      <c r="AN50" s="30"/>
      <c r="AO50" s="30"/>
      <c r="AP50" s="30"/>
    </row>
    <row r="51" spans="1:42" ht="30">
      <c r="A51" s="263" t="s">
        <v>516</v>
      </c>
      <c r="B51" s="264" t="s">
        <v>515</v>
      </c>
      <c r="C51" s="302">
        <v>200000</v>
      </c>
      <c r="D51" s="312">
        <f t="shared" si="31"/>
        <v>206000</v>
      </c>
      <c r="E51" s="360">
        <v>212180</v>
      </c>
      <c r="F51" s="248">
        <f>+'INGRESOS 2014'!H51</f>
        <v>500000</v>
      </c>
      <c r="G51" s="248">
        <f t="shared" si="32"/>
        <v>515000</v>
      </c>
      <c r="H51" s="248">
        <f t="shared" si="33"/>
        <v>530450</v>
      </c>
      <c r="I51" s="248">
        <f t="shared" si="34"/>
        <v>546363.5</v>
      </c>
      <c r="J51" s="248">
        <f t="shared" si="35"/>
        <v>562754.405</v>
      </c>
      <c r="K51" s="248">
        <f t="shared" si="36"/>
        <v>579637.03715</v>
      </c>
      <c r="L51" s="248">
        <f t="shared" si="37"/>
        <v>597026.1482645</v>
      </c>
      <c r="M51" s="248">
        <f t="shared" si="38"/>
        <v>614936.932712435</v>
      </c>
      <c r="N51" s="309">
        <f t="shared" si="38"/>
        <v>633385.0406938081</v>
      </c>
      <c r="O51" s="309">
        <f t="shared" si="38"/>
        <v>652386.5919146223</v>
      </c>
      <c r="P51" s="309">
        <f t="shared" si="38"/>
        <v>671958.189672061</v>
      </c>
      <c r="Q51" s="309">
        <f t="shared" si="39"/>
        <v>7022077.845407427</v>
      </c>
      <c r="R51" s="244">
        <f t="shared" si="40"/>
        <v>200000</v>
      </c>
      <c r="S51" s="252"/>
      <c r="T51" s="252"/>
      <c r="U51" s="252"/>
      <c r="V51" s="252"/>
      <c r="AE51" s="17"/>
      <c r="AF51" s="294"/>
      <c r="AG51" s="294"/>
      <c r="AH51" s="30"/>
      <c r="AI51" s="30"/>
      <c r="AJ51" s="30"/>
      <c r="AK51" s="30"/>
      <c r="AL51" s="30"/>
      <c r="AM51" s="30"/>
      <c r="AN51" s="30"/>
      <c r="AO51" s="30"/>
      <c r="AP51" s="30"/>
    </row>
    <row r="52" spans="1:42" ht="15">
      <c r="A52" s="262" t="s">
        <v>74</v>
      </c>
      <c r="B52" s="270" t="s">
        <v>73</v>
      </c>
      <c r="C52" s="301">
        <f>SUM(C53:C54)</f>
        <v>26500000</v>
      </c>
      <c r="D52" s="301">
        <f aca="true" t="shared" si="41" ref="D52:P52">SUM(D53:D54)</f>
        <v>17295000</v>
      </c>
      <c r="E52" s="301">
        <f t="shared" si="41"/>
        <v>10813850</v>
      </c>
      <c r="F52" s="301">
        <f t="shared" si="41"/>
        <v>30000000</v>
      </c>
      <c r="G52" s="301">
        <f t="shared" si="41"/>
        <v>30900000</v>
      </c>
      <c r="H52" s="301">
        <f t="shared" si="41"/>
        <v>31827000</v>
      </c>
      <c r="I52" s="301">
        <f t="shared" si="41"/>
        <v>32781810</v>
      </c>
      <c r="J52" s="301">
        <f t="shared" si="41"/>
        <v>33765264.300000004</v>
      </c>
      <c r="K52" s="301">
        <f t="shared" si="41"/>
        <v>34778222.229</v>
      </c>
      <c r="L52" s="301">
        <f t="shared" si="41"/>
        <v>35821568.89587</v>
      </c>
      <c r="M52" s="301">
        <f t="shared" si="41"/>
        <v>36896215.9627461</v>
      </c>
      <c r="N52" s="301">
        <f>SUM(N53:N54)</f>
        <v>38003102.441628486</v>
      </c>
      <c r="O52" s="301">
        <f>SUM(O53:O54)</f>
        <v>38019705.73881172</v>
      </c>
      <c r="P52" s="301">
        <f t="shared" si="41"/>
        <v>39160296.910976075</v>
      </c>
      <c r="Q52" s="247">
        <f>SUM(Q53:Q54)</f>
        <v>436562036.4790324</v>
      </c>
      <c r="S52" s="252"/>
      <c r="T52" s="252"/>
      <c r="U52" s="252"/>
      <c r="V52" s="252"/>
      <c r="AE52" s="17"/>
      <c r="AF52" s="294">
        <v>0</v>
      </c>
      <c r="AG52" s="294">
        <v>0</v>
      </c>
      <c r="AH52" s="30">
        <v>0</v>
      </c>
      <c r="AI52" s="30">
        <v>0</v>
      </c>
      <c r="AJ52" s="30">
        <v>0</v>
      </c>
      <c r="AK52" s="30">
        <v>0</v>
      </c>
      <c r="AL52" s="30">
        <v>0</v>
      </c>
      <c r="AM52" s="30">
        <v>0</v>
      </c>
      <c r="AN52" s="30">
        <v>0</v>
      </c>
      <c r="AO52" s="30">
        <v>0</v>
      </c>
      <c r="AP52" s="30">
        <v>0</v>
      </c>
    </row>
    <row r="53" spans="1:42" ht="15">
      <c r="A53" s="263" t="s">
        <v>72</v>
      </c>
      <c r="B53" s="264" t="s">
        <v>71</v>
      </c>
      <c r="C53" s="302">
        <v>20000000</v>
      </c>
      <c r="D53" s="310">
        <f>+C53*(1+$AI$10)-10000000</f>
        <v>10600000</v>
      </c>
      <c r="E53" s="360">
        <v>3918000</v>
      </c>
      <c r="F53" s="248">
        <f>+'INGRESOS 2014'!H53</f>
        <v>15000000</v>
      </c>
      <c r="G53" s="248">
        <f>+F53*(1+$AL$10)</f>
        <v>15450000</v>
      </c>
      <c r="H53" s="248">
        <f>+G53*(1+$AM$10)</f>
        <v>15913500</v>
      </c>
      <c r="I53" s="248">
        <f>+H53*(1+$AN$10)</f>
        <v>16390905</v>
      </c>
      <c r="J53" s="248">
        <f>+I53*(1+$AO$10)</f>
        <v>16882632.150000002</v>
      </c>
      <c r="K53" s="248">
        <f>+J53*(1+$AP$10)</f>
        <v>17389111.1145</v>
      </c>
      <c r="L53" s="248">
        <f>+K53*(1+$AQ$10)</f>
        <v>17910784.447935</v>
      </c>
      <c r="M53" s="248">
        <f>+L53*(1+$AR$10)</f>
        <v>18448107.98137305</v>
      </c>
      <c r="N53" s="309">
        <f aca="true" t="shared" si="42" ref="N53:O58">+M53*(1+$AR$10)</f>
        <v>19001551.220814243</v>
      </c>
      <c r="O53" s="309">
        <f>+L53*(1+$AR$10)</f>
        <v>18448107.98137305</v>
      </c>
      <c r="P53" s="309">
        <f aca="true" t="shared" si="43" ref="P53:P58">+O53*(1+$AR$10)</f>
        <v>19001551.220814243</v>
      </c>
      <c r="Q53" s="309">
        <f aca="true" t="shared" si="44" ref="Q53:Q58">SUM(C53:P53)</f>
        <v>224354251.1168096</v>
      </c>
      <c r="R53" s="244">
        <f>+C53</f>
        <v>20000000</v>
      </c>
      <c r="S53" s="252"/>
      <c r="T53" s="252"/>
      <c r="U53" s="252"/>
      <c r="V53" s="252"/>
      <c r="AE53" s="17"/>
      <c r="AF53" s="294">
        <v>0</v>
      </c>
      <c r="AG53" s="294">
        <v>0</v>
      </c>
      <c r="AH53" s="30">
        <v>0</v>
      </c>
      <c r="AI53" s="30">
        <v>0</v>
      </c>
      <c r="AJ53" s="30">
        <v>0</v>
      </c>
      <c r="AK53" s="30">
        <v>0</v>
      </c>
      <c r="AL53" s="30">
        <v>0</v>
      </c>
      <c r="AM53" s="30">
        <v>0</v>
      </c>
      <c r="AN53" s="30">
        <v>0</v>
      </c>
      <c r="AO53" s="30">
        <v>0</v>
      </c>
      <c r="AP53" s="30">
        <v>0</v>
      </c>
    </row>
    <row r="54" spans="1:42" ht="15">
      <c r="A54" s="263" t="s">
        <v>70</v>
      </c>
      <c r="B54" s="264" t="s">
        <v>69</v>
      </c>
      <c r="C54" s="302">
        <v>6500000</v>
      </c>
      <c r="D54" s="310">
        <f>+C54*(1+$AI$10)</f>
        <v>6695000</v>
      </c>
      <c r="E54" s="360">
        <v>6895850</v>
      </c>
      <c r="F54" s="248">
        <f>+'INGRESOS 2014'!H54</f>
        <v>15000000</v>
      </c>
      <c r="G54" s="248">
        <f>+F54*(1+$AL$10)</f>
        <v>15450000</v>
      </c>
      <c r="H54" s="248">
        <f>+G54*(1+$AM$10)</f>
        <v>15913500</v>
      </c>
      <c r="I54" s="248">
        <f>+H54*(1+$AN$10)</f>
        <v>16390905</v>
      </c>
      <c r="J54" s="248">
        <f>+I54*(1+$AO$10)</f>
        <v>16882632.150000002</v>
      </c>
      <c r="K54" s="248">
        <f>+J54*(1+$AP$10)</f>
        <v>17389111.1145</v>
      </c>
      <c r="L54" s="248">
        <f>+K54*(1+$AQ$10)</f>
        <v>17910784.447935</v>
      </c>
      <c r="M54" s="248">
        <f>+L54*(1+$AR$10)</f>
        <v>18448107.98137305</v>
      </c>
      <c r="N54" s="309">
        <f t="shared" si="42"/>
        <v>19001551.220814243</v>
      </c>
      <c r="O54" s="309">
        <f t="shared" si="42"/>
        <v>19571597.75743867</v>
      </c>
      <c r="P54" s="309">
        <f t="shared" si="43"/>
        <v>20158745.69016183</v>
      </c>
      <c r="Q54" s="309">
        <f>SUM(C54:P54)</f>
        <v>212207785.3622228</v>
      </c>
      <c r="R54" s="244">
        <f>+C54</f>
        <v>6500000</v>
      </c>
      <c r="S54" s="252"/>
      <c r="T54" s="252"/>
      <c r="U54" s="252"/>
      <c r="V54" s="252"/>
      <c r="AE54" s="17"/>
      <c r="AF54" s="294">
        <v>0</v>
      </c>
      <c r="AG54" s="294">
        <v>0</v>
      </c>
      <c r="AH54" s="30">
        <v>0</v>
      </c>
      <c r="AI54" s="30">
        <v>0</v>
      </c>
      <c r="AJ54" s="30">
        <v>0</v>
      </c>
      <c r="AK54" s="30">
        <v>0</v>
      </c>
      <c r="AL54" s="30">
        <v>0</v>
      </c>
      <c r="AM54" s="30">
        <v>0</v>
      </c>
      <c r="AN54" s="30">
        <v>0</v>
      </c>
      <c r="AO54" s="30">
        <v>0</v>
      </c>
      <c r="AP54" s="30">
        <v>0</v>
      </c>
    </row>
    <row r="55" spans="1:42" ht="30">
      <c r="A55" s="262" t="s">
        <v>68</v>
      </c>
      <c r="B55" s="270" t="s">
        <v>67</v>
      </c>
      <c r="C55" s="302">
        <v>156000000000</v>
      </c>
      <c r="D55" s="312">
        <v>200550000000</v>
      </c>
      <c r="E55" s="361">
        <v>280000000000</v>
      </c>
      <c r="F55" s="248">
        <f>+'INGRESOS 2014'!H55</f>
        <v>0</v>
      </c>
      <c r="G55" s="248">
        <v>0</v>
      </c>
      <c r="H55" s="248">
        <f>+G55*(1+$AM$10)</f>
        <v>0</v>
      </c>
      <c r="I55" s="248">
        <f>+H55*(1+$AN$10)</f>
        <v>0</v>
      </c>
      <c r="J55" s="248">
        <f>+I55*(1+$AO$10)</f>
        <v>0</v>
      </c>
      <c r="K55" s="248">
        <f>+J55*(1+$AP$10)</f>
        <v>0</v>
      </c>
      <c r="L55" s="248">
        <f>+K55*(1+$AQ$10)</f>
        <v>0</v>
      </c>
      <c r="M55" s="248">
        <f>+L55*(1+$AR$10)</f>
        <v>0</v>
      </c>
      <c r="N55" s="309">
        <f t="shared" si="42"/>
        <v>0</v>
      </c>
      <c r="O55" s="309">
        <f t="shared" si="42"/>
        <v>0</v>
      </c>
      <c r="P55" s="309">
        <f t="shared" si="43"/>
        <v>0</v>
      </c>
      <c r="Q55" s="321">
        <f>SUM(E55:P55)</f>
        <v>280000000000</v>
      </c>
      <c r="S55" s="252"/>
      <c r="T55" s="252"/>
      <c r="U55" s="252"/>
      <c r="V55" s="252"/>
      <c r="AE55" s="17"/>
      <c r="AF55" s="294"/>
      <c r="AG55" s="294"/>
      <c r="AH55" s="30"/>
      <c r="AI55" s="30"/>
      <c r="AJ55" s="30"/>
      <c r="AK55" s="30"/>
      <c r="AL55" s="30"/>
      <c r="AM55" s="30"/>
      <c r="AN55" s="30"/>
      <c r="AO55" s="30"/>
      <c r="AP55" s="30"/>
    </row>
    <row r="56" spans="1:42" ht="30">
      <c r="A56" s="262" t="s">
        <v>66</v>
      </c>
      <c r="B56" s="270" t="s">
        <v>614</v>
      </c>
      <c r="C56" s="302">
        <v>39000000000</v>
      </c>
      <c r="D56" s="312">
        <v>56450000000</v>
      </c>
      <c r="E56" s="302"/>
      <c r="F56" s="309">
        <f>+'INGRESOS 2014'!H57</f>
        <v>0</v>
      </c>
      <c r="G56" s="248">
        <v>400000000</v>
      </c>
      <c r="H56" s="248">
        <f>+G56*(1+$AM$10)</f>
        <v>412000000</v>
      </c>
      <c r="I56" s="248">
        <f>+H56*(1+$AN$10)</f>
        <v>424360000</v>
      </c>
      <c r="J56" s="248">
        <f>+I56*(1+$AO$10)</f>
        <v>437090800</v>
      </c>
      <c r="K56" s="248">
        <f>+J56*(1+$AP$10)</f>
        <v>450203524</v>
      </c>
      <c r="L56" s="248">
        <f>+K56*(1+$AQ$10)</f>
        <v>463709629.72</v>
      </c>
      <c r="M56" s="248">
        <f>+L56*(1+$AR$10)</f>
        <v>477620918.61160004</v>
      </c>
      <c r="N56" s="309">
        <f t="shared" si="42"/>
        <v>491949546.16994804</v>
      </c>
      <c r="O56" s="309">
        <f t="shared" si="42"/>
        <v>506708032.5550465</v>
      </c>
      <c r="P56" s="309">
        <f t="shared" si="43"/>
        <v>521909273.5316979</v>
      </c>
      <c r="Q56" s="309">
        <f t="shared" si="44"/>
        <v>100035551724.5883</v>
      </c>
      <c r="S56" s="252"/>
      <c r="T56" s="252"/>
      <c r="U56" s="252"/>
      <c r="V56" s="252"/>
      <c r="AE56" s="17"/>
      <c r="AF56" s="294"/>
      <c r="AG56" s="294"/>
      <c r="AH56" s="30"/>
      <c r="AI56" s="30"/>
      <c r="AJ56" s="30"/>
      <c r="AK56" s="30"/>
      <c r="AL56" s="30"/>
      <c r="AM56" s="30"/>
      <c r="AN56" s="30"/>
      <c r="AO56" s="30"/>
      <c r="AP56" s="30"/>
    </row>
    <row r="57" spans="1:42" ht="15">
      <c r="A57" s="262"/>
      <c r="B57" s="270" t="s">
        <v>599</v>
      </c>
      <c r="C57" s="302"/>
      <c r="D57" s="312">
        <v>48902</v>
      </c>
      <c r="E57" s="302">
        <f>+'[4]InfEjecucionIngresosContraloria'!$F$111</f>
        <v>417193482.5</v>
      </c>
      <c r="F57" s="309"/>
      <c r="G57" s="309"/>
      <c r="H57" s="309"/>
      <c r="I57" s="309"/>
      <c r="J57" s="309"/>
      <c r="K57" s="309"/>
      <c r="L57" s="309"/>
      <c r="M57" s="309"/>
      <c r="N57" s="309">
        <f t="shared" si="42"/>
        <v>0</v>
      </c>
      <c r="O57" s="309">
        <f t="shared" si="42"/>
        <v>0</v>
      </c>
      <c r="P57" s="309">
        <f t="shared" si="43"/>
        <v>0</v>
      </c>
      <c r="Q57" s="309">
        <f t="shared" si="44"/>
        <v>417242384.5</v>
      </c>
      <c r="R57" s="308"/>
      <c r="S57" s="252"/>
      <c r="T57" s="252"/>
      <c r="U57" s="252"/>
      <c r="V57" s="252"/>
      <c r="AE57" s="17"/>
      <c r="AF57" s="294"/>
      <c r="AG57" s="294"/>
      <c r="AH57" s="30"/>
      <c r="AI57" s="30"/>
      <c r="AJ57" s="30"/>
      <c r="AK57" s="30"/>
      <c r="AL57" s="30"/>
      <c r="AM57" s="30"/>
      <c r="AN57" s="30"/>
      <c r="AO57" s="30"/>
      <c r="AP57" s="30"/>
    </row>
    <row r="58" spans="1:42" ht="30">
      <c r="A58" s="262" t="s">
        <v>518</v>
      </c>
      <c r="B58" s="270" t="s">
        <v>517</v>
      </c>
      <c r="C58" s="302">
        <v>2000000</v>
      </c>
      <c r="D58" s="312">
        <v>2000000</v>
      </c>
      <c r="E58" s="302">
        <f>+'[4]InfEjecucionIngresosContraloria'!$F$64</f>
        <v>6000000</v>
      </c>
      <c r="F58" s="309">
        <f>+'INGRESOS 2014'!H56</f>
        <v>0</v>
      </c>
      <c r="G58" s="309">
        <f aca="true" t="shared" si="45" ref="G58:M58">+F58*(1+$AK$10)</f>
        <v>0</v>
      </c>
      <c r="H58" s="309">
        <f t="shared" si="45"/>
        <v>0</v>
      </c>
      <c r="I58" s="309">
        <f t="shared" si="45"/>
        <v>0</v>
      </c>
      <c r="J58" s="309">
        <f t="shared" si="45"/>
        <v>0</v>
      </c>
      <c r="K58" s="309">
        <f t="shared" si="45"/>
        <v>0</v>
      </c>
      <c r="L58" s="309">
        <f t="shared" si="45"/>
        <v>0</v>
      </c>
      <c r="M58" s="309">
        <f t="shared" si="45"/>
        <v>0</v>
      </c>
      <c r="N58" s="309">
        <f t="shared" si="42"/>
        <v>0</v>
      </c>
      <c r="O58" s="309">
        <f t="shared" si="42"/>
        <v>0</v>
      </c>
      <c r="P58" s="309">
        <f t="shared" si="43"/>
        <v>0</v>
      </c>
      <c r="Q58" s="309">
        <f t="shared" si="44"/>
        <v>10000000</v>
      </c>
      <c r="S58" s="252"/>
      <c r="T58" s="252"/>
      <c r="U58" s="252"/>
      <c r="V58" s="252"/>
      <c r="AE58" s="17"/>
      <c r="AF58" s="294"/>
      <c r="AG58" s="294"/>
      <c r="AH58" s="30"/>
      <c r="AI58" s="30"/>
      <c r="AJ58" s="30"/>
      <c r="AK58" s="30"/>
      <c r="AL58" s="30"/>
      <c r="AM58" s="30"/>
      <c r="AN58" s="30"/>
      <c r="AO58" s="30"/>
      <c r="AP58" s="30"/>
    </row>
    <row r="59" spans="1:42" ht="30">
      <c r="A59" s="262" t="s">
        <v>65</v>
      </c>
      <c r="B59" s="270" t="s">
        <v>59</v>
      </c>
      <c r="C59" s="301">
        <f>SUM(C60:C62)</f>
        <v>3500000</v>
      </c>
      <c r="D59" s="301">
        <f aca="true" t="shared" si="46" ref="D59:P59">SUM(D60:D62)</f>
        <v>3605000</v>
      </c>
      <c r="E59" s="301">
        <f t="shared" si="46"/>
        <v>3713150</v>
      </c>
      <c r="F59" s="301">
        <f t="shared" si="46"/>
        <v>10797000</v>
      </c>
      <c r="G59" s="301">
        <f t="shared" si="46"/>
        <v>11120910</v>
      </c>
      <c r="H59" s="301">
        <f t="shared" si="46"/>
        <v>11454537.3</v>
      </c>
      <c r="I59" s="301">
        <f t="shared" si="46"/>
        <v>11798173.419</v>
      </c>
      <c r="J59" s="301">
        <f t="shared" si="46"/>
        <v>12152118.62157</v>
      </c>
      <c r="K59" s="301">
        <f t="shared" si="46"/>
        <v>12516682.1802171</v>
      </c>
      <c r="L59" s="301">
        <f t="shared" si="46"/>
        <v>12892182.645623613</v>
      </c>
      <c r="M59" s="301">
        <f t="shared" si="46"/>
        <v>13278948.124992322</v>
      </c>
      <c r="N59" s="301">
        <f>SUM(N60:N62)</f>
        <v>13677316.568742095</v>
      </c>
      <c r="O59" s="301">
        <f>SUM(O60:O62)</f>
        <v>14087636.065804355</v>
      </c>
      <c r="P59" s="301">
        <f t="shared" si="46"/>
        <v>14510265.147778485</v>
      </c>
      <c r="Q59" s="247">
        <f>SUM(Q60:Q62)</f>
        <v>149103920.073728</v>
      </c>
      <c r="S59" s="252"/>
      <c r="T59" s="252"/>
      <c r="U59" s="252"/>
      <c r="V59" s="252"/>
      <c r="AE59" s="17"/>
      <c r="AF59" s="294"/>
      <c r="AG59" s="294"/>
      <c r="AH59" s="30"/>
      <c r="AI59" s="30"/>
      <c r="AJ59" s="30"/>
      <c r="AK59" s="30"/>
      <c r="AL59" s="30"/>
      <c r="AM59" s="30"/>
      <c r="AN59" s="30"/>
      <c r="AO59" s="30"/>
      <c r="AP59" s="30"/>
    </row>
    <row r="60" spans="1:42" ht="15">
      <c r="A60" s="263" t="s">
        <v>64</v>
      </c>
      <c r="B60" s="264" t="s">
        <v>63</v>
      </c>
      <c r="C60" s="302">
        <v>1000000</v>
      </c>
      <c r="D60" s="310">
        <f>+C60*(1+$AI$10)</f>
        <v>1030000</v>
      </c>
      <c r="E60" s="360">
        <v>1060900</v>
      </c>
      <c r="F60" s="248">
        <f>+'INGRESOS 2014'!H59</f>
        <v>1527000</v>
      </c>
      <c r="G60" s="248">
        <f>+F60*(1+$AL$10)</f>
        <v>1572810</v>
      </c>
      <c r="H60" s="248">
        <f>+G60*(1+$AM$10)</f>
        <v>1619994.3</v>
      </c>
      <c r="I60" s="248">
        <f>+H60*(1+$AN$10)</f>
        <v>1668594.1290000002</v>
      </c>
      <c r="J60" s="248">
        <f>+I60*(1+$AO$10)</f>
        <v>1718651.9528700002</v>
      </c>
      <c r="K60" s="248">
        <f>+J60*(1+$AP$10)</f>
        <v>1770211.5114561003</v>
      </c>
      <c r="L60" s="248">
        <f>+K60*(1+$AQ$10)</f>
        <v>1823317.8567997834</v>
      </c>
      <c r="M60" s="248">
        <f>+L60*(1+$AR$10)</f>
        <v>1878017.392503777</v>
      </c>
      <c r="N60" s="309">
        <f aca="true" t="shared" si="47" ref="N60:P62">+M60*(1+$AR$10)</f>
        <v>1934357.9142788905</v>
      </c>
      <c r="O60" s="309">
        <f t="shared" si="47"/>
        <v>1992388.6517072571</v>
      </c>
      <c r="P60" s="309">
        <f t="shared" si="47"/>
        <v>2052160.3112584748</v>
      </c>
      <c r="Q60" s="309">
        <f>SUM(C60:P60)</f>
        <v>22648404.019874286</v>
      </c>
      <c r="R60" s="244">
        <f>+C60</f>
        <v>1000000</v>
      </c>
      <c r="S60" s="252"/>
      <c r="T60" s="252"/>
      <c r="U60" s="252"/>
      <c r="V60" s="252"/>
      <c r="AE60" s="17"/>
      <c r="AF60" s="294"/>
      <c r="AG60" s="294"/>
      <c r="AH60" s="30"/>
      <c r="AI60" s="30"/>
      <c r="AJ60" s="30"/>
      <c r="AK60" s="30"/>
      <c r="AL60" s="30"/>
      <c r="AM60" s="30"/>
      <c r="AN60" s="30"/>
      <c r="AO60" s="30"/>
      <c r="AP60" s="30"/>
    </row>
    <row r="61" spans="1:42" ht="15">
      <c r="A61" s="263" t="s">
        <v>62</v>
      </c>
      <c r="B61" s="264" t="s">
        <v>61</v>
      </c>
      <c r="C61" s="302">
        <v>2000000</v>
      </c>
      <c r="D61" s="310">
        <f>+C61*(1+$AI$10)</f>
        <v>2060000</v>
      </c>
      <c r="E61" s="360">
        <v>2121800</v>
      </c>
      <c r="F61" s="248">
        <f>+'INGRESOS 2014'!H60</f>
        <v>6677000</v>
      </c>
      <c r="G61" s="248">
        <f>+F61*(1+$AL$10)</f>
        <v>6877310</v>
      </c>
      <c r="H61" s="248">
        <f>+G61*(1+$AM$10)</f>
        <v>7083629.3</v>
      </c>
      <c r="I61" s="248">
        <f>+H61*(1+$AN$10)</f>
        <v>7296138.179</v>
      </c>
      <c r="J61" s="248">
        <f>+I61*(1+$AO$10)</f>
        <v>7515022.32437</v>
      </c>
      <c r="K61" s="248">
        <f>+J61*(1+$AP$10)</f>
        <v>7740472.9941011</v>
      </c>
      <c r="L61" s="248">
        <f>+K61*(1+$AQ$10)</f>
        <v>7972687.183924133</v>
      </c>
      <c r="M61" s="248">
        <f>+L61*(1+$AR$10)</f>
        <v>8211867.799441857</v>
      </c>
      <c r="N61" s="309">
        <f t="shared" si="47"/>
        <v>8458223.833425114</v>
      </c>
      <c r="O61" s="309">
        <f t="shared" si="47"/>
        <v>8711970.548427867</v>
      </c>
      <c r="P61" s="309">
        <f t="shared" si="47"/>
        <v>8973329.664880702</v>
      </c>
      <c r="Q61" s="309">
        <f>SUM(C61:P61)</f>
        <v>91699451.82757078</v>
      </c>
      <c r="R61" s="244">
        <f>+C61</f>
        <v>2000000</v>
      </c>
      <c r="S61" s="252"/>
      <c r="T61" s="252"/>
      <c r="U61" s="252"/>
      <c r="V61" s="252"/>
      <c r="AE61" s="17"/>
      <c r="AF61" s="294">
        <v>0</v>
      </c>
      <c r="AG61" s="294">
        <v>0</v>
      </c>
      <c r="AH61" s="30">
        <v>0</v>
      </c>
      <c r="AI61" s="30">
        <v>0</v>
      </c>
      <c r="AJ61" s="30">
        <v>0</v>
      </c>
      <c r="AK61" s="30">
        <v>0</v>
      </c>
      <c r="AL61" s="30">
        <v>0</v>
      </c>
      <c r="AM61" s="30">
        <v>0</v>
      </c>
      <c r="AN61" s="30">
        <v>0</v>
      </c>
      <c r="AO61" s="30">
        <v>0</v>
      </c>
      <c r="AP61" s="30">
        <v>0</v>
      </c>
    </row>
    <row r="62" spans="1:42" ht="15">
      <c r="A62" s="263" t="s">
        <v>60</v>
      </c>
      <c r="B62" s="264" t="s">
        <v>59</v>
      </c>
      <c r="C62" s="302">
        <v>500000</v>
      </c>
      <c r="D62" s="310">
        <f>+C62*(1+$AI$10)</f>
        <v>515000</v>
      </c>
      <c r="E62" s="360">
        <v>530450</v>
      </c>
      <c r="F62" s="248">
        <f>+'INGRESOS 2014'!H61</f>
        <v>2593000</v>
      </c>
      <c r="G62" s="248">
        <f>+F62*(1+$AL$10)</f>
        <v>2670790</v>
      </c>
      <c r="H62" s="248">
        <f>+G62*(1+$AM$10)</f>
        <v>2750913.7</v>
      </c>
      <c r="I62" s="248">
        <f>+H62*(1+$AN$10)</f>
        <v>2833441.111</v>
      </c>
      <c r="J62" s="248">
        <f>+I62*(1+$AO$10)</f>
        <v>2918444.34433</v>
      </c>
      <c r="K62" s="248">
        <f>+J62*(1+$AP$10)</f>
        <v>3005997.6746599004</v>
      </c>
      <c r="L62" s="248">
        <f>+K62*(1+$AQ$10)</f>
        <v>3096177.6048996975</v>
      </c>
      <c r="M62" s="248">
        <f>+L62*(1+$AR$10)</f>
        <v>3189062.9330466883</v>
      </c>
      <c r="N62" s="309">
        <f t="shared" si="47"/>
        <v>3284734.821038089</v>
      </c>
      <c r="O62" s="309">
        <f t="shared" si="47"/>
        <v>3383276.865669232</v>
      </c>
      <c r="P62" s="309">
        <f t="shared" si="47"/>
        <v>3484775.171639309</v>
      </c>
      <c r="Q62" s="309">
        <f>SUM(C62:P62)</f>
        <v>34756064.22628292</v>
      </c>
      <c r="R62" s="244">
        <f>+C62</f>
        <v>500000</v>
      </c>
      <c r="S62" s="252"/>
      <c r="T62" s="252"/>
      <c r="U62" s="252"/>
      <c r="V62" s="252"/>
      <c r="AE62" s="17"/>
      <c r="AF62" s="294">
        <v>0</v>
      </c>
      <c r="AG62" s="294">
        <v>0</v>
      </c>
      <c r="AH62" s="30">
        <v>0</v>
      </c>
      <c r="AI62" s="30">
        <v>0</v>
      </c>
      <c r="AJ62" s="30">
        <v>0</v>
      </c>
      <c r="AK62" s="30">
        <v>0</v>
      </c>
      <c r="AL62" s="30">
        <v>0</v>
      </c>
      <c r="AM62" s="30">
        <v>0</v>
      </c>
      <c r="AN62" s="30">
        <v>0</v>
      </c>
      <c r="AO62" s="30">
        <v>0</v>
      </c>
      <c r="AP62" s="30">
        <v>0</v>
      </c>
    </row>
    <row r="63" spans="1:42" ht="30">
      <c r="A63" s="262" t="s">
        <v>58</v>
      </c>
      <c r="B63" s="260" t="s">
        <v>57</v>
      </c>
      <c r="C63" s="301">
        <f>+C64+C66+C67++C79+C80+C75</f>
        <v>5135502144</v>
      </c>
      <c r="D63" s="301">
        <f>+D64+D66+D67++D79+D80+D75+D65</f>
        <v>5263602920</v>
      </c>
      <c r="E63" s="301">
        <f>+E64+E66+E67++E79+E80+E75+E65</f>
        <v>6349241928</v>
      </c>
      <c r="F63" s="301">
        <f aca="true" t="shared" si="48" ref="F63:Q63">+F64+F66+F67++F79+F80+F75+F65</f>
        <v>6531390334.09</v>
      </c>
      <c r="G63" s="301">
        <f t="shared" si="48"/>
        <v>6719092044.1126995</v>
      </c>
      <c r="H63" s="301">
        <f t="shared" si="48"/>
        <v>6920664805.436081</v>
      </c>
      <c r="I63" s="301">
        <f t="shared" si="48"/>
        <v>7128284749.599164</v>
      </c>
      <c r="J63" s="301">
        <f t="shared" si="48"/>
        <v>7342133292.087139</v>
      </c>
      <c r="K63" s="301">
        <f t="shared" si="48"/>
        <v>7562397290.849754</v>
      </c>
      <c r="L63" s="301">
        <f t="shared" si="48"/>
        <v>7789269209.575247</v>
      </c>
      <c r="M63" s="301">
        <f t="shared" si="48"/>
        <v>8022947285.862505</v>
      </c>
      <c r="N63" s="301">
        <f t="shared" si="48"/>
        <v>8263635704.438379</v>
      </c>
      <c r="O63" s="301">
        <f t="shared" si="48"/>
        <v>8511544775.57153</v>
      </c>
      <c r="P63" s="301">
        <f t="shared" si="48"/>
        <v>8766891118.838676</v>
      </c>
      <c r="Q63" s="301">
        <f t="shared" si="48"/>
        <v>100306597602.46117</v>
      </c>
      <c r="S63" s="252"/>
      <c r="T63" s="252"/>
      <c r="U63" s="252"/>
      <c r="V63" s="252"/>
      <c r="AE63" s="17"/>
      <c r="AF63" s="294">
        <v>0</v>
      </c>
      <c r="AG63" s="294">
        <v>0</v>
      </c>
      <c r="AH63" s="30">
        <v>0</v>
      </c>
      <c r="AI63" s="30">
        <v>0</v>
      </c>
      <c r="AJ63" s="30">
        <v>0</v>
      </c>
      <c r="AK63" s="30">
        <v>0</v>
      </c>
      <c r="AL63" s="30">
        <v>0</v>
      </c>
      <c r="AM63" s="30">
        <v>0</v>
      </c>
      <c r="AN63" s="30">
        <v>0</v>
      </c>
      <c r="AO63" s="30">
        <v>0</v>
      </c>
      <c r="AP63" s="30">
        <v>0</v>
      </c>
    </row>
    <row r="64" spans="1:42" ht="15">
      <c r="A64" s="263" t="s">
        <v>56</v>
      </c>
      <c r="B64" s="275" t="s">
        <v>55</v>
      </c>
      <c r="C64" s="302">
        <v>954853272</v>
      </c>
      <c r="D64" s="312">
        <v>682419150</v>
      </c>
      <c r="E64" s="302">
        <f>+'[4]InfEjecucionIngresosContraloria'!$F$71</f>
        <v>750089526</v>
      </c>
      <c r="F64" s="248">
        <f>+'INGRESOS 2014'!H63</f>
        <v>844780936</v>
      </c>
      <c r="G64" s="248">
        <f>+F64*(1+$AL$10)</f>
        <v>870124364.08</v>
      </c>
      <c r="H64" s="248">
        <f>+G64*(1+$AM$10)</f>
        <v>896228095.0024</v>
      </c>
      <c r="I64" s="248">
        <f>+H64*(1+$AN$10)</f>
        <v>923114937.8524721</v>
      </c>
      <c r="J64" s="248">
        <f>+I64*(1+$AO$10)</f>
        <v>950808385.9880463</v>
      </c>
      <c r="K64" s="248">
        <f>+J64*(1+$AP$10)</f>
        <v>979332637.5676877</v>
      </c>
      <c r="L64" s="248">
        <f>+K64*(1+$AQ$10)</f>
        <v>1008712616.6947184</v>
      </c>
      <c r="M64" s="248">
        <f>+L64*(1+$AR$10)</f>
        <v>1038973995.19556</v>
      </c>
      <c r="N64" s="309">
        <f aca="true" t="shared" si="49" ref="N64:P66">+M64*(1+$AR$10)</f>
        <v>1070143215.0514268</v>
      </c>
      <c r="O64" s="309">
        <f t="shared" si="49"/>
        <v>1102247511.5029695</v>
      </c>
      <c r="P64" s="309">
        <f t="shared" si="49"/>
        <v>1135314936.8480587</v>
      </c>
      <c r="Q64" s="309">
        <f>SUM(C64:P64)</f>
        <v>13207143579.78334</v>
      </c>
      <c r="S64" s="252"/>
      <c r="T64" s="252"/>
      <c r="U64" s="252"/>
      <c r="V64" s="252"/>
      <c r="AE64" s="17"/>
      <c r="AF64" s="294">
        <v>0</v>
      </c>
      <c r="AG64" s="294">
        <v>0</v>
      </c>
      <c r="AH64" s="30">
        <v>0</v>
      </c>
      <c r="AI64" s="30">
        <v>0</v>
      </c>
      <c r="AJ64" s="30">
        <v>0</v>
      </c>
      <c r="AK64" s="30">
        <v>0</v>
      </c>
      <c r="AL64" s="30">
        <v>0</v>
      </c>
      <c r="AM64" s="30">
        <v>0</v>
      </c>
      <c r="AN64" s="30">
        <v>0</v>
      </c>
      <c r="AO64" s="30">
        <v>0</v>
      </c>
      <c r="AP64" s="30">
        <v>0</v>
      </c>
    </row>
    <row r="65" spans="1:42" ht="15">
      <c r="A65" s="263"/>
      <c r="B65" s="275" t="s">
        <v>584</v>
      </c>
      <c r="C65" s="302"/>
      <c r="D65" s="312">
        <v>215845000</v>
      </c>
      <c r="E65" s="302">
        <f>+'[4]InfEjecucionIngresosContraloria'!$F$72</f>
        <v>518628000</v>
      </c>
      <c r="F65" s="309">
        <f>+'INGRESOS 2014'!H64</f>
        <v>550036000</v>
      </c>
      <c r="G65" s="309">
        <f aca="true" t="shared" si="50" ref="G65:M65">+F65*(1+$AK$10)</f>
        <v>566537080</v>
      </c>
      <c r="H65" s="309">
        <f t="shared" si="50"/>
        <v>583533192.4</v>
      </c>
      <c r="I65" s="309">
        <f t="shared" si="50"/>
        <v>601039188.172</v>
      </c>
      <c r="J65" s="309">
        <f t="shared" si="50"/>
        <v>619070363.81716</v>
      </c>
      <c r="K65" s="309">
        <f t="shared" si="50"/>
        <v>637642474.7316748</v>
      </c>
      <c r="L65" s="309">
        <f t="shared" si="50"/>
        <v>656771748.9736251</v>
      </c>
      <c r="M65" s="309">
        <f t="shared" si="50"/>
        <v>676474901.4428338</v>
      </c>
      <c r="N65" s="309">
        <f t="shared" si="49"/>
        <v>696769148.4861188</v>
      </c>
      <c r="O65" s="309">
        <f t="shared" si="49"/>
        <v>717672222.9407023</v>
      </c>
      <c r="P65" s="309">
        <f t="shared" si="49"/>
        <v>739202389.6289234</v>
      </c>
      <c r="Q65" s="309">
        <f>SUM(C65:P65)</f>
        <v>7779221710.593039</v>
      </c>
      <c r="S65" s="252"/>
      <c r="T65" s="252"/>
      <c r="U65" s="252"/>
      <c r="V65" s="252"/>
      <c r="AE65" s="17"/>
      <c r="AF65" s="294"/>
      <c r="AG65" s="294"/>
      <c r="AH65" s="30"/>
      <c r="AI65" s="30"/>
      <c r="AJ65" s="30"/>
      <c r="AK65" s="30"/>
      <c r="AL65" s="30"/>
      <c r="AM65" s="30"/>
      <c r="AN65" s="30"/>
      <c r="AO65" s="30"/>
      <c r="AP65" s="30"/>
    </row>
    <row r="66" spans="1:42" ht="15">
      <c r="A66" s="263" t="s">
        <v>54</v>
      </c>
      <c r="B66" s="275" t="s">
        <v>53</v>
      </c>
      <c r="C66" s="302">
        <v>1147770906</v>
      </c>
      <c r="D66" s="310">
        <v>1277539399</v>
      </c>
      <c r="E66" s="302">
        <f>+'[4]InfEjecucionIngresosContraloria'!$F$73</f>
        <v>1554155797</v>
      </c>
      <c r="F66" s="248">
        <f>+'INGRESOS 2014'!H65</f>
        <v>1524413636</v>
      </c>
      <c r="G66" s="248">
        <f>+F66*(1+$AL$10)</f>
        <v>1570146045.08</v>
      </c>
      <c r="H66" s="248">
        <f>+G66*(1+$AM$10)</f>
        <v>1617250426.4324</v>
      </c>
      <c r="I66" s="248">
        <f>+H66*(1+$AN$10)</f>
        <v>1665767939.225372</v>
      </c>
      <c r="J66" s="248">
        <f>+I66*(1+$AO$10)</f>
        <v>1715740977.4021332</v>
      </c>
      <c r="K66" s="248">
        <f>+J66*(1+$AP$10)</f>
        <v>1767213206.7241974</v>
      </c>
      <c r="L66" s="248">
        <f>+K66*(1+$AQ$10)</f>
        <v>1820229602.9259233</v>
      </c>
      <c r="M66" s="248">
        <f>+L66*(1+$AR$10)</f>
        <v>1874836491.0137012</v>
      </c>
      <c r="N66" s="309">
        <f t="shared" si="49"/>
        <v>1931081585.7441123</v>
      </c>
      <c r="O66" s="309">
        <f t="shared" si="49"/>
        <v>1989014033.3164356</v>
      </c>
      <c r="P66" s="309">
        <f t="shared" si="49"/>
        <v>2048684454.3159287</v>
      </c>
      <c r="Q66" s="309">
        <f>SUM(C66:P66)</f>
        <v>23503844500.18021</v>
      </c>
      <c r="R66" s="244">
        <f>+C66</f>
        <v>1147770906</v>
      </c>
      <c r="S66" s="252"/>
      <c r="T66" s="252"/>
      <c r="U66" s="252"/>
      <c r="V66" s="252"/>
      <c r="AE66" s="17"/>
      <c r="AF66" s="294">
        <v>0</v>
      </c>
      <c r="AG66" s="294">
        <v>0</v>
      </c>
      <c r="AH66" s="30">
        <v>0</v>
      </c>
      <c r="AI66" s="30">
        <v>0</v>
      </c>
      <c r="AJ66" s="30">
        <v>0</v>
      </c>
      <c r="AK66" s="30">
        <v>0</v>
      </c>
      <c r="AL66" s="30">
        <v>0</v>
      </c>
      <c r="AM66" s="30">
        <v>0</v>
      </c>
      <c r="AN66" s="30">
        <v>0</v>
      </c>
      <c r="AO66" s="30">
        <v>0</v>
      </c>
      <c r="AP66" s="30">
        <v>0</v>
      </c>
    </row>
    <row r="67" spans="1:42" ht="15">
      <c r="A67" s="262" t="s">
        <v>52</v>
      </c>
      <c r="B67" s="260" t="s">
        <v>51</v>
      </c>
      <c r="C67" s="301">
        <f>SUM(C68:C74)</f>
        <v>2831877966</v>
      </c>
      <c r="D67" s="301">
        <f aca="true" t="shared" si="51" ref="D67:Q67">SUM(D68:D74)</f>
        <v>2813769371</v>
      </c>
      <c r="E67" s="301">
        <f>SUM(E68:E74)</f>
        <v>3244117705</v>
      </c>
      <c r="F67" s="301">
        <f t="shared" si="51"/>
        <v>3248659762.09</v>
      </c>
      <c r="G67" s="301">
        <f t="shared" si="51"/>
        <v>3346119554.9527</v>
      </c>
      <c r="H67" s="301">
        <f t="shared" si="51"/>
        <v>3446503141.6012807</v>
      </c>
      <c r="I67" s="301">
        <f t="shared" si="51"/>
        <v>3549898235.8493195</v>
      </c>
      <c r="J67" s="301">
        <f t="shared" si="51"/>
        <v>3656395182.9247994</v>
      </c>
      <c r="K67" s="301">
        <f t="shared" si="51"/>
        <v>3766087038.412544</v>
      </c>
      <c r="L67" s="301">
        <f t="shared" si="51"/>
        <v>3879069649.56492</v>
      </c>
      <c r="M67" s="301">
        <f t="shared" si="51"/>
        <v>3995441739.051868</v>
      </c>
      <c r="N67" s="301">
        <f>SUM(N68:N74)</f>
        <v>4115304991.2234235</v>
      </c>
      <c r="O67" s="301">
        <f>SUM(O68:O74)</f>
        <v>4238764140.9601264</v>
      </c>
      <c r="P67" s="301">
        <f t="shared" si="51"/>
        <v>4365927065.1889305</v>
      </c>
      <c r="Q67" s="301">
        <f t="shared" si="51"/>
        <v>50497935543.81991</v>
      </c>
      <c r="S67" s="252"/>
      <c r="T67" s="252"/>
      <c r="U67" s="252"/>
      <c r="V67" s="252"/>
      <c r="AE67" s="269"/>
      <c r="AF67" s="295">
        <v>0</v>
      </c>
      <c r="AG67" s="295">
        <v>0</v>
      </c>
      <c r="AH67" s="296">
        <v>0</v>
      </c>
      <c r="AI67" s="296">
        <v>0</v>
      </c>
      <c r="AJ67" s="296">
        <v>0</v>
      </c>
      <c r="AK67" s="296">
        <v>0</v>
      </c>
      <c r="AL67" s="296">
        <v>0</v>
      </c>
      <c r="AM67" s="296">
        <v>0</v>
      </c>
      <c r="AN67" s="296">
        <v>0</v>
      </c>
      <c r="AO67" s="296">
        <v>0</v>
      </c>
      <c r="AP67" s="296">
        <v>0</v>
      </c>
    </row>
    <row r="68" spans="1:42" ht="15">
      <c r="A68" s="263" t="s">
        <v>50</v>
      </c>
      <c r="B68" s="275" t="s">
        <v>49</v>
      </c>
      <c r="C68" s="302">
        <v>94774098</v>
      </c>
      <c r="D68" s="312">
        <v>97539764</v>
      </c>
      <c r="E68" s="302">
        <f>+'[4]InfEjecucionIngresosContraloria'!$F$75</f>
        <v>100779706</v>
      </c>
      <c r="F68" s="248">
        <f>+'INGRESOS 2014'!H67</f>
        <v>104519208</v>
      </c>
      <c r="G68" s="248">
        <f aca="true" t="shared" si="52" ref="G68:G80">+F68*(1+$AL$10)</f>
        <v>107654784.24000001</v>
      </c>
      <c r="H68" s="248">
        <f aca="true" t="shared" si="53" ref="H68:H80">+G68*(1+$AM$10)</f>
        <v>110884427.76720001</v>
      </c>
      <c r="I68" s="248">
        <f aca="true" t="shared" si="54" ref="I68:I80">+H68*(1+$AN$10)</f>
        <v>114210960.60021602</v>
      </c>
      <c r="J68" s="248">
        <f aca="true" t="shared" si="55" ref="J68:J80">+I68*(1+$AO$10)</f>
        <v>117637289.4182225</v>
      </c>
      <c r="K68" s="248">
        <f aca="true" t="shared" si="56" ref="K68:K80">+J68*(1+$AP$10)</f>
        <v>121166408.10076918</v>
      </c>
      <c r="L68" s="248">
        <f aca="true" t="shared" si="57" ref="L68:L80">+K68*(1+$AQ$10)</f>
        <v>124801400.34379226</v>
      </c>
      <c r="M68" s="248">
        <f>+L68*(1+$AR$10)</f>
        <v>128545442.35410602</v>
      </c>
      <c r="N68" s="309">
        <f aca="true" t="shared" si="58" ref="N68:P74">+M68*(1+$AR$10)</f>
        <v>132401805.6247292</v>
      </c>
      <c r="O68" s="309">
        <f t="shared" si="58"/>
        <v>136373859.79347107</v>
      </c>
      <c r="P68" s="309">
        <f t="shared" si="58"/>
        <v>140465075.5872752</v>
      </c>
      <c r="Q68" s="309">
        <f aca="true" t="shared" si="59" ref="Q68:Q74">SUM(C68:P68)</f>
        <v>1631754229.8297815</v>
      </c>
      <c r="S68" s="252"/>
      <c r="T68" s="252"/>
      <c r="U68" s="252"/>
      <c r="V68" s="252"/>
      <c r="AE68" s="269"/>
      <c r="AF68" s="295">
        <v>0</v>
      </c>
      <c r="AG68" s="295">
        <v>0</v>
      </c>
      <c r="AH68" s="296">
        <v>0</v>
      </c>
      <c r="AI68" s="296">
        <v>0</v>
      </c>
      <c r="AJ68" s="296">
        <v>0</v>
      </c>
      <c r="AK68" s="296">
        <v>0</v>
      </c>
      <c r="AL68" s="296">
        <v>0</v>
      </c>
      <c r="AM68" s="296">
        <v>0</v>
      </c>
      <c r="AN68" s="296">
        <v>0</v>
      </c>
      <c r="AO68" s="296">
        <v>0</v>
      </c>
      <c r="AP68" s="296">
        <v>0</v>
      </c>
    </row>
    <row r="69" spans="1:42" ht="15">
      <c r="A69" s="263" t="s">
        <v>48</v>
      </c>
      <c r="B69" s="275" t="s">
        <v>47</v>
      </c>
      <c r="C69" s="302">
        <v>71080574</v>
      </c>
      <c r="D69" s="312">
        <v>73154822</v>
      </c>
      <c r="E69" s="302">
        <f>+'[4]InfEjecucionIngresosContraloria'!$F$76</f>
        <v>75584781</v>
      </c>
      <c r="F69" s="248">
        <f>+'INGRESOS 2014'!H68</f>
        <v>78389407</v>
      </c>
      <c r="G69" s="248">
        <f t="shared" si="52"/>
        <v>80741089.21000001</v>
      </c>
      <c r="H69" s="248">
        <f t="shared" si="53"/>
        <v>83163321.88630001</v>
      </c>
      <c r="I69" s="248">
        <f t="shared" si="54"/>
        <v>85658221.54288901</v>
      </c>
      <c r="J69" s="248">
        <f t="shared" si="55"/>
        <v>88227968.18917568</v>
      </c>
      <c r="K69" s="248">
        <f t="shared" si="56"/>
        <v>90874807.23485096</v>
      </c>
      <c r="L69" s="248">
        <f t="shared" si="57"/>
        <v>93601051.45189649</v>
      </c>
      <c r="M69" s="248">
        <f>+L69*(1+$AR$10)</f>
        <v>96409082.99545339</v>
      </c>
      <c r="N69" s="309">
        <f t="shared" si="58"/>
        <v>99301355.48531699</v>
      </c>
      <c r="O69" s="309">
        <f t="shared" si="58"/>
        <v>102280396.1498765</v>
      </c>
      <c r="P69" s="309">
        <f t="shared" si="58"/>
        <v>105348808.0343728</v>
      </c>
      <c r="Q69" s="309">
        <f t="shared" si="59"/>
        <v>1223815686.1801322</v>
      </c>
      <c r="S69" s="252"/>
      <c r="T69" s="252"/>
      <c r="U69" s="252"/>
      <c r="V69" s="252"/>
      <c r="AE69" s="269"/>
      <c r="AF69" s="295"/>
      <c r="AG69" s="295"/>
      <c r="AH69" s="296"/>
      <c r="AI69" s="296"/>
      <c r="AJ69" s="296"/>
      <c r="AK69" s="296"/>
      <c r="AL69" s="296"/>
      <c r="AM69" s="296"/>
      <c r="AN69" s="296"/>
      <c r="AO69" s="296"/>
      <c r="AP69" s="296"/>
    </row>
    <row r="70" spans="1:42" ht="30">
      <c r="A70" s="263" t="s">
        <v>46</v>
      </c>
      <c r="B70" s="275" t="s">
        <v>45</v>
      </c>
      <c r="C70" s="302">
        <v>824546466</v>
      </c>
      <c r="D70" s="312">
        <v>874618288</v>
      </c>
      <c r="E70" s="302">
        <f>+'[4]InfEjecucionIngresosContraloria'!$F$77</f>
        <v>930363592</v>
      </c>
      <c r="F70" s="248">
        <f>+'INGRESOS 2014'!H69</f>
        <v>927633659</v>
      </c>
      <c r="G70" s="248">
        <f t="shared" si="52"/>
        <v>955462668.77</v>
      </c>
      <c r="H70" s="248">
        <f t="shared" si="53"/>
        <v>984126548.8331</v>
      </c>
      <c r="I70" s="248">
        <f t="shared" si="54"/>
        <v>1013650345.298093</v>
      </c>
      <c r="J70" s="248">
        <f t="shared" si="55"/>
        <v>1044059855.6570358</v>
      </c>
      <c r="K70" s="248">
        <f t="shared" si="56"/>
        <v>1075381651.326747</v>
      </c>
      <c r="L70" s="248">
        <f t="shared" si="57"/>
        <v>1107643100.8665495</v>
      </c>
      <c r="M70" s="248">
        <f>+L70*(1+$AR$10)</f>
        <v>1140872393.892546</v>
      </c>
      <c r="N70" s="309">
        <f t="shared" si="58"/>
        <v>1175098565.7093225</v>
      </c>
      <c r="O70" s="309">
        <f t="shared" si="58"/>
        <v>1210351522.680602</v>
      </c>
      <c r="P70" s="309">
        <f t="shared" si="58"/>
        <v>1246662068.36102</v>
      </c>
      <c r="Q70" s="309">
        <f t="shared" si="59"/>
        <v>14510470726.395016</v>
      </c>
      <c r="S70" s="252"/>
      <c r="T70" s="252"/>
      <c r="U70" s="252"/>
      <c r="V70" s="252"/>
      <c r="AE70" s="17"/>
      <c r="AF70" s="294">
        <v>0</v>
      </c>
      <c r="AG70" s="294">
        <v>0</v>
      </c>
      <c r="AH70" s="30">
        <v>0</v>
      </c>
      <c r="AI70" s="30">
        <v>0</v>
      </c>
      <c r="AJ70" s="30">
        <v>0</v>
      </c>
      <c r="AK70" s="30">
        <v>0</v>
      </c>
      <c r="AL70" s="30">
        <v>0</v>
      </c>
      <c r="AM70" s="30">
        <v>0</v>
      </c>
      <c r="AN70" s="30">
        <v>0</v>
      </c>
      <c r="AO70" s="30">
        <v>0</v>
      </c>
      <c r="AP70" s="30">
        <v>0</v>
      </c>
    </row>
    <row r="71" spans="1:42" ht="15">
      <c r="A71" s="263" t="s">
        <v>44</v>
      </c>
      <c r="B71" s="275" t="s">
        <v>43</v>
      </c>
      <c r="C71" s="302">
        <v>1480702866</v>
      </c>
      <c r="D71" s="312">
        <v>1603558506</v>
      </c>
      <c r="E71" s="302">
        <f>+'[4]InfEjecucionIngresosContraloria'!$F$78</f>
        <v>1857146730</v>
      </c>
      <c r="F71" s="248">
        <f>+'INGRESOS 2014'!H70</f>
        <v>1931629558.0900002</v>
      </c>
      <c r="G71" s="248">
        <f t="shared" si="52"/>
        <v>1989578444.8327003</v>
      </c>
      <c r="H71" s="248">
        <f t="shared" si="53"/>
        <v>2049265798.1776812</v>
      </c>
      <c r="I71" s="248">
        <f t="shared" si="54"/>
        <v>2110743772.1230116</v>
      </c>
      <c r="J71" s="248">
        <f t="shared" si="55"/>
        <v>2174066085.286702</v>
      </c>
      <c r="K71" s="248">
        <f t="shared" si="56"/>
        <v>2239288067.845303</v>
      </c>
      <c r="L71" s="248">
        <f t="shared" si="57"/>
        <v>2306466709.8806624</v>
      </c>
      <c r="M71" s="248">
        <f>+L71*(1+$AR$10)</f>
        <v>2375660711.1770825</v>
      </c>
      <c r="N71" s="309">
        <f t="shared" si="58"/>
        <v>2446930532.512395</v>
      </c>
      <c r="O71" s="309">
        <f t="shared" si="58"/>
        <v>2520338448.4877667</v>
      </c>
      <c r="P71" s="309">
        <f t="shared" si="58"/>
        <v>2595948601.9424</v>
      </c>
      <c r="Q71" s="309">
        <f t="shared" si="59"/>
        <v>29681324832.355698</v>
      </c>
      <c r="S71" s="252"/>
      <c r="T71" s="252"/>
      <c r="U71" s="252"/>
      <c r="V71" s="252"/>
      <c r="AE71" s="17"/>
      <c r="AF71" s="294">
        <v>0</v>
      </c>
      <c r="AG71" s="294">
        <v>0</v>
      </c>
      <c r="AH71" s="30">
        <v>0</v>
      </c>
      <c r="AI71" s="30">
        <v>0</v>
      </c>
      <c r="AJ71" s="30">
        <v>0</v>
      </c>
      <c r="AK71" s="30">
        <v>0</v>
      </c>
      <c r="AL71" s="30">
        <v>0</v>
      </c>
      <c r="AM71" s="30">
        <v>0</v>
      </c>
      <c r="AN71" s="30">
        <v>0</v>
      </c>
      <c r="AO71" s="30">
        <v>0</v>
      </c>
      <c r="AP71" s="30">
        <v>0</v>
      </c>
    </row>
    <row r="72" spans="1:42" ht="30">
      <c r="A72" s="263" t="s">
        <v>42</v>
      </c>
      <c r="B72" s="275" t="s">
        <v>41</v>
      </c>
      <c r="C72" s="302">
        <v>100000000</v>
      </c>
      <c r="D72" s="310"/>
      <c r="E72" s="302">
        <f>+'[4]InfEjecucionIngresosContraloria'!$F$80</f>
        <v>68792700</v>
      </c>
      <c r="F72" s="248">
        <f>+'INGRESOS 2014'!H71</f>
        <v>0</v>
      </c>
      <c r="G72" s="248">
        <f t="shared" si="52"/>
        <v>0</v>
      </c>
      <c r="H72" s="248">
        <f t="shared" si="53"/>
        <v>0</v>
      </c>
      <c r="I72" s="248">
        <f t="shared" si="54"/>
        <v>0</v>
      </c>
      <c r="J72" s="248">
        <f t="shared" si="55"/>
        <v>0</v>
      </c>
      <c r="K72" s="248">
        <f t="shared" si="56"/>
        <v>0</v>
      </c>
      <c r="L72" s="248">
        <f t="shared" si="57"/>
        <v>0</v>
      </c>
      <c r="M72" s="248">
        <f>+K72*(1+$AR$10)</f>
        <v>0</v>
      </c>
      <c r="N72" s="309">
        <f t="shared" si="58"/>
        <v>0</v>
      </c>
      <c r="O72" s="309">
        <f t="shared" si="58"/>
        <v>0</v>
      </c>
      <c r="P72" s="309">
        <f t="shared" si="58"/>
        <v>0</v>
      </c>
      <c r="Q72" s="309">
        <f t="shared" si="59"/>
        <v>168792700</v>
      </c>
      <c r="S72" s="252"/>
      <c r="T72" s="252"/>
      <c r="U72" s="252"/>
      <c r="V72" s="252"/>
      <c r="AE72" s="17"/>
      <c r="AF72" s="294"/>
      <c r="AG72" s="294"/>
      <c r="AH72" s="30"/>
      <c r="AI72" s="30"/>
      <c r="AJ72" s="30"/>
      <c r="AK72" s="30"/>
      <c r="AL72" s="30"/>
      <c r="AM72" s="30"/>
      <c r="AN72" s="30"/>
      <c r="AO72" s="30"/>
      <c r="AP72" s="30"/>
    </row>
    <row r="73" spans="1:42" ht="15">
      <c r="A73" s="263" t="s">
        <v>512</v>
      </c>
      <c r="B73" s="275" t="s">
        <v>513</v>
      </c>
      <c r="C73" s="302">
        <v>183946062</v>
      </c>
      <c r="D73" s="312">
        <v>164897991</v>
      </c>
      <c r="E73" s="302">
        <f>+'[4]InfEjecucionIngresosContraloria'!$F$79</f>
        <v>211450196</v>
      </c>
      <c r="F73" s="248">
        <f>+'INGRESOS 2014'!H72</f>
        <v>206487930</v>
      </c>
      <c r="G73" s="248">
        <f t="shared" si="52"/>
        <v>212682567.9</v>
      </c>
      <c r="H73" s="248">
        <f t="shared" si="53"/>
        <v>219063044.937</v>
      </c>
      <c r="I73" s="248">
        <f t="shared" si="54"/>
        <v>225634936.28511003</v>
      </c>
      <c r="J73" s="248">
        <f t="shared" si="55"/>
        <v>232403984.37366334</v>
      </c>
      <c r="K73" s="248">
        <f t="shared" si="56"/>
        <v>239376103.90487325</v>
      </c>
      <c r="L73" s="248">
        <f t="shared" si="57"/>
        <v>246557387.02201945</v>
      </c>
      <c r="M73" s="248">
        <f>+L73*(1+$AR$10)</f>
        <v>253954108.63268003</v>
      </c>
      <c r="N73" s="309">
        <f t="shared" si="58"/>
        <v>261572731.89166042</v>
      </c>
      <c r="O73" s="309">
        <f t="shared" si="58"/>
        <v>269419913.84841025</v>
      </c>
      <c r="P73" s="309">
        <f t="shared" si="58"/>
        <v>277502511.26386255</v>
      </c>
      <c r="Q73" s="309">
        <f t="shared" si="59"/>
        <v>3204949469.059279</v>
      </c>
      <c r="S73" s="252"/>
      <c r="T73" s="252"/>
      <c r="U73" s="252"/>
      <c r="V73" s="252"/>
      <c r="AE73" s="17"/>
      <c r="AF73" s="294"/>
      <c r="AG73" s="294"/>
      <c r="AH73" s="30"/>
      <c r="AI73" s="30"/>
      <c r="AJ73" s="30"/>
      <c r="AK73" s="30"/>
      <c r="AL73" s="30"/>
      <c r="AM73" s="30"/>
      <c r="AN73" s="30"/>
      <c r="AO73" s="30"/>
      <c r="AP73" s="30"/>
    </row>
    <row r="74" spans="1:42" ht="30">
      <c r="A74" s="263" t="s">
        <v>520</v>
      </c>
      <c r="B74" s="275" t="s">
        <v>519</v>
      </c>
      <c r="C74" s="302">
        <v>76827900</v>
      </c>
      <c r="D74" s="310"/>
      <c r="E74" s="302"/>
      <c r="F74" s="248">
        <f>+E74*(1+$AK$10)</f>
        <v>0</v>
      </c>
      <c r="G74" s="248">
        <f t="shared" si="52"/>
        <v>0</v>
      </c>
      <c r="H74" s="248">
        <f t="shared" si="53"/>
        <v>0</v>
      </c>
      <c r="I74" s="248">
        <f t="shared" si="54"/>
        <v>0</v>
      </c>
      <c r="J74" s="248">
        <f t="shared" si="55"/>
        <v>0</v>
      </c>
      <c r="K74" s="248">
        <f t="shared" si="56"/>
        <v>0</v>
      </c>
      <c r="L74" s="248">
        <f t="shared" si="57"/>
        <v>0</v>
      </c>
      <c r="M74" s="248">
        <f>+L74*(1+$AR$10)</f>
        <v>0</v>
      </c>
      <c r="N74" s="309">
        <f t="shared" si="58"/>
        <v>0</v>
      </c>
      <c r="O74" s="309">
        <f t="shared" si="58"/>
        <v>0</v>
      </c>
      <c r="P74" s="309">
        <f>+M74*(1+$AR$10)</f>
        <v>0</v>
      </c>
      <c r="Q74" s="309">
        <f t="shared" si="59"/>
        <v>76827900</v>
      </c>
      <c r="S74" s="252"/>
      <c r="T74" s="252"/>
      <c r="U74" s="252"/>
      <c r="V74" s="252"/>
      <c r="AE74" s="17"/>
      <c r="AF74" s="294"/>
      <c r="AG74" s="294"/>
      <c r="AH74" s="30"/>
      <c r="AI74" s="30"/>
      <c r="AJ74" s="30"/>
      <c r="AK74" s="30"/>
      <c r="AL74" s="30"/>
      <c r="AM74" s="30"/>
      <c r="AN74" s="30"/>
      <c r="AO74" s="30"/>
      <c r="AP74" s="30"/>
    </row>
    <row r="75" spans="1:42" ht="30">
      <c r="A75" s="262" t="s">
        <v>522</v>
      </c>
      <c r="B75" s="260" t="s">
        <v>521</v>
      </c>
      <c r="C75" s="301">
        <f>+C76</f>
        <v>1000000</v>
      </c>
      <c r="D75" s="301">
        <f aca="true" t="shared" si="60" ref="D75:P75">+D76</f>
        <v>1030000</v>
      </c>
      <c r="E75" s="301">
        <f t="shared" si="60"/>
        <v>1060900</v>
      </c>
      <c r="F75" s="301">
        <f>SUM(F76:F78)</f>
        <v>15500000</v>
      </c>
      <c r="G75" s="301">
        <f t="shared" si="60"/>
        <v>7725000</v>
      </c>
      <c r="H75" s="301">
        <f t="shared" si="60"/>
        <v>7956750</v>
      </c>
      <c r="I75" s="301">
        <f t="shared" si="60"/>
        <v>8195452.5</v>
      </c>
      <c r="J75" s="301">
        <f t="shared" si="60"/>
        <v>8441316.075000001</v>
      </c>
      <c r="K75" s="301">
        <f t="shared" si="60"/>
        <v>8694555.55725</v>
      </c>
      <c r="L75" s="301">
        <f t="shared" si="60"/>
        <v>8955392.2239675</v>
      </c>
      <c r="M75" s="301">
        <f t="shared" si="60"/>
        <v>9224053.990686525</v>
      </c>
      <c r="N75" s="301">
        <f t="shared" si="60"/>
        <v>9500775.610407121</v>
      </c>
      <c r="O75" s="301">
        <f t="shared" si="60"/>
        <v>9785798.878719335</v>
      </c>
      <c r="P75" s="301">
        <f t="shared" si="60"/>
        <v>10079372.845080916</v>
      </c>
      <c r="Q75" s="247">
        <f>SUM(C75:P75)</f>
        <v>107149367.6811114</v>
      </c>
      <c r="S75" s="252"/>
      <c r="T75" s="252"/>
      <c r="U75" s="252"/>
      <c r="V75" s="252"/>
      <c r="AE75" s="17"/>
      <c r="AF75" s="294"/>
      <c r="AG75" s="294"/>
      <c r="AH75" s="30"/>
      <c r="AI75" s="30"/>
      <c r="AJ75" s="30"/>
      <c r="AK75" s="30"/>
      <c r="AL75" s="30"/>
      <c r="AM75" s="30"/>
      <c r="AN75" s="30"/>
      <c r="AO75" s="30"/>
      <c r="AP75" s="30"/>
    </row>
    <row r="76" spans="1:42" ht="15">
      <c r="A76" s="263" t="s">
        <v>524</v>
      </c>
      <c r="B76" s="275" t="s">
        <v>523</v>
      </c>
      <c r="C76" s="302">
        <v>1000000</v>
      </c>
      <c r="D76" s="312">
        <f>+C76*(1+$AI$10)</f>
        <v>1030000</v>
      </c>
      <c r="E76" s="359">
        <v>1060900</v>
      </c>
      <c r="F76" s="248">
        <f>+'INGRESOS 2014'!H75</f>
        <v>7500000</v>
      </c>
      <c r="G76" s="248">
        <f aca="true" t="shared" si="61" ref="G76:M76">+F76*(1+$AI$10)</f>
        <v>7725000</v>
      </c>
      <c r="H76" s="248">
        <f t="shared" si="61"/>
        <v>7956750</v>
      </c>
      <c r="I76" s="248">
        <f t="shared" si="61"/>
        <v>8195452.5</v>
      </c>
      <c r="J76" s="248">
        <f t="shared" si="61"/>
        <v>8441316.075000001</v>
      </c>
      <c r="K76" s="248">
        <f t="shared" si="61"/>
        <v>8694555.55725</v>
      </c>
      <c r="L76" s="248">
        <f t="shared" si="61"/>
        <v>8955392.2239675</v>
      </c>
      <c r="M76" s="248">
        <f t="shared" si="61"/>
        <v>9224053.990686525</v>
      </c>
      <c r="N76" s="309">
        <f aca="true" t="shared" si="62" ref="N76:P80">+M76*(1+$AR$10)</f>
        <v>9500775.610407121</v>
      </c>
      <c r="O76" s="309">
        <f t="shared" si="62"/>
        <v>9785798.878719335</v>
      </c>
      <c r="P76" s="309">
        <f t="shared" si="62"/>
        <v>10079372.845080916</v>
      </c>
      <c r="Q76" s="309">
        <f>SUM(C76:P76)</f>
        <v>99149367.6811114</v>
      </c>
      <c r="S76" s="252"/>
      <c r="T76" s="252"/>
      <c r="U76" s="252"/>
      <c r="V76" s="252"/>
      <c r="AE76" s="17"/>
      <c r="AF76" s="294"/>
      <c r="AG76" s="294"/>
      <c r="AH76" s="30"/>
      <c r="AI76" s="30"/>
      <c r="AJ76" s="30"/>
      <c r="AK76" s="30"/>
      <c r="AL76" s="30"/>
      <c r="AM76" s="30"/>
      <c r="AN76" s="30"/>
      <c r="AO76" s="30"/>
      <c r="AP76" s="30"/>
    </row>
    <row r="77" spans="1:42" ht="30">
      <c r="A77" s="263"/>
      <c r="B77" s="275" t="s">
        <v>1636</v>
      </c>
      <c r="C77" s="302"/>
      <c r="D77" s="312"/>
      <c r="E77" s="359"/>
      <c r="F77" s="321">
        <f>+'INGRESOS 2014'!H76</f>
        <v>2000000</v>
      </c>
      <c r="G77" s="321"/>
      <c r="H77" s="321"/>
      <c r="I77" s="321"/>
      <c r="J77" s="321"/>
      <c r="K77" s="321"/>
      <c r="L77" s="321"/>
      <c r="M77" s="321"/>
      <c r="N77" s="321"/>
      <c r="O77" s="321"/>
      <c r="P77" s="321"/>
      <c r="Q77" s="321"/>
      <c r="R77" s="349"/>
      <c r="S77" s="252"/>
      <c r="T77" s="252"/>
      <c r="U77" s="252"/>
      <c r="V77" s="252"/>
      <c r="AE77" s="17"/>
      <c r="AF77" s="294"/>
      <c r="AG77" s="294"/>
      <c r="AH77" s="30"/>
      <c r="AI77" s="30"/>
      <c r="AJ77" s="30"/>
      <c r="AK77" s="30"/>
      <c r="AL77" s="30"/>
      <c r="AM77" s="30"/>
      <c r="AN77" s="30"/>
      <c r="AO77" s="30"/>
      <c r="AP77" s="30"/>
    </row>
    <row r="78" spans="1:42" ht="15">
      <c r="A78" s="263"/>
      <c r="B78" s="275" t="s">
        <v>1634</v>
      </c>
      <c r="C78" s="302"/>
      <c r="D78" s="312"/>
      <c r="E78" s="359"/>
      <c r="F78" s="321">
        <f>+'INGRESOS 2014'!H77</f>
        <v>6000000</v>
      </c>
      <c r="G78" s="321"/>
      <c r="H78" s="321"/>
      <c r="I78" s="321"/>
      <c r="J78" s="321"/>
      <c r="K78" s="321"/>
      <c r="L78" s="321"/>
      <c r="M78" s="321"/>
      <c r="N78" s="321"/>
      <c r="O78" s="321"/>
      <c r="P78" s="321"/>
      <c r="Q78" s="321"/>
      <c r="R78" s="349"/>
      <c r="S78" s="252"/>
      <c r="T78" s="252"/>
      <c r="U78" s="252"/>
      <c r="V78" s="252"/>
      <c r="AE78" s="17"/>
      <c r="AF78" s="294"/>
      <c r="AG78" s="294"/>
      <c r="AH78" s="30"/>
      <c r="AI78" s="30"/>
      <c r="AJ78" s="30"/>
      <c r="AK78" s="30"/>
      <c r="AL78" s="30"/>
      <c r="AM78" s="30"/>
      <c r="AN78" s="30"/>
      <c r="AO78" s="30"/>
      <c r="AP78" s="30"/>
    </row>
    <row r="79" spans="1:42" ht="30">
      <c r="A79" s="263" t="s">
        <v>40</v>
      </c>
      <c r="B79" s="276" t="s">
        <v>39</v>
      </c>
      <c r="C79" s="302">
        <v>20000000</v>
      </c>
      <c r="D79" s="312">
        <f>+C79*(1+$AI$10)+2000000</f>
        <v>22600000</v>
      </c>
      <c r="E79" s="359">
        <v>23278000</v>
      </c>
      <c r="F79" s="248">
        <f>+'INGRESOS 2014'!H78</f>
        <v>34800000</v>
      </c>
      <c r="G79" s="248">
        <f t="shared" si="52"/>
        <v>35844000</v>
      </c>
      <c r="H79" s="248">
        <f t="shared" si="53"/>
        <v>36919320</v>
      </c>
      <c r="I79" s="248">
        <f t="shared" si="54"/>
        <v>38026899.6</v>
      </c>
      <c r="J79" s="248">
        <f t="shared" si="55"/>
        <v>39167706.588</v>
      </c>
      <c r="K79" s="248">
        <f t="shared" si="56"/>
        <v>40342737.78564</v>
      </c>
      <c r="L79" s="248">
        <f t="shared" si="57"/>
        <v>41553019.919209205</v>
      </c>
      <c r="M79" s="248">
        <f>+L79*(1+$AR$10)</f>
        <v>42799610.51678548</v>
      </c>
      <c r="N79" s="309">
        <f t="shared" si="62"/>
        <v>44083598.83228905</v>
      </c>
      <c r="O79" s="309">
        <f t="shared" si="62"/>
        <v>45406106.79725772</v>
      </c>
      <c r="P79" s="309">
        <f t="shared" si="62"/>
        <v>46768290.001175456</v>
      </c>
      <c r="Q79" s="247">
        <f>SUM(C79:P79)</f>
        <v>511589290.0403569</v>
      </c>
      <c r="R79" s="244">
        <f>+C79</f>
        <v>20000000</v>
      </c>
      <c r="S79" s="252"/>
      <c r="T79" s="252"/>
      <c r="U79" s="252"/>
      <c r="V79" s="252"/>
      <c r="AE79" s="17"/>
      <c r="AF79" s="294"/>
      <c r="AG79" s="294"/>
      <c r="AH79" s="30"/>
      <c r="AI79" s="30"/>
      <c r="AJ79" s="30"/>
      <c r="AK79" s="30"/>
      <c r="AL79" s="30"/>
      <c r="AM79" s="30"/>
      <c r="AN79" s="30"/>
      <c r="AO79" s="30"/>
      <c r="AP79" s="30"/>
    </row>
    <row r="80" spans="1:42" ht="30">
      <c r="A80" s="263" t="s">
        <v>38</v>
      </c>
      <c r="B80" s="275" t="s">
        <v>37</v>
      </c>
      <c r="C80" s="302">
        <v>180000000</v>
      </c>
      <c r="D80" s="312">
        <f>+C80*(1+$AI$10)+65000000</f>
        <v>250400000</v>
      </c>
      <c r="E80" s="359">
        <v>257912000</v>
      </c>
      <c r="F80" s="248">
        <f>+'INGRESOS 2014'!H79</f>
        <v>313200000</v>
      </c>
      <c r="G80" s="248">
        <f t="shared" si="52"/>
        <v>322596000</v>
      </c>
      <c r="H80" s="248">
        <f t="shared" si="53"/>
        <v>332273880</v>
      </c>
      <c r="I80" s="248">
        <f t="shared" si="54"/>
        <v>342242096.40000004</v>
      </c>
      <c r="J80" s="248">
        <f t="shared" si="55"/>
        <v>352509359.29200006</v>
      </c>
      <c r="K80" s="248">
        <f t="shared" si="56"/>
        <v>363084640.0707601</v>
      </c>
      <c r="L80" s="248">
        <f t="shared" si="57"/>
        <v>373977179.2728829</v>
      </c>
      <c r="M80" s="248">
        <f>+L80*(1+$AR$10)</f>
        <v>385196494.6510694</v>
      </c>
      <c r="N80" s="309">
        <f t="shared" si="62"/>
        <v>396752389.4906015</v>
      </c>
      <c r="O80" s="309">
        <f t="shared" si="62"/>
        <v>408654961.17531955</v>
      </c>
      <c r="P80" s="309">
        <f t="shared" si="62"/>
        <v>420914610.01057917</v>
      </c>
      <c r="Q80" s="247">
        <f>SUM(C80:P80)</f>
        <v>4699713610.363214</v>
      </c>
      <c r="S80" s="252"/>
      <c r="T80" s="252"/>
      <c r="U80" s="252"/>
      <c r="V80" s="252"/>
      <c r="AE80" s="17"/>
      <c r="AF80" s="294"/>
      <c r="AG80" s="294"/>
      <c r="AH80" s="30"/>
      <c r="AI80" s="30"/>
      <c r="AJ80" s="30"/>
      <c r="AK80" s="30"/>
      <c r="AL80" s="30"/>
      <c r="AM80" s="30"/>
      <c r="AN80" s="30"/>
      <c r="AO80" s="30"/>
      <c r="AP80" s="30"/>
    </row>
    <row r="81" spans="1:42" ht="30">
      <c r="A81" s="262" t="s">
        <v>36</v>
      </c>
      <c r="B81" s="260" t="s">
        <v>35</v>
      </c>
      <c r="C81" s="301">
        <f>+C82+C84+C95</f>
        <v>40457886088</v>
      </c>
      <c r="D81" s="313">
        <f>+D82+D84</f>
        <v>764191394</v>
      </c>
      <c r="E81" s="301">
        <f>+E82+E84</f>
        <v>1728873203.6</v>
      </c>
      <c r="F81" s="247">
        <f aca="true" t="shared" si="63" ref="F81:K81">+F82+F84</f>
        <v>150000000</v>
      </c>
      <c r="G81" s="247">
        <f t="shared" si="63"/>
        <v>154500000</v>
      </c>
      <c r="H81" s="247">
        <f t="shared" si="63"/>
        <v>159135000</v>
      </c>
      <c r="I81" s="247">
        <f t="shared" si="63"/>
        <v>163909050</v>
      </c>
      <c r="J81" s="247">
        <f t="shared" si="63"/>
        <v>168826321.5</v>
      </c>
      <c r="K81" s="247">
        <f t="shared" si="63"/>
        <v>173891111.145</v>
      </c>
      <c r="L81" s="247">
        <f>+L82+L84</f>
        <v>179107844.47935003</v>
      </c>
      <c r="M81" s="247">
        <f>+M82+M84</f>
        <v>184481079.81373054</v>
      </c>
      <c r="N81" s="247">
        <f>+N82+N84</f>
        <v>190015512.20814246</v>
      </c>
      <c r="O81" s="247">
        <f>+O82+O84</f>
        <v>195715977.57438675</v>
      </c>
      <c r="P81" s="247">
        <f>+P82+P84</f>
        <v>201587456.90161836</v>
      </c>
      <c r="Q81" s="301" t="e">
        <f>+Q82+Q84+Q95</f>
        <v>#REF!</v>
      </c>
      <c r="S81" s="252"/>
      <c r="T81" s="252"/>
      <c r="U81" s="252"/>
      <c r="V81" s="252"/>
      <c r="AE81" s="17"/>
      <c r="AF81" s="294"/>
      <c r="AG81" s="294"/>
      <c r="AH81" s="30"/>
      <c r="AI81" s="30"/>
      <c r="AJ81" s="30"/>
      <c r="AK81" s="30"/>
      <c r="AL81" s="30"/>
      <c r="AM81" s="30"/>
      <c r="AN81" s="30"/>
      <c r="AO81" s="30"/>
      <c r="AP81" s="30"/>
    </row>
    <row r="82" spans="1:42" ht="15">
      <c r="A82" s="263" t="s">
        <v>34</v>
      </c>
      <c r="B82" s="305" t="s">
        <v>597</v>
      </c>
      <c r="C82" s="302">
        <v>10000000</v>
      </c>
      <c r="D82" s="312">
        <f>+C82*(1+$AI$10)</f>
        <v>10300000</v>
      </c>
      <c r="E82" s="302">
        <f>+E83</f>
        <v>28397469</v>
      </c>
      <c r="F82" s="248">
        <f>+'INGRESOS 2014'!H81</f>
        <v>150000000</v>
      </c>
      <c r="G82" s="248">
        <f>+F82*(1+$AL$10)</f>
        <v>154500000</v>
      </c>
      <c r="H82" s="248">
        <f>+G82*(1+$AM$10)</f>
        <v>159135000</v>
      </c>
      <c r="I82" s="248">
        <f>+H82*(1+$AN$10)</f>
        <v>163909050</v>
      </c>
      <c r="J82" s="248">
        <f>+I82*(1+$AO$10)</f>
        <v>168826321.5</v>
      </c>
      <c r="K82" s="248">
        <f>+J82*(1+$AP$10)</f>
        <v>173891111.145</v>
      </c>
      <c r="L82" s="248">
        <f>+K82*(1+$AQ$10)</f>
        <v>179107844.47935003</v>
      </c>
      <c r="M82" s="248">
        <f>+L82*(1+$AR$10)</f>
        <v>184481079.81373054</v>
      </c>
      <c r="N82" s="309">
        <f>+M82*(1+$AR$10)</f>
        <v>190015512.20814246</v>
      </c>
      <c r="O82" s="309">
        <f>+N82*(1+$AR$10)</f>
        <v>195715977.57438675</v>
      </c>
      <c r="P82" s="309">
        <f>+O82*(1+$AR$10)</f>
        <v>201587456.90161836</v>
      </c>
      <c r="Q82" s="309">
        <f>SUM(C82:P82)</f>
        <v>1969866822.6222281</v>
      </c>
      <c r="S82" s="252"/>
      <c r="T82" s="252"/>
      <c r="U82" s="252"/>
      <c r="V82" s="252"/>
      <c r="AE82" s="17"/>
      <c r="AF82" s="294"/>
      <c r="AG82" s="294"/>
      <c r="AH82" s="30"/>
      <c r="AI82" s="30"/>
      <c r="AJ82" s="30"/>
      <c r="AK82" s="30"/>
      <c r="AL82" s="30"/>
      <c r="AM82" s="30"/>
      <c r="AN82" s="30"/>
      <c r="AO82" s="30"/>
      <c r="AP82" s="30"/>
    </row>
    <row r="83" spans="1:42" ht="15">
      <c r="A83" s="263"/>
      <c r="B83" s="275" t="s">
        <v>511</v>
      </c>
      <c r="C83" s="302"/>
      <c r="D83" s="310"/>
      <c r="E83" s="359">
        <f>7788469+'[4]InfEjecucionIngresosContraloria'!$F$106</f>
        <v>28397469</v>
      </c>
      <c r="F83" s="248"/>
      <c r="G83" s="248"/>
      <c r="H83" s="248"/>
      <c r="I83" s="248"/>
      <c r="J83" s="248"/>
      <c r="K83" s="248"/>
      <c r="L83" s="248"/>
      <c r="M83" s="248"/>
      <c r="N83" s="309"/>
      <c r="O83" s="309"/>
      <c r="P83" s="248"/>
      <c r="Q83" s="309">
        <f>SUM(C83:P83)</f>
        <v>28397469</v>
      </c>
      <c r="S83" s="252"/>
      <c r="T83" s="252"/>
      <c r="U83" s="252"/>
      <c r="V83" s="252"/>
      <c r="AE83" s="17"/>
      <c r="AF83" s="294"/>
      <c r="AG83" s="294"/>
      <c r="AH83" s="30"/>
      <c r="AI83" s="30"/>
      <c r="AJ83" s="30"/>
      <c r="AK83" s="30"/>
      <c r="AL83" s="30"/>
      <c r="AM83" s="30"/>
      <c r="AN83" s="30"/>
      <c r="AO83" s="30"/>
      <c r="AP83" s="30"/>
    </row>
    <row r="84" spans="1:42" ht="30">
      <c r="A84" s="262" t="s">
        <v>33</v>
      </c>
      <c r="B84" s="304" t="s">
        <v>32</v>
      </c>
      <c r="C84" s="301">
        <f>SUM(C85:C94)</f>
        <v>428400000</v>
      </c>
      <c r="D84" s="313">
        <f>SUM(D85:D94)</f>
        <v>753891394</v>
      </c>
      <c r="E84" s="301">
        <f>SUM(E85:E93)</f>
        <v>1700475734.6</v>
      </c>
      <c r="F84" s="247">
        <f aca="true" t="shared" si="64" ref="F84:P84">SUM(F85:F93)</f>
        <v>0</v>
      </c>
      <c r="G84" s="247">
        <f t="shared" si="64"/>
        <v>0</v>
      </c>
      <c r="H84" s="247">
        <f t="shared" si="64"/>
        <v>0</v>
      </c>
      <c r="I84" s="247">
        <f t="shared" si="64"/>
        <v>0</v>
      </c>
      <c r="J84" s="247">
        <f t="shared" si="64"/>
        <v>0</v>
      </c>
      <c r="K84" s="247">
        <f t="shared" si="64"/>
        <v>0</v>
      </c>
      <c r="L84" s="247">
        <f t="shared" si="64"/>
        <v>0</v>
      </c>
      <c r="M84" s="247">
        <f t="shared" si="64"/>
        <v>0</v>
      </c>
      <c r="N84" s="247">
        <f t="shared" si="64"/>
        <v>0</v>
      </c>
      <c r="O84" s="247">
        <f t="shared" si="64"/>
        <v>0</v>
      </c>
      <c r="P84" s="247">
        <f t="shared" si="64"/>
        <v>0</v>
      </c>
      <c r="Q84" s="247">
        <f>SUM(Q85:Q94)</f>
        <v>2882767128.6</v>
      </c>
      <c r="S84" s="252"/>
      <c r="T84" s="252"/>
      <c r="U84" s="252"/>
      <c r="V84" s="252"/>
      <c r="AE84" s="17"/>
      <c r="AF84" s="294"/>
      <c r="AG84" s="294"/>
      <c r="AH84" s="30"/>
      <c r="AI84" s="30"/>
      <c r="AJ84" s="30"/>
      <c r="AK84" s="30"/>
      <c r="AL84" s="30"/>
      <c r="AM84" s="30"/>
      <c r="AN84" s="30"/>
      <c r="AO84" s="30"/>
      <c r="AP84" s="30"/>
    </row>
    <row r="85" spans="1:42" ht="30">
      <c r="A85" s="263" t="s">
        <v>31</v>
      </c>
      <c r="B85" s="275" t="s">
        <v>30</v>
      </c>
      <c r="C85" s="302">
        <v>150000000</v>
      </c>
      <c r="D85" s="312">
        <v>528355183</v>
      </c>
      <c r="E85" s="359">
        <v>1398083383</v>
      </c>
      <c r="F85" s="248">
        <f>+'INGRESOS 2014'!H84</f>
        <v>0</v>
      </c>
      <c r="G85" s="248">
        <f aca="true" t="shared" si="65" ref="G85:G93">+F85*(1+$AL$10)</f>
        <v>0</v>
      </c>
      <c r="H85" s="248">
        <f aca="true" t="shared" si="66" ref="H85:H93">+G85*(1+$AM$10)</f>
        <v>0</v>
      </c>
      <c r="I85" s="248">
        <f aca="true" t="shared" si="67" ref="I85:I93">+H85*(1+$AN$10)</f>
        <v>0</v>
      </c>
      <c r="J85" s="248">
        <f aca="true" t="shared" si="68" ref="J85:J93">+I85*(1+$AO$10)</f>
        <v>0</v>
      </c>
      <c r="K85" s="248">
        <f aca="true" t="shared" si="69" ref="K85:K93">+J85*(1+$AP$10)</f>
        <v>0</v>
      </c>
      <c r="L85" s="248">
        <f aca="true" t="shared" si="70" ref="L85:L93">+K85*(1+$AQ$10)</f>
        <v>0</v>
      </c>
      <c r="M85" s="248">
        <f aca="true" t="shared" si="71" ref="M85:P93">+L85*(1+$AR$10)</f>
        <v>0</v>
      </c>
      <c r="N85" s="309">
        <f t="shared" si="71"/>
        <v>0</v>
      </c>
      <c r="O85" s="309">
        <f t="shared" si="71"/>
        <v>0</v>
      </c>
      <c r="P85" s="309">
        <f t="shared" si="71"/>
        <v>0</v>
      </c>
      <c r="Q85" s="309">
        <f aca="true" t="shared" si="72" ref="Q85:Q94">SUM(C85:P85)</f>
        <v>2076438566</v>
      </c>
      <c r="S85" s="252"/>
      <c r="T85" s="252"/>
      <c r="U85" s="252"/>
      <c r="V85" s="252"/>
      <c r="AE85" s="17"/>
      <c r="AF85" s="294"/>
      <c r="AG85" s="294"/>
      <c r="AH85" s="30"/>
      <c r="AI85" s="30"/>
      <c r="AJ85" s="30"/>
      <c r="AK85" s="30"/>
      <c r="AL85" s="30"/>
      <c r="AM85" s="30"/>
      <c r="AN85" s="30"/>
      <c r="AO85" s="30"/>
      <c r="AP85" s="30"/>
    </row>
    <row r="86" spans="1:42" ht="15">
      <c r="A86" s="263" t="s">
        <v>29</v>
      </c>
      <c r="B86" s="275" t="s">
        <v>28</v>
      </c>
      <c r="C86" s="302">
        <v>60000000</v>
      </c>
      <c r="D86" s="312">
        <f>+C86*(1+$AI$10)</f>
        <v>61800000</v>
      </c>
      <c r="E86" s="359">
        <v>5000000</v>
      </c>
      <c r="F86" s="248">
        <f>+'INGRESOS 2014'!H85</f>
        <v>0</v>
      </c>
      <c r="G86" s="248">
        <f t="shared" si="65"/>
        <v>0</v>
      </c>
      <c r="H86" s="248">
        <f t="shared" si="66"/>
        <v>0</v>
      </c>
      <c r="I86" s="248">
        <f t="shared" si="67"/>
        <v>0</v>
      </c>
      <c r="J86" s="248">
        <f t="shared" si="68"/>
        <v>0</v>
      </c>
      <c r="K86" s="248">
        <f t="shared" si="69"/>
        <v>0</v>
      </c>
      <c r="L86" s="248">
        <f t="shared" si="70"/>
        <v>0</v>
      </c>
      <c r="M86" s="248">
        <f t="shared" si="71"/>
        <v>0</v>
      </c>
      <c r="N86" s="309">
        <f t="shared" si="71"/>
        <v>0</v>
      </c>
      <c r="O86" s="309">
        <f t="shared" si="71"/>
        <v>0</v>
      </c>
      <c r="P86" s="309">
        <f t="shared" si="71"/>
        <v>0</v>
      </c>
      <c r="Q86" s="309">
        <f t="shared" si="72"/>
        <v>126800000</v>
      </c>
      <c r="S86" s="252"/>
      <c r="T86" s="252"/>
      <c r="U86" s="252"/>
      <c r="V86" s="252"/>
      <c r="AE86" s="17"/>
      <c r="AF86" s="294"/>
      <c r="AG86" s="294"/>
      <c r="AH86" s="30"/>
      <c r="AI86" s="30"/>
      <c r="AJ86" s="30"/>
      <c r="AK86" s="30"/>
      <c r="AL86" s="30"/>
      <c r="AM86" s="30"/>
      <c r="AN86" s="30"/>
      <c r="AO86" s="30"/>
      <c r="AP86" s="30"/>
    </row>
    <row r="87" spans="1:42" ht="15">
      <c r="A87" s="263" t="s">
        <v>27</v>
      </c>
      <c r="B87" s="275" t="s">
        <v>6</v>
      </c>
      <c r="C87" s="302">
        <v>2500000</v>
      </c>
      <c r="D87" s="312">
        <f>+C87*(1+$AI$10)-1500000</f>
        <v>1075000</v>
      </c>
      <c r="E87" s="359">
        <v>500000</v>
      </c>
      <c r="F87" s="248">
        <f>+'INGRESOS 2014'!H86</f>
        <v>0</v>
      </c>
      <c r="G87" s="248">
        <f t="shared" si="65"/>
        <v>0</v>
      </c>
      <c r="H87" s="248">
        <f t="shared" si="66"/>
        <v>0</v>
      </c>
      <c r="I87" s="248">
        <f t="shared" si="67"/>
        <v>0</v>
      </c>
      <c r="J87" s="248">
        <f t="shared" si="68"/>
        <v>0</v>
      </c>
      <c r="K87" s="248">
        <f t="shared" si="69"/>
        <v>0</v>
      </c>
      <c r="L87" s="248">
        <f t="shared" si="70"/>
        <v>0</v>
      </c>
      <c r="M87" s="248">
        <f t="shared" si="71"/>
        <v>0</v>
      </c>
      <c r="N87" s="309">
        <f t="shared" si="71"/>
        <v>0</v>
      </c>
      <c r="O87" s="309">
        <f t="shared" si="71"/>
        <v>0</v>
      </c>
      <c r="P87" s="309">
        <f t="shared" si="71"/>
        <v>0</v>
      </c>
      <c r="Q87" s="309">
        <f t="shared" si="72"/>
        <v>4075000</v>
      </c>
      <c r="S87" s="252"/>
      <c r="T87" s="252"/>
      <c r="U87" s="252"/>
      <c r="V87" s="252"/>
      <c r="AE87" s="17"/>
      <c r="AF87" s="294"/>
      <c r="AG87" s="294"/>
      <c r="AH87" s="30"/>
      <c r="AI87" s="30"/>
      <c r="AJ87" s="30"/>
      <c r="AK87" s="30"/>
      <c r="AL87" s="30"/>
      <c r="AM87" s="30"/>
      <c r="AN87" s="30"/>
      <c r="AO87" s="30"/>
      <c r="AP87" s="30"/>
    </row>
    <row r="88" spans="1:42" ht="15">
      <c r="A88" s="263" t="s">
        <v>26</v>
      </c>
      <c r="B88" s="275" t="s">
        <v>25</v>
      </c>
      <c r="C88" s="302">
        <v>500000</v>
      </c>
      <c r="D88" s="312">
        <f>+C88*(1+$AI$10)</f>
        <v>515000</v>
      </c>
      <c r="E88" s="359">
        <v>530450</v>
      </c>
      <c r="F88" s="248">
        <f>+'INGRESOS 2014'!H87</f>
        <v>0</v>
      </c>
      <c r="G88" s="248">
        <f t="shared" si="65"/>
        <v>0</v>
      </c>
      <c r="H88" s="248">
        <f t="shared" si="66"/>
        <v>0</v>
      </c>
      <c r="I88" s="248">
        <f t="shared" si="67"/>
        <v>0</v>
      </c>
      <c r="J88" s="248">
        <f t="shared" si="68"/>
        <v>0</v>
      </c>
      <c r="K88" s="248">
        <f t="shared" si="69"/>
        <v>0</v>
      </c>
      <c r="L88" s="248">
        <f t="shared" si="70"/>
        <v>0</v>
      </c>
      <c r="M88" s="248">
        <f t="shared" si="71"/>
        <v>0</v>
      </c>
      <c r="N88" s="309">
        <f t="shared" si="71"/>
        <v>0</v>
      </c>
      <c r="O88" s="309">
        <f t="shared" si="71"/>
        <v>0</v>
      </c>
      <c r="P88" s="309">
        <f t="shared" si="71"/>
        <v>0</v>
      </c>
      <c r="Q88" s="309">
        <f t="shared" si="72"/>
        <v>1545450</v>
      </c>
      <c r="S88" s="252"/>
      <c r="T88" s="252"/>
      <c r="U88" s="252"/>
      <c r="V88" s="252"/>
      <c r="AE88" s="17"/>
      <c r="AF88" s="294"/>
      <c r="AG88" s="294"/>
      <c r="AH88" s="30"/>
      <c r="AI88" s="30"/>
      <c r="AJ88" s="30"/>
      <c r="AK88" s="30"/>
      <c r="AL88" s="30"/>
      <c r="AM88" s="30"/>
      <c r="AN88" s="30"/>
      <c r="AO88" s="30"/>
      <c r="AP88" s="30"/>
    </row>
    <row r="89" spans="1:42" ht="15">
      <c r="A89" s="263" t="s">
        <v>24</v>
      </c>
      <c r="B89" s="275" t="s">
        <v>23</v>
      </c>
      <c r="C89" s="302">
        <v>3000000</v>
      </c>
      <c r="D89" s="312">
        <f>+C89*(1+$AI$10)</f>
        <v>3090000</v>
      </c>
      <c r="E89" s="359">
        <v>3182700</v>
      </c>
      <c r="F89" s="248">
        <f>+'INGRESOS 2014'!H88</f>
        <v>0</v>
      </c>
      <c r="G89" s="248">
        <f t="shared" si="65"/>
        <v>0</v>
      </c>
      <c r="H89" s="248">
        <f t="shared" si="66"/>
        <v>0</v>
      </c>
      <c r="I89" s="248">
        <f t="shared" si="67"/>
        <v>0</v>
      </c>
      <c r="J89" s="248">
        <f t="shared" si="68"/>
        <v>0</v>
      </c>
      <c r="K89" s="248">
        <f t="shared" si="69"/>
        <v>0</v>
      </c>
      <c r="L89" s="248">
        <f t="shared" si="70"/>
        <v>0</v>
      </c>
      <c r="M89" s="248">
        <f t="shared" si="71"/>
        <v>0</v>
      </c>
      <c r="N89" s="309">
        <f t="shared" si="71"/>
        <v>0</v>
      </c>
      <c r="O89" s="309">
        <f t="shared" si="71"/>
        <v>0</v>
      </c>
      <c r="P89" s="309">
        <f t="shared" si="71"/>
        <v>0</v>
      </c>
      <c r="Q89" s="309">
        <f t="shared" si="72"/>
        <v>9272700</v>
      </c>
      <c r="S89" s="252"/>
      <c r="T89" s="252"/>
      <c r="U89" s="252"/>
      <c r="V89" s="252"/>
      <c r="AE89" s="17"/>
      <c r="AF89" s="294"/>
      <c r="AG89" s="294"/>
      <c r="AH89" s="30"/>
      <c r="AI89" s="30"/>
      <c r="AJ89" s="30"/>
      <c r="AK89" s="30"/>
      <c r="AL89" s="30"/>
      <c r="AM89" s="30"/>
      <c r="AN89" s="30"/>
      <c r="AO89" s="30"/>
      <c r="AP89" s="30"/>
    </row>
    <row r="90" spans="1:42" ht="15">
      <c r="A90" s="263" t="s">
        <v>22</v>
      </c>
      <c r="B90" s="275" t="s">
        <v>21</v>
      </c>
      <c r="C90" s="302">
        <v>5000000</v>
      </c>
      <c r="D90" s="312">
        <f>+C90*(1+$AI$10)</f>
        <v>5150000</v>
      </c>
      <c r="E90" s="359">
        <v>5304500</v>
      </c>
      <c r="F90" s="248">
        <f>+'INGRESOS 2014'!H89</f>
        <v>0</v>
      </c>
      <c r="G90" s="248">
        <f t="shared" si="65"/>
        <v>0</v>
      </c>
      <c r="H90" s="248">
        <f t="shared" si="66"/>
        <v>0</v>
      </c>
      <c r="I90" s="248">
        <f t="shared" si="67"/>
        <v>0</v>
      </c>
      <c r="J90" s="248">
        <f t="shared" si="68"/>
        <v>0</v>
      </c>
      <c r="K90" s="248">
        <f t="shared" si="69"/>
        <v>0</v>
      </c>
      <c r="L90" s="248">
        <f t="shared" si="70"/>
        <v>0</v>
      </c>
      <c r="M90" s="248">
        <f t="shared" si="71"/>
        <v>0</v>
      </c>
      <c r="N90" s="309">
        <f t="shared" si="71"/>
        <v>0</v>
      </c>
      <c r="O90" s="309">
        <f t="shared" si="71"/>
        <v>0</v>
      </c>
      <c r="P90" s="309">
        <f t="shared" si="71"/>
        <v>0</v>
      </c>
      <c r="Q90" s="309">
        <f t="shared" si="72"/>
        <v>15454500</v>
      </c>
      <c r="S90" s="252"/>
      <c r="T90" s="252"/>
      <c r="U90" s="252"/>
      <c r="V90" s="252"/>
      <c r="AE90" s="17"/>
      <c r="AF90" s="294"/>
      <c r="AG90" s="294"/>
      <c r="AH90" s="30"/>
      <c r="AI90" s="30"/>
      <c r="AJ90" s="30"/>
      <c r="AK90" s="30"/>
      <c r="AL90" s="30"/>
      <c r="AM90" s="30"/>
      <c r="AN90" s="30"/>
      <c r="AO90" s="30"/>
      <c r="AP90" s="30"/>
    </row>
    <row r="91" spans="1:42" ht="15">
      <c r="A91" s="263" t="s">
        <v>20</v>
      </c>
      <c r="B91" s="275" t="s">
        <v>19</v>
      </c>
      <c r="C91" s="302">
        <v>5000000</v>
      </c>
      <c r="D91" s="312">
        <v>500000</v>
      </c>
      <c r="E91" s="359">
        <v>515000</v>
      </c>
      <c r="F91" s="248">
        <f>+'INGRESOS 2014'!H91</f>
        <v>0</v>
      </c>
      <c r="G91" s="248">
        <f t="shared" si="65"/>
        <v>0</v>
      </c>
      <c r="H91" s="248">
        <f t="shared" si="66"/>
        <v>0</v>
      </c>
      <c r="I91" s="248">
        <f t="shared" si="67"/>
        <v>0</v>
      </c>
      <c r="J91" s="248">
        <f t="shared" si="68"/>
        <v>0</v>
      </c>
      <c r="K91" s="248">
        <f t="shared" si="69"/>
        <v>0</v>
      </c>
      <c r="L91" s="248">
        <f t="shared" si="70"/>
        <v>0</v>
      </c>
      <c r="M91" s="248">
        <f t="shared" si="71"/>
        <v>0</v>
      </c>
      <c r="N91" s="309">
        <f t="shared" si="71"/>
        <v>0</v>
      </c>
      <c r="O91" s="309">
        <f t="shared" si="71"/>
        <v>0</v>
      </c>
      <c r="P91" s="309">
        <f t="shared" si="71"/>
        <v>0</v>
      </c>
      <c r="Q91" s="309">
        <f t="shared" si="72"/>
        <v>6015000</v>
      </c>
      <c r="S91" s="252"/>
      <c r="T91" s="252"/>
      <c r="U91" s="252"/>
      <c r="V91" s="252"/>
      <c r="AE91" s="17"/>
      <c r="AF91" s="294"/>
      <c r="AG91" s="294"/>
      <c r="AH91" s="30"/>
      <c r="AI91" s="30"/>
      <c r="AJ91" s="30"/>
      <c r="AK91" s="30"/>
      <c r="AL91" s="30"/>
      <c r="AM91" s="30"/>
      <c r="AN91" s="30"/>
      <c r="AO91" s="30"/>
      <c r="AP91" s="30"/>
    </row>
    <row r="92" spans="1:22" ht="15">
      <c r="A92" s="263" t="s">
        <v>18</v>
      </c>
      <c r="B92" s="275" t="s">
        <v>17</v>
      </c>
      <c r="C92" s="302">
        <v>2000000</v>
      </c>
      <c r="D92" s="310"/>
      <c r="E92" s="302"/>
      <c r="F92" s="248">
        <f>+'INGRESOS 2014'!H92</f>
        <v>0</v>
      </c>
      <c r="G92" s="248">
        <f t="shared" si="65"/>
        <v>0</v>
      </c>
      <c r="H92" s="248">
        <f t="shared" si="66"/>
        <v>0</v>
      </c>
      <c r="I92" s="248">
        <f t="shared" si="67"/>
        <v>0</v>
      </c>
      <c r="J92" s="248">
        <f t="shared" si="68"/>
        <v>0</v>
      </c>
      <c r="K92" s="248">
        <f t="shared" si="69"/>
        <v>0</v>
      </c>
      <c r="L92" s="248">
        <f t="shared" si="70"/>
        <v>0</v>
      </c>
      <c r="M92" s="248">
        <f t="shared" si="71"/>
        <v>0</v>
      </c>
      <c r="N92" s="309">
        <f t="shared" si="71"/>
        <v>0</v>
      </c>
      <c r="O92" s="309">
        <f t="shared" si="71"/>
        <v>0</v>
      </c>
      <c r="P92" s="309">
        <f t="shared" si="71"/>
        <v>0</v>
      </c>
      <c r="Q92" s="309">
        <f t="shared" si="72"/>
        <v>2000000</v>
      </c>
      <c r="S92" s="252"/>
      <c r="T92" s="252"/>
      <c r="U92" s="252"/>
      <c r="V92" s="252"/>
    </row>
    <row r="93" spans="1:17" ht="15">
      <c r="A93" s="263" t="s">
        <v>16</v>
      </c>
      <c r="B93" s="275" t="s">
        <v>15</v>
      </c>
      <c r="C93" s="302">
        <v>200000000</v>
      </c>
      <c r="D93" s="314">
        <f>152801400+104811</f>
        <v>152906211</v>
      </c>
      <c r="E93" s="359">
        <v>287359701.6</v>
      </c>
      <c r="F93" s="248">
        <f>+'INGRESOS 2014'!H94</f>
        <v>0</v>
      </c>
      <c r="G93" s="248">
        <f t="shared" si="65"/>
        <v>0</v>
      </c>
      <c r="H93" s="248">
        <f t="shared" si="66"/>
        <v>0</v>
      </c>
      <c r="I93" s="248">
        <f t="shared" si="67"/>
        <v>0</v>
      </c>
      <c r="J93" s="248">
        <f t="shared" si="68"/>
        <v>0</v>
      </c>
      <c r="K93" s="248">
        <f t="shared" si="69"/>
        <v>0</v>
      </c>
      <c r="L93" s="248">
        <f t="shared" si="70"/>
        <v>0</v>
      </c>
      <c r="M93" s="248">
        <f t="shared" si="71"/>
        <v>0</v>
      </c>
      <c r="N93" s="309">
        <f t="shared" si="71"/>
        <v>0</v>
      </c>
      <c r="O93" s="309">
        <f t="shared" si="71"/>
        <v>0</v>
      </c>
      <c r="P93" s="309">
        <f t="shared" si="71"/>
        <v>0</v>
      </c>
      <c r="Q93" s="309">
        <f t="shared" si="72"/>
        <v>640265912.6</v>
      </c>
    </row>
    <row r="94" spans="1:17" ht="15">
      <c r="A94" s="263"/>
      <c r="B94" s="275" t="s">
        <v>525</v>
      </c>
      <c r="C94" s="302">
        <v>400000</v>
      </c>
      <c r="D94" s="312">
        <v>500000</v>
      </c>
      <c r="E94" s="302"/>
      <c r="F94" s="248">
        <f>+'INGRESOS 2014'!H95</f>
        <v>0</v>
      </c>
      <c r="G94" s="248"/>
      <c r="H94" s="248"/>
      <c r="I94" s="248"/>
      <c r="J94" s="248"/>
      <c r="K94" s="248"/>
      <c r="L94" s="248"/>
      <c r="M94" s="248"/>
      <c r="N94" s="309"/>
      <c r="O94" s="309"/>
      <c r="P94" s="248"/>
      <c r="Q94" s="309">
        <f t="shared" si="72"/>
        <v>900000</v>
      </c>
    </row>
    <row r="95" spans="1:17" ht="15">
      <c r="A95" s="262" t="s">
        <v>526</v>
      </c>
      <c r="B95" s="304" t="s">
        <v>528</v>
      </c>
      <c r="C95" s="301">
        <f>+C96+C100+C111+C115+C121+C123+C124</f>
        <v>40019486088</v>
      </c>
      <c r="D95" s="301">
        <f aca="true" t="shared" si="73" ref="D95:Q95">+D96+D100+D111+D115+D121+D123+D124</f>
        <v>33465865469</v>
      </c>
      <c r="E95" s="301">
        <v>20311937977</v>
      </c>
      <c r="F95" s="301">
        <f t="shared" si="73"/>
        <v>0</v>
      </c>
      <c r="G95" s="301">
        <f t="shared" si="73"/>
        <v>0</v>
      </c>
      <c r="H95" s="301">
        <f t="shared" si="73"/>
        <v>0</v>
      </c>
      <c r="I95" s="301">
        <f t="shared" si="73"/>
        <v>0</v>
      </c>
      <c r="J95" s="301">
        <f t="shared" si="73"/>
        <v>0</v>
      </c>
      <c r="K95" s="301">
        <f t="shared" si="73"/>
        <v>0</v>
      </c>
      <c r="L95" s="301">
        <f t="shared" si="73"/>
        <v>0</v>
      </c>
      <c r="M95" s="301">
        <f t="shared" si="73"/>
        <v>0</v>
      </c>
      <c r="N95" s="301">
        <f>+N96+N100+N111+N115+N121+N123+N124</f>
        <v>0</v>
      </c>
      <c r="O95" s="301">
        <f>+O96+O100+O111+O115+O121+O123+O124</f>
        <v>0</v>
      </c>
      <c r="P95" s="301">
        <f t="shared" si="73"/>
        <v>0</v>
      </c>
      <c r="Q95" s="301" t="e">
        <f t="shared" si="73"/>
        <v>#REF!</v>
      </c>
    </row>
    <row r="96" spans="1:17" ht="45">
      <c r="A96" s="262" t="s">
        <v>529</v>
      </c>
      <c r="B96" s="260" t="s">
        <v>527</v>
      </c>
      <c r="C96" s="301">
        <f>SUM(C97:C99)</f>
        <v>27286414024</v>
      </c>
      <c r="D96" s="301">
        <f aca="true" t="shared" si="74" ref="D96:P96">SUM(D97:D99)</f>
        <v>14193157638</v>
      </c>
      <c r="E96" s="301">
        <f t="shared" si="74"/>
        <v>0</v>
      </c>
      <c r="F96" s="301">
        <f t="shared" si="74"/>
        <v>0</v>
      </c>
      <c r="G96" s="301">
        <f t="shared" si="74"/>
        <v>0</v>
      </c>
      <c r="H96" s="301">
        <f t="shared" si="74"/>
        <v>0</v>
      </c>
      <c r="I96" s="301">
        <f t="shared" si="74"/>
        <v>0</v>
      </c>
      <c r="J96" s="301">
        <f t="shared" si="74"/>
        <v>0</v>
      </c>
      <c r="K96" s="301">
        <f t="shared" si="74"/>
        <v>0</v>
      </c>
      <c r="L96" s="301">
        <f t="shared" si="74"/>
        <v>0</v>
      </c>
      <c r="M96" s="301">
        <f t="shared" si="74"/>
        <v>0</v>
      </c>
      <c r="N96" s="301">
        <f>SUM(N97:N99)</f>
        <v>0</v>
      </c>
      <c r="O96" s="301">
        <f>SUM(O97:O99)</f>
        <v>0</v>
      </c>
      <c r="P96" s="301">
        <f t="shared" si="74"/>
        <v>0</v>
      </c>
      <c r="Q96" s="247" t="e">
        <f>+#REF!+C96+D96+E96+F96+G96+H96+I96+J96+K96+L96+P96</f>
        <v>#REF!</v>
      </c>
    </row>
    <row r="97" spans="1:17" ht="45">
      <c r="A97" s="262" t="s">
        <v>530</v>
      </c>
      <c r="B97" s="275" t="s">
        <v>531</v>
      </c>
      <c r="C97" s="302">
        <v>7659981657</v>
      </c>
      <c r="D97" s="310">
        <v>1587612932</v>
      </c>
      <c r="E97" s="302"/>
      <c r="F97" s="248"/>
      <c r="G97" s="248"/>
      <c r="H97" s="248"/>
      <c r="I97" s="248"/>
      <c r="J97" s="248"/>
      <c r="K97" s="248"/>
      <c r="L97" s="248"/>
      <c r="M97" s="248"/>
      <c r="N97" s="309"/>
      <c r="O97" s="309"/>
      <c r="P97" s="248"/>
      <c r="Q97" s="309">
        <f>SUM(C97:P97)</f>
        <v>9247594589</v>
      </c>
    </row>
    <row r="98" spans="1:22" ht="45">
      <c r="A98" s="262"/>
      <c r="B98" s="275" t="s">
        <v>533</v>
      </c>
      <c r="C98" s="302">
        <v>19626432367</v>
      </c>
      <c r="D98" s="310">
        <v>4633581452</v>
      </c>
      <c r="E98" s="302"/>
      <c r="F98" s="309"/>
      <c r="G98" s="309"/>
      <c r="H98" s="309"/>
      <c r="I98" s="309"/>
      <c r="J98" s="309"/>
      <c r="K98" s="309"/>
      <c r="L98" s="309"/>
      <c r="M98" s="309"/>
      <c r="N98" s="309"/>
      <c r="O98" s="309"/>
      <c r="P98" s="309"/>
      <c r="Q98" s="309">
        <f>SUM(C98:P98)</f>
        <v>24260013819</v>
      </c>
      <c r="R98" s="308"/>
      <c r="S98" s="308"/>
      <c r="T98" s="308"/>
      <c r="U98" s="308"/>
      <c r="V98" s="308"/>
    </row>
    <row r="99" spans="1:17" ht="30">
      <c r="A99" s="262" t="s">
        <v>532</v>
      </c>
      <c r="B99" s="275" t="s">
        <v>600</v>
      </c>
      <c r="C99" s="302"/>
      <c r="D99" s="310">
        <v>7971963254</v>
      </c>
      <c r="E99" s="302"/>
      <c r="F99" s="248"/>
      <c r="G99" s="248"/>
      <c r="H99" s="248"/>
      <c r="I99" s="248"/>
      <c r="J99" s="248"/>
      <c r="K99" s="248"/>
      <c r="L99" s="248"/>
      <c r="M99" s="248"/>
      <c r="N99" s="309"/>
      <c r="O99" s="309"/>
      <c r="P99" s="248"/>
      <c r="Q99" s="309">
        <f>SUM(C99:P99)</f>
        <v>7971963254</v>
      </c>
    </row>
    <row r="100" spans="1:17" ht="30">
      <c r="A100" s="262" t="s">
        <v>534</v>
      </c>
      <c r="B100" s="260" t="s">
        <v>535</v>
      </c>
      <c r="C100" s="301">
        <f>SUM(C101:C110)</f>
        <v>4586292005</v>
      </c>
      <c r="D100" s="301">
        <f aca="true" t="shared" si="75" ref="D100:P100">SUM(D101:D110)</f>
        <v>7206642222</v>
      </c>
      <c r="E100" s="301">
        <f t="shared" si="75"/>
        <v>0</v>
      </c>
      <c r="F100" s="301">
        <f t="shared" si="75"/>
        <v>0</v>
      </c>
      <c r="G100" s="301">
        <f t="shared" si="75"/>
        <v>0</v>
      </c>
      <c r="H100" s="301">
        <f t="shared" si="75"/>
        <v>0</v>
      </c>
      <c r="I100" s="301">
        <f t="shared" si="75"/>
        <v>0</v>
      </c>
      <c r="J100" s="301">
        <f t="shared" si="75"/>
        <v>0</v>
      </c>
      <c r="K100" s="301">
        <f t="shared" si="75"/>
        <v>0</v>
      </c>
      <c r="L100" s="301">
        <f t="shared" si="75"/>
        <v>0</v>
      </c>
      <c r="M100" s="301">
        <f t="shared" si="75"/>
        <v>0</v>
      </c>
      <c r="N100" s="301">
        <f>SUM(N101:N110)</f>
        <v>0</v>
      </c>
      <c r="O100" s="301">
        <f>SUM(O101:O110)</f>
        <v>0</v>
      </c>
      <c r="P100" s="301">
        <f t="shared" si="75"/>
        <v>0</v>
      </c>
      <c r="Q100" s="247" t="e">
        <f>+#REF!+C100+D100+E100+F100+G100+H100+I100+J100+K100+L100+P100</f>
        <v>#REF!</v>
      </c>
    </row>
    <row r="101" spans="1:17" ht="15.75">
      <c r="A101" s="263" t="s">
        <v>536</v>
      </c>
      <c r="B101" s="275" t="s">
        <v>537</v>
      </c>
      <c r="C101" s="302">
        <v>348200446</v>
      </c>
      <c r="D101" s="310">
        <v>819636119</v>
      </c>
      <c r="E101" s="302"/>
      <c r="F101" s="248"/>
      <c r="G101" s="248"/>
      <c r="H101" s="248"/>
      <c r="I101" s="248"/>
      <c r="J101" s="248"/>
      <c r="K101" s="248"/>
      <c r="L101" s="248"/>
      <c r="M101" s="248"/>
      <c r="N101" s="309"/>
      <c r="O101" s="309"/>
      <c r="P101" s="248"/>
      <c r="Q101" s="309">
        <f aca="true" t="shared" si="76" ref="Q101:Q110">SUM(C101:P101)</f>
        <v>1167836565</v>
      </c>
    </row>
    <row r="102" spans="1:17" ht="15.75">
      <c r="A102" s="263" t="s">
        <v>538</v>
      </c>
      <c r="B102" s="275" t="s">
        <v>539</v>
      </c>
      <c r="C102" s="302">
        <v>102074165</v>
      </c>
      <c r="D102" s="310">
        <v>140536531</v>
      </c>
      <c r="E102" s="302"/>
      <c r="F102" s="248"/>
      <c r="G102" s="248"/>
      <c r="H102" s="248"/>
      <c r="I102" s="248"/>
      <c r="J102" s="248"/>
      <c r="K102" s="248"/>
      <c r="L102" s="248"/>
      <c r="M102" s="248"/>
      <c r="N102" s="309"/>
      <c r="O102" s="309"/>
      <c r="P102" s="248"/>
      <c r="Q102" s="309">
        <f t="shared" si="76"/>
        <v>242610696</v>
      </c>
    </row>
    <row r="103" spans="1:17" ht="30">
      <c r="A103" s="263" t="s">
        <v>540</v>
      </c>
      <c r="B103" s="275" t="s">
        <v>541</v>
      </c>
      <c r="C103" s="302">
        <v>731002165</v>
      </c>
      <c r="D103" s="310">
        <v>929292937</v>
      </c>
      <c r="E103" s="302"/>
      <c r="F103" s="248"/>
      <c r="G103" s="248"/>
      <c r="H103" s="248"/>
      <c r="I103" s="248"/>
      <c r="J103" s="248"/>
      <c r="K103" s="248"/>
      <c r="L103" s="248"/>
      <c r="M103" s="248"/>
      <c r="N103" s="309"/>
      <c r="O103" s="309"/>
      <c r="P103" s="248"/>
      <c r="Q103" s="309">
        <f t="shared" si="76"/>
        <v>1660295102</v>
      </c>
    </row>
    <row r="104" spans="1:17" ht="15.75">
      <c r="A104" s="263" t="s">
        <v>542</v>
      </c>
      <c r="B104" s="275" t="s">
        <v>543</v>
      </c>
      <c r="C104" s="302">
        <v>1007664469</v>
      </c>
      <c r="D104" s="310">
        <v>1605108989</v>
      </c>
      <c r="E104" s="302"/>
      <c r="F104" s="248"/>
      <c r="G104" s="248"/>
      <c r="H104" s="248"/>
      <c r="I104" s="248"/>
      <c r="J104" s="248"/>
      <c r="K104" s="248"/>
      <c r="L104" s="248"/>
      <c r="M104" s="248"/>
      <c r="N104" s="309"/>
      <c r="O104" s="309"/>
      <c r="P104" s="248"/>
      <c r="Q104" s="309">
        <f t="shared" si="76"/>
        <v>2612773458</v>
      </c>
    </row>
    <row r="105" spans="1:17" ht="15.75">
      <c r="A105" s="263" t="s">
        <v>544</v>
      </c>
      <c r="B105" s="275" t="s">
        <v>545</v>
      </c>
      <c r="C105" s="302">
        <v>5447748</v>
      </c>
      <c r="D105" s="310">
        <v>23948972</v>
      </c>
      <c r="E105" s="302"/>
      <c r="F105" s="248"/>
      <c r="G105" s="248"/>
      <c r="H105" s="248"/>
      <c r="I105" s="248"/>
      <c r="J105" s="248"/>
      <c r="K105" s="248"/>
      <c r="L105" s="248"/>
      <c r="M105" s="248"/>
      <c r="N105" s="309"/>
      <c r="O105" s="309"/>
      <c r="P105" s="248"/>
      <c r="Q105" s="309">
        <f t="shared" si="76"/>
        <v>29396720</v>
      </c>
    </row>
    <row r="106" spans="1:17" ht="30">
      <c r="A106" s="263" t="s">
        <v>546</v>
      </c>
      <c r="B106" s="275" t="s">
        <v>547</v>
      </c>
      <c r="C106" s="302">
        <v>69017992</v>
      </c>
      <c r="D106" s="310">
        <v>252964054</v>
      </c>
      <c r="E106" s="302"/>
      <c r="F106" s="248"/>
      <c r="G106" s="248"/>
      <c r="H106" s="248"/>
      <c r="I106" s="248"/>
      <c r="J106" s="248"/>
      <c r="K106" s="248"/>
      <c r="L106" s="248"/>
      <c r="M106" s="248"/>
      <c r="N106" s="309"/>
      <c r="O106" s="309"/>
      <c r="P106" s="248"/>
      <c r="Q106" s="309">
        <f t="shared" si="76"/>
        <v>321982046</v>
      </c>
    </row>
    <row r="107" spans="1:17" ht="30">
      <c r="A107" s="263" t="s">
        <v>548</v>
      </c>
      <c r="B107" s="275" t="s">
        <v>549</v>
      </c>
      <c r="C107" s="302">
        <v>2258074308</v>
      </c>
      <c r="D107" s="310">
        <v>3367780022</v>
      </c>
      <c r="E107" s="302"/>
      <c r="F107" s="248"/>
      <c r="G107" s="248"/>
      <c r="H107" s="248"/>
      <c r="I107" s="248"/>
      <c r="J107" s="248"/>
      <c r="K107" s="248"/>
      <c r="L107" s="248"/>
      <c r="M107" s="248"/>
      <c r="N107" s="309"/>
      <c r="O107" s="309"/>
      <c r="P107" s="248"/>
      <c r="Q107" s="309">
        <f t="shared" si="76"/>
        <v>5625854330</v>
      </c>
    </row>
    <row r="108" spans="1:17" ht="30">
      <c r="A108" s="263" t="s">
        <v>550</v>
      </c>
      <c r="B108" s="275" t="s">
        <v>551</v>
      </c>
      <c r="C108" s="302">
        <v>19841526</v>
      </c>
      <c r="D108" s="310">
        <v>21190975</v>
      </c>
      <c r="E108" s="302"/>
      <c r="F108" s="248"/>
      <c r="G108" s="248"/>
      <c r="H108" s="248"/>
      <c r="I108" s="248"/>
      <c r="J108" s="248"/>
      <c r="K108" s="248"/>
      <c r="L108" s="248"/>
      <c r="M108" s="248"/>
      <c r="N108" s="309"/>
      <c r="O108" s="309"/>
      <c r="P108" s="248"/>
      <c r="Q108" s="309">
        <f t="shared" si="76"/>
        <v>41032501</v>
      </c>
    </row>
    <row r="109" spans="1:17" ht="30">
      <c r="A109" s="263" t="s">
        <v>552</v>
      </c>
      <c r="B109" s="275" t="s">
        <v>553</v>
      </c>
      <c r="C109" s="302">
        <v>37417350</v>
      </c>
      <c r="D109" s="310">
        <v>38545635</v>
      </c>
      <c r="E109" s="302"/>
      <c r="F109" s="248"/>
      <c r="G109" s="248"/>
      <c r="H109" s="248"/>
      <c r="I109" s="248"/>
      <c r="J109" s="248"/>
      <c r="K109" s="248"/>
      <c r="L109" s="248"/>
      <c r="M109" s="248"/>
      <c r="N109" s="309"/>
      <c r="O109" s="309"/>
      <c r="P109" s="248"/>
      <c r="Q109" s="309">
        <f t="shared" si="76"/>
        <v>75962985</v>
      </c>
    </row>
    <row r="110" spans="1:17" ht="30">
      <c r="A110" s="263" t="s">
        <v>554</v>
      </c>
      <c r="B110" s="275" t="s">
        <v>555</v>
      </c>
      <c r="C110" s="302">
        <v>7551836</v>
      </c>
      <c r="D110" s="310">
        <f>7637888+100</f>
        <v>7637988</v>
      </c>
      <c r="E110" s="302"/>
      <c r="F110" s="248"/>
      <c r="G110" s="248"/>
      <c r="H110" s="248"/>
      <c r="I110" s="248"/>
      <c r="J110" s="248"/>
      <c r="K110" s="248"/>
      <c r="L110" s="248"/>
      <c r="M110" s="248"/>
      <c r="N110" s="309"/>
      <c r="O110" s="309"/>
      <c r="P110" s="248"/>
      <c r="Q110" s="309">
        <f t="shared" si="76"/>
        <v>15189824</v>
      </c>
    </row>
    <row r="111" spans="1:17" ht="15.75">
      <c r="A111" s="262" t="s">
        <v>557</v>
      </c>
      <c r="B111" s="260" t="s">
        <v>556</v>
      </c>
      <c r="C111" s="301">
        <f>SUM(C112:C114)</f>
        <v>1122006458</v>
      </c>
      <c r="D111" s="301">
        <f aca="true" t="shared" si="77" ref="D111:P111">SUM(D112:D114)</f>
        <v>0</v>
      </c>
      <c r="E111" s="301">
        <f t="shared" si="77"/>
        <v>0</v>
      </c>
      <c r="F111" s="301">
        <f t="shared" si="77"/>
        <v>0</v>
      </c>
      <c r="G111" s="301">
        <f t="shared" si="77"/>
        <v>0</v>
      </c>
      <c r="H111" s="301">
        <f t="shared" si="77"/>
        <v>0</v>
      </c>
      <c r="I111" s="301">
        <f t="shared" si="77"/>
        <v>0</v>
      </c>
      <c r="J111" s="301">
        <f t="shared" si="77"/>
        <v>0</v>
      </c>
      <c r="K111" s="301">
        <f t="shared" si="77"/>
        <v>0</v>
      </c>
      <c r="L111" s="301">
        <f t="shared" si="77"/>
        <v>0</v>
      </c>
      <c r="M111" s="301">
        <f t="shared" si="77"/>
        <v>0</v>
      </c>
      <c r="N111" s="301">
        <f>SUM(N112:N114)</f>
        <v>0</v>
      </c>
      <c r="O111" s="301">
        <f>SUM(O112:O114)</f>
        <v>0</v>
      </c>
      <c r="P111" s="301">
        <f t="shared" si="77"/>
        <v>0</v>
      </c>
      <c r="Q111" s="247" t="e">
        <f>+#REF!+C111+D111+E111+F111+G111+H111+I111+J111+K111+L111+P111</f>
        <v>#REF!</v>
      </c>
    </row>
    <row r="112" spans="1:17" ht="30">
      <c r="A112" s="263" t="s">
        <v>558</v>
      </c>
      <c r="B112" s="275" t="s">
        <v>559</v>
      </c>
      <c r="C112" s="302">
        <v>114806458</v>
      </c>
      <c r="D112" s="310"/>
      <c r="E112" s="302"/>
      <c r="F112" s="248"/>
      <c r="G112" s="248"/>
      <c r="H112" s="248"/>
      <c r="I112" s="248"/>
      <c r="J112" s="248"/>
      <c r="K112" s="248"/>
      <c r="L112" s="248"/>
      <c r="M112" s="248"/>
      <c r="N112" s="309"/>
      <c r="O112" s="309"/>
      <c r="P112" s="248"/>
      <c r="Q112" s="309">
        <f>SUM(C112:P112)</f>
        <v>114806458</v>
      </c>
    </row>
    <row r="113" spans="1:17" ht="15.75">
      <c r="A113" s="263" t="s">
        <v>560</v>
      </c>
      <c r="B113" s="275" t="s">
        <v>561</v>
      </c>
      <c r="C113" s="302">
        <v>7200000</v>
      </c>
      <c r="D113" s="310"/>
      <c r="E113" s="302"/>
      <c r="F113" s="248"/>
      <c r="G113" s="248"/>
      <c r="H113" s="248"/>
      <c r="I113" s="248"/>
      <c r="J113" s="248"/>
      <c r="K113" s="248"/>
      <c r="L113" s="248"/>
      <c r="M113" s="248"/>
      <c r="N113" s="309"/>
      <c r="O113" s="309"/>
      <c r="P113" s="248"/>
      <c r="Q113" s="309">
        <f>SUM(C113:P113)</f>
        <v>7200000</v>
      </c>
    </row>
    <row r="114" spans="1:17" ht="15.75">
      <c r="A114" s="263" t="s">
        <v>562</v>
      </c>
      <c r="B114" s="275" t="s">
        <v>563</v>
      </c>
      <c r="C114" s="302">
        <v>1000000000</v>
      </c>
      <c r="D114" s="310"/>
      <c r="E114" s="302"/>
      <c r="F114" s="248"/>
      <c r="G114" s="248"/>
      <c r="H114" s="248"/>
      <c r="I114" s="248"/>
      <c r="J114" s="248"/>
      <c r="K114" s="248"/>
      <c r="L114" s="248"/>
      <c r="M114" s="248"/>
      <c r="N114" s="309"/>
      <c r="O114" s="309"/>
      <c r="P114" s="248"/>
      <c r="Q114" s="309">
        <f>SUM(C114:P114)</f>
        <v>1000000000</v>
      </c>
    </row>
    <row r="115" spans="1:17" ht="15.75">
      <c r="A115" s="262" t="s">
        <v>564</v>
      </c>
      <c r="B115" s="260" t="s">
        <v>565</v>
      </c>
      <c r="C115" s="301">
        <f>SUM(C116:C120)</f>
        <v>6659632656</v>
      </c>
      <c r="D115" s="301">
        <f aca="true" t="shared" si="78" ref="D115:P115">SUM(D116:D120)</f>
        <v>11900964553</v>
      </c>
      <c r="E115" s="301">
        <f t="shared" si="78"/>
        <v>0</v>
      </c>
      <c r="F115" s="301">
        <f t="shared" si="78"/>
        <v>0</v>
      </c>
      <c r="G115" s="301">
        <f t="shared" si="78"/>
        <v>0</v>
      </c>
      <c r="H115" s="301">
        <f t="shared" si="78"/>
        <v>0</v>
      </c>
      <c r="I115" s="301">
        <f t="shared" si="78"/>
        <v>0</v>
      </c>
      <c r="J115" s="301">
        <f t="shared" si="78"/>
        <v>0</v>
      </c>
      <c r="K115" s="301">
        <f t="shared" si="78"/>
        <v>0</v>
      </c>
      <c r="L115" s="301">
        <f t="shared" si="78"/>
        <v>0</v>
      </c>
      <c r="M115" s="301">
        <f t="shared" si="78"/>
        <v>0</v>
      </c>
      <c r="N115" s="301">
        <f>SUM(N116:N120)</f>
        <v>0</v>
      </c>
      <c r="O115" s="301">
        <f>SUM(O116:O120)</f>
        <v>0</v>
      </c>
      <c r="P115" s="301">
        <f t="shared" si="78"/>
        <v>0</v>
      </c>
      <c r="Q115" s="247" t="e">
        <f>+#REF!+C115+D115+E115+F115+G115+H115+I115+J115+K115+L115+P115</f>
        <v>#REF!</v>
      </c>
    </row>
    <row r="116" spans="1:17" ht="15.75">
      <c r="A116" s="263" t="s">
        <v>566</v>
      </c>
      <c r="B116" s="275" t="s">
        <v>567</v>
      </c>
      <c r="C116" s="302">
        <v>5266125325</v>
      </c>
      <c r="D116" s="310">
        <v>8471314769</v>
      </c>
      <c r="E116" s="302"/>
      <c r="F116" s="248"/>
      <c r="G116" s="248"/>
      <c r="H116" s="248"/>
      <c r="I116" s="248"/>
      <c r="J116" s="248"/>
      <c r="K116" s="248"/>
      <c r="L116" s="248"/>
      <c r="M116" s="248"/>
      <c r="N116" s="309"/>
      <c r="O116" s="309"/>
      <c r="P116" s="248"/>
      <c r="Q116" s="309">
        <f>SUM(C116:P116)</f>
        <v>13737440094</v>
      </c>
    </row>
    <row r="117" spans="1:17" ht="30">
      <c r="A117" s="263" t="s">
        <v>568</v>
      </c>
      <c r="B117" s="275" t="s">
        <v>569</v>
      </c>
      <c r="C117" s="302">
        <v>510782959</v>
      </c>
      <c r="D117" s="310">
        <v>1779265529</v>
      </c>
      <c r="E117" s="302"/>
      <c r="F117" s="248"/>
      <c r="G117" s="248"/>
      <c r="H117" s="248"/>
      <c r="I117" s="248"/>
      <c r="J117" s="248"/>
      <c r="K117" s="248"/>
      <c r="L117" s="248"/>
      <c r="M117" s="248"/>
      <c r="N117" s="309"/>
      <c r="O117" s="309"/>
      <c r="P117" s="248"/>
      <c r="Q117" s="309">
        <f>SUM(C117:P117)</f>
        <v>2290048488</v>
      </c>
    </row>
    <row r="118" spans="1:17" ht="30">
      <c r="A118" s="263" t="s">
        <v>570</v>
      </c>
      <c r="B118" s="275" t="s">
        <v>573</v>
      </c>
      <c r="C118" s="302">
        <v>342242001</v>
      </c>
      <c r="D118" s="310">
        <v>1079527709</v>
      </c>
      <c r="E118" s="302"/>
      <c r="F118" s="248"/>
      <c r="G118" s="248"/>
      <c r="H118" s="248"/>
      <c r="I118" s="248"/>
      <c r="J118" s="248"/>
      <c r="K118" s="248"/>
      <c r="L118" s="248"/>
      <c r="M118" s="248"/>
      <c r="N118" s="309"/>
      <c r="O118" s="309"/>
      <c r="P118" s="248"/>
      <c r="Q118" s="309">
        <f>SUM(C118:P118)</f>
        <v>1421769710</v>
      </c>
    </row>
    <row r="119" spans="1:17" ht="30">
      <c r="A119" s="263" t="s">
        <v>571</v>
      </c>
      <c r="B119" s="275" t="s">
        <v>572</v>
      </c>
      <c r="C119" s="302">
        <v>319460960</v>
      </c>
      <c r="D119" s="310">
        <v>250898546</v>
      </c>
      <c r="E119" s="302"/>
      <c r="F119" s="248"/>
      <c r="G119" s="248"/>
      <c r="H119" s="248"/>
      <c r="I119" s="248"/>
      <c r="J119" s="248"/>
      <c r="K119" s="248"/>
      <c r="L119" s="248"/>
      <c r="M119" s="248"/>
      <c r="N119" s="309"/>
      <c r="O119" s="309"/>
      <c r="P119" s="248"/>
      <c r="Q119" s="309">
        <f>SUM(C119:P119)</f>
        <v>570359506</v>
      </c>
    </row>
    <row r="120" spans="1:17" ht="30">
      <c r="A120" s="263" t="s">
        <v>574</v>
      </c>
      <c r="B120" s="275" t="s">
        <v>575</v>
      </c>
      <c r="C120" s="302">
        <v>221021411</v>
      </c>
      <c r="D120" s="310">
        <v>319958000</v>
      </c>
      <c r="E120" s="302"/>
      <c r="F120" s="248"/>
      <c r="G120" s="248"/>
      <c r="H120" s="248"/>
      <c r="I120" s="248"/>
      <c r="J120" s="248"/>
      <c r="K120" s="248"/>
      <c r="L120" s="248"/>
      <c r="M120" s="248"/>
      <c r="N120" s="309"/>
      <c r="O120" s="309"/>
      <c r="P120" s="248"/>
      <c r="Q120" s="309">
        <f>SUM(C120:P120)</f>
        <v>540979411</v>
      </c>
    </row>
    <row r="121" spans="1:17" ht="15.75">
      <c r="A121" s="262" t="s">
        <v>576</v>
      </c>
      <c r="B121" s="260" t="s">
        <v>577</v>
      </c>
      <c r="C121" s="301">
        <f>SUM(C122)</f>
        <v>20405619</v>
      </c>
      <c r="D121" s="301">
        <f aca="true" t="shared" si="79" ref="D121:P121">SUM(D122)</f>
        <v>0</v>
      </c>
      <c r="E121" s="301">
        <f t="shared" si="79"/>
        <v>0</v>
      </c>
      <c r="F121" s="301">
        <f t="shared" si="79"/>
        <v>0</v>
      </c>
      <c r="G121" s="301">
        <f t="shared" si="79"/>
        <v>0</v>
      </c>
      <c r="H121" s="301">
        <f t="shared" si="79"/>
        <v>0</v>
      </c>
      <c r="I121" s="301">
        <f t="shared" si="79"/>
        <v>0</v>
      </c>
      <c r="J121" s="301">
        <f t="shared" si="79"/>
        <v>0</v>
      </c>
      <c r="K121" s="301">
        <f t="shared" si="79"/>
        <v>0</v>
      </c>
      <c r="L121" s="301">
        <f t="shared" si="79"/>
        <v>0</v>
      </c>
      <c r="M121" s="301">
        <f t="shared" si="79"/>
        <v>0</v>
      </c>
      <c r="N121" s="301">
        <f t="shared" si="79"/>
        <v>0</v>
      </c>
      <c r="O121" s="301">
        <f t="shared" si="79"/>
        <v>0</v>
      </c>
      <c r="P121" s="301">
        <f t="shared" si="79"/>
        <v>0</v>
      </c>
      <c r="Q121" s="247" t="e">
        <f>+#REF!+C121+D121+E121+F121+G121+H121+I121+J121+K121+L121+P121</f>
        <v>#REF!</v>
      </c>
    </row>
    <row r="122" spans="1:17" ht="30">
      <c r="A122" s="263" t="s">
        <v>578</v>
      </c>
      <c r="B122" s="275" t="s">
        <v>579</v>
      </c>
      <c r="C122" s="302">
        <v>20405619</v>
      </c>
      <c r="D122" s="310"/>
      <c r="E122" s="302"/>
      <c r="F122" s="248"/>
      <c r="G122" s="248"/>
      <c r="H122" s="248"/>
      <c r="I122" s="248"/>
      <c r="J122" s="248"/>
      <c r="K122" s="248"/>
      <c r="L122" s="248"/>
      <c r="M122" s="248"/>
      <c r="N122" s="309"/>
      <c r="O122" s="309"/>
      <c r="P122" s="248"/>
      <c r="Q122" s="309">
        <f>SUM(C122:P122)</f>
        <v>20405619</v>
      </c>
    </row>
    <row r="123" spans="1:17" ht="15.75">
      <c r="A123" s="262" t="s">
        <v>580</v>
      </c>
      <c r="B123" s="260" t="s">
        <v>581</v>
      </c>
      <c r="C123" s="301">
        <v>105092505</v>
      </c>
      <c r="D123" s="313">
        <v>118333016</v>
      </c>
      <c r="E123" s="302"/>
      <c r="F123" s="248"/>
      <c r="G123" s="248"/>
      <c r="H123" s="248"/>
      <c r="I123" s="248"/>
      <c r="J123" s="248"/>
      <c r="K123" s="248"/>
      <c r="L123" s="248"/>
      <c r="M123" s="248"/>
      <c r="N123" s="309"/>
      <c r="O123" s="309"/>
      <c r="P123" s="248"/>
      <c r="Q123" s="247">
        <f>SUM(C123:P123)</f>
        <v>223425521</v>
      </c>
    </row>
    <row r="124" spans="1:17" ht="15.75">
      <c r="A124" s="263" t="s">
        <v>582</v>
      </c>
      <c r="B124" s="260" t="s">
        <v>511</v>
      </c>
      <c r="C124" s="301">
        <v>239642821</v>
      </c>
      <c r="D124" s="313">
        <v>46768040</v>
      </c>
      <c r="E124" s="302"/>
      <c r="F124" s="248"/>
      <c r="G124" s="248"/>
      <c r="H124" s="248"/>
      <c r="I124" s="248"/>
      <c r="J124" s="248"/>
      <c r="K124" s="248"/>
      <c r="L124" s="248"/>
      <c r="M124" s="248"/>
      <c r="N124" s="309"/>
      <c r="O124" s="309"/>
      <c r="P124" s="248"/>
      <c r="Q124" s="247">
        <f>SUM(C124:P124)</f>
        <v>286410861</v>
      </c>
    </row>
    <row r="125" spans="1:17" ht="15.75">
      <c r="A125" s="263"/>
      <c r="B125" s="260"/>
      <c r="C125" s="301"/>
      <c r="D125" s="310"/>
      <c r="E125" s="302"/>
      <c r="F125" s="248"/>
      <c r="G125" s="248"/>
      <c r="H125" s="248"/>
      <c r="I125" s="248"/>
      <c r="J125" s="248"/>
      <c r="K125" s="248"/>
      <c r="L125" s="248"/>
      <c r="M125" s="248"/>
      <c r="N125" s="309"/>
      <c r="O125" s="309"/>
      <c r="P125" s="248"/>
      <c r="Q125" s="248"/>
    </row>
    <row r="126" spans="1:44" s="244" customFormat="1" ht="30">
      <c r="A126" s="262" t="s">
        <v>14</v>
      </c>
      <c r="B126" s="260" t="s">
        <v>13</v>
      </c>
      <c r="C126" s="301">
        <f>+C127</f>
        <v>5182278255</v>
      </c>
      <c r="D126" s="301">
        <f aca="true" t="shared" si="80" ref="D126:P127">+D127</f>
        <v>5361208622</v>
      </c>
      <c r="E126" s="301">
        <f t="shared" si="80"/>
        <v>7956734955.99</v>
      </c>
      <c r="F126" s="301">
        <f t="shared" si="80"/>
        <v>10214915000</v>
      </c>
      <c r="G126" s="301">
        <f t="shared" si="80"/>
        <v>10288582450</v>
      </c>
      <c r="H126" s="301">
        <f t="shared" si="80"/>
        <v>10597239923.5</v>
      </c>
      <c r="I126" s="301">
        <f t="shared" si="80"/>
        <v>10915157121.205</v>
      </c>
      <c r="J126" s="301">
        <f t="shared" si="80"/>
        <v>11242611834.841148</v>
      </c>
      <c r="K126" s="301">
        <f t="shared" si="80"/>
        <v>11579890189.886385</v>
      </c>
      <c r="L126" s="301">
        <f t="shared" si="80"/>
        <v>11927286895.582977</v>
      </c>
      <c r="M126" s="301">
        <f t="shared" si="80"/>
        <v>12285105502.450466</v>
      </c>
      <c r="N126" s="301">
        <f t="shared" si="80"/>
        <v>12653658667.523981</v>
      </c>
      <c r="O126" s="301">
        <f t="shared" si="80"/>
        <v>13033268427.549702</v>
      </c>
      <c r="P126" s="301">
        <f t="shared" si="80"/>
        <v>13424266480.376192</v>
      </c>
      <c r="Q126" s="247">
        <f aca="true" t="shared" si="81" ref="Q126:Q134">SUM(C126:P126)</f>
        <v>146662204325.90585</v>
      </c>
      <c r="W126" s="252"/>
      <c r="X126" s="252"/>
      <c r="Y126" s="252"/>
      <c r="Z126" s="252"/>
      <c r="AA126" s="252"/>
      <c r="AB126" s="252"/>
      <c r="AC126" s="252"/>
      <c r="AD126" s="252"/>
      <c r="AE126" s="277"/>
      <c r="AF126" s="297"/>
      <c r="AG126" s="297"/>
      <c r="AH126" s="297"/>
      <c r="AI126" s="297"/>
      <c r="AJ126" s="297"/>
      <c r="AK126" s="297"/>
      <c r="AL126" s="297"/>
      <c r="AM126" s="297"/>
      <c r="AN126" s="297"/>
      <c r="AO126" s="297"/>
      <c r="AP126" s="297"/>
      <c r="AQ126" s="298"/>
      <c r="AR126" s="298"/>
    </row>
    <row r="127" spans="1:44" s="244" customFormat="1" ht="15.75">
      <c r="A127" s="262" t="s">
        <v>12</v>
      </c>
      <c r="B127" s="278" t="s">
        <v>11</v>
      </c>
      <c r="C127" s="301">
        <f>+C128</f>
        <v>5182278255</v>
      </c>
      <c r="D127" s="301">
        <f t="shared" si="80"/>
        <v>5361208622</v>
      </c>
      <c r="E127" s="301">
        <f t="shared" si="80"/>
        <v>7956734955.99</v>
      </c>
      <c r="F127" s="301">
        <f t="shared" si="80"/>
        <v>10214915000</v>
      </c>
      <c r="G127" s="301">
        <f t="shared" si="80"/>
        <v>10288582450</v>
      </c>
      <c r="H127" s="301">
        <f t="shared" si="80"/>
        <v>10597239923.5</v>
      </c>
      <c r="I127" s="301">
        <f t="shared" si="80"/>
        <v>10915157121.205</v>
      </c>
      <c r="J127" s="301">
        <f t="shared" si="80"/>
        <v>11242611834.841148</v>
      </c>
      <c r="K127" s="301">
        <f t="shared" si="80"/>
        <v>11579890189.886385</v>
      </c>
      <c r="L127" s="301">
        <f t="shared" si="80"/>
        <v>11927286895.582977</v>
      </c>
      <c r="M127" s="301">
        <f t="shared" si="80"/>
        <v>12285105502.450466</v>
      </c>
      <c r="N127" s="301">
        <f t="shared" si="80"/>
        <v>12653658667.523981</v>
      </c>
      <c r="O127" s="301">
        <f t="shared" si="80"/>
        <v>13033268427.549702</v>
      </c>
      <c r="P127" s="301">
        <f t="shared" si="80"/>
        <v>13424266480.376192</v>
      </c>
      <c r="Q127" s="247">
        <f t="shared" si="81"/>
        <v>146662204325.90585</v>
      </c>
      <c r="W127" s="252"/>
      <c r="X127" s="252"/>
      <c r="Y127" s="252"/>
      <c r="Z127" s="252"/>
      <c r="AA127" s="252"/>
      <c r="AB127" s="252"/>
      <c r="AC127" s="252"/>
      <c r="AD127" s="252"/>
      <c r="AE127" s="277"/>
      <c r="AF127" s="297"/>
      <c r="AG127" s="297"/>
      <c r="AH127" s="297"/>
      <c r="AI127" s="297"/>
      <c r="AJ127" s="297"/>
      <c r="AK127" s="297"/>
      <c r="AL127" s="297"/>
      <c r="AM127" s="297"/>
      <c r="AN127" s="297"/>
      <c r="AO127" s="297"/>
      <c r="AP127" s="297"/>
      <c r="AQ127" s="298"/>
      <c r="AR127" s="298"/>
    </row>
    <row r="128" spans="1:44" s="244" customFormat="1" ht="15.75">
      <c r="A128" s="262" t="s">
        <v>10</v>
      </c>
      <c r="B128" s="260" t="s">
        <v>9</v>
      </c>
      <c r="C128" s="301">
        <f>SUM(C129:C134)</f>
        <v>5182278255</v>
      </c>
      <c r="D128" s="301">
        <f aca="true" t="shared" si="82" ref="D128:P128">SUM(D129:D134)</f>
        <v>5361208622</v>
      </c>
      <c r="E128" s="301">
        <f t="shared" si="82"/>
        <v>7956734955.99</v>
      </c>
      <c r="F128" s="301">
        <f t="shared" si="82"/>
        <v>10214915000</v>
      </c>
      <c r="G128" s="301">
        <f t="shared" si="82"/>
        <v>10288582450</v>
      </c>
      <c r="H128" s="301">
        <f t="shared" si="82"/>
        <v>10597239923.5</v>
      </c>
      <c r="I128" s="301">
        <f t="shared" si="82"/>
        <v>10915157121.205</v>
      </c>
      <c r="J128" s="301">
        <f t="shared" si="82"/>
        <v>11242611834.841148</v>
      </c>
      <c r="K128" s="301">
        <f t="shared" si="82"/>
        <v>11579890189.886385</v>
      </c>
      <c r="L128" s="301">
        <f t="shared" si="82"/>
        <v>11927286895.582977</v>
      </c>
      <c r="M128" s="301">
        <f t="shared" si="82"/>
        <v>12285105502.450466</v>
      </c>
      <c r="N128" s="301">
        <f>SUM(N129:N134)</f>
        <v>12653658667.523981</v>
      </c>
      <c r="O128" s="301">
        <f>SUM(O129:O134)</f>
        <v>13033268427.549702</v>
      </c>
      <c r="P128" s="301">
        <f t="shared" si="82"/>
        <v>13424266480.376192</v>
      </c>
      <c r="Q128" s="247">
        <f t="shared" si="81"/>
        <v>146662204325.90585</v>
      </c>
      <c r="W128" s="252"/>
      <c r="X128" s="252"/>
      <c r="Y128" s="252"/>
      <c r="Z128" s="252"/>
      <c r="AA128" s="252"/>
      <c r="AB128" s="252"/>
      <c r="AC128" s="252"/>
      <c r="AD128" s="252"/>
      <c r="AE128" s="277"/>
      <c r="AF128" s="297"/>
      <c r="AG128" s="297"/>
      <c r="AH128" s="297"/>
      <c r="AI128" s="297"/>
      <c r="AJ128" s="297"/>
      <c r="AK128" s="297"/>
      <c r="AL128" s="297"/>
      <c r="AM128" s="297"/>
      <c r="AN128" s="297"/>
      <c r="AO128" s="297"/>
      <c r="AP128" s="297"/>
      <c r="AQ128" s="298"/>
      <c r="AR128" s="298"/>
    </row>
    <row r="129" spans="1:44" s="244" customFormat="1" ht="15.75">
      <c r="A129" s="263" t="s">
        <v>8</v>
      </c>
      <c r="B129" s="275" t="s">
        <v>585</v>
      </c>
      <c r="C129" s="302">
        <v>2779404662</v>
      </c>
      <c r="D129" s="310">
        <v>2856572687</v>
      </c>
      <c r="E129" s="302">
        <f>+'[4]InfEjecucionIngresosContraloria'!$F$147+'[4]InfEjecucionIngresosContraloria'!$F$148</f>
        <v>3313750805.9</v>
      </c>
      <c r="F129" s="248">
        <f>+'INGRESOS 2014'!H130</f>
        <v>4400000000</v>
      </c>
      <c r="G129" s="248">
        <f>+F129*(1+$AL$10)</f>
        <v>4532000000</v>
      </c>
      <c r="H129" s="248">
        <f>+G129*(1+$AM$10)</f>
        <v>4667960000</v>
      </c>
      <c r="I129" s="248">
        <f>+H129*(1+$AN$10)</f>
        <v>4807998800</v>
      </c>
      <c r="J129" s="248">
        <f>+I129*(1+$AO$10)</f>
        <v>4952238764</v>
      </c>
      <c r="K129" s="248">
        <f>+J129*(1+$AP$10)</f>
        <v>5100805926.92</v>
      </c>
      <c r="L129" s="248">
        <f>+K129*(1+$AQ$10)</f>
        <v>5253830104.7276</v>
      </c>
      <c r="M129" s="248">
        <f>+L129*(1+$AR$10)</f>
        <v>5411445007.869429</v>
      </c>
      <c r="N129" s="309">
        <f>+M129*(1+$AR$10)</f>
        <v>5573788358.105512</v>
      </c>
      <c r="O129" s="309">
        <f>+N129*(1+$AR$10)</f>
        <v>5741002008.848678</v>
      </c>
      <c r="P129" s="309">
        <f>+O129*(1+$AR$10)</f>
        <v>5913232069.114138</v>
      </c>
      <c r="Q129" s="309">
        <f t="shared" si="81"/>
        <v>65304029194.48536</v>
      </c>
      <c r="W129" s="252"/>
      <c r="X129" s="252"/>
      <c r="Y129" s="252"/>
      <c r="Z129" s="252"/>
      <c r="AA129" s="252"/>
      <c r="AB129" s="252"/>
      <c r="AC129" s="252"/>
      <c r="AD129" s="252"/>
      <c r="AE129" s="277"/>
      <c r="AF129" s="297"/>
      <c r="AG129" s="297"/>
      <c r="AH129" s="297"/>
      <c r="AI129" s="297"/>
      <c r="AJ129" s="297"/>
      <c r="AK129" s="297"/>
      <c r="AL129" s="297"/>
      <c r="AM129" s="297"/>
      <c r="AN129" s="297"/>
      <c r="AO129" s="297"/>
      <c r="AP129" s="297"/>
      <c r="AQ129" s="298"/>
      <c r="AR129" s="298"/>
    </row>
    <row r="130" spans="1:44" s="244" customFormat="1" ht="15.75">
      <c r="A130" s="263"/>
      <c r="B130" s="275" t="s">
        <v>1637</v>
      </c>
      <c r="C130" s="302"/>
      <c r="D130" s="310"/>
      <c r="E130" s="302"/>
      <c r="F130" s="248">
        <f>+'INGRESOS 2014'!H135</f>
        <v>226000000</v>
      </c>
      <c r="G130" s="248"/>
      <c r="H130" s="248"/>
      <c r="I130" s="248"/>
      <c r="J130" s="248"/>
      <c r="K130" s="248"/>
      <c r="L130" s="248"/>
      <c r="M130" s="248"/>
      <c r="N130" s="309"/>
      <c r="O130" s="309"/>
      <c r="P130" s="309"/>
      <c r="Q130" s="309">
        <f t="shared" si="81"/>
        <v>226000000</v>
      </c>
      <c r="W130" s="252"/>
      <c r="X130" s="252"/>
      <c r="Y130" s="252"/>
      <c r="Z130" s="252"/>
      <c r="AA130" s="252"/>
      <c r="AB130" s="252"/>
      <c r="AC130" s="252"/>
      <c r="AD130" s="252"/>
      <c r="AE130" s="277"/>
      <c r="AF130" s="297"/>
      <c r="AG130" s="297"/>
      <c r="AH130" s="297"/>
      <c r="AI130" s="297"/>
      <c r="AJ130" s="297"/>
      <c r="AK130" s="297"/>
      <c r="AL130" s="297"/>
      <c r="AM130" s="297"/>
      <c r="AN130" s="297"/>
      <c r="AO130" s="297"/>
      <c r="AP130" s="297"/>
      <c r="AQ130" s="298"/>
      <c r="AR130" s="298"/>
    </row>
    <row r="131" spans="1:44" s="244" customFormat="1" ht="15.75">
      <c r="A131" s="263" t="s">
        <v>7</v>
      </c>
      <c r="B131" s="275" t="s">
        <v>6</v>
      </c>
      <c r="C131" s="302">
        <v>245873593</v>
      </c>
      <c r="D131" s="310">
        <v>282925935</v>
      </c>
      <c r="E131" s="302">
        <f>+'[4]InfEjecucionIngresosContraloria'!$F$149</f>
        <v>282656027</v>
      </c>
      <c r="F131" s="248">
        <f>+'INGRESOS 2014'!H132</f>
        <v>303915000</v>
      </c>
      <c r="G131" s="248">
        <f>+F131*(1+$AL$10)</f>
        <v>313032450</v>
      </c>
      <c r="H131" s="248">
        <f>+G131*(1+$AM$10)</f>
        <v>322423423.5</v>
      </c>
      <c r="I131" s="248">
        <f>+H131*(1+$AN$10)</f>
        <v>332096126.205</v>
      </c>
      <c r="J131" s="248">
        <f>+I131*(1+$AO$10)</f>
        <v>342059009.99114996</v>
      </c>
      <c r="K131" s="248">
        <f>+J131*(1+$AP$10)</f>
        <v>352320780.2908845</v>
      </c>
      <c r="L131" s="248">
        <f>+K131*(1+$AQ$10)</f>
        <v>362890403.69961107</v>
      </c>
      <c r="M131" s="248">
        <f>+L131*(1+$AR$10)</f>
        <v>373777115.8105994</v>
      </c>
      <c r="N131" s="309">
        <f aca="true" t="shared" si="83" ref="N131:P134">+M131*(1+$AR$10)</f>
        <v>384990429.28491735</v>
      </c>
      <c r="O131" s="309">
        <f t="shared" si="83"/>
        <v>396540142.1634649</v>
      </c>
      <c r="P131" s="309">
        <f t="shared" si="83"/>
        <v>408436346.42836887</v>
      </c>
      <c r="Q131" s="309">
        <f t="shared" si="81"/>
        <v>4703936782.373996</v>
      </c>
      <c r="W131" s="252"/>
      <c r="X131" s="252"/>
      <c r="Y131" s="252"/>
      <c r="Z131" s="252"/>
      <c r="AA131" s="252"/>
      <c r="AB131" s="252"/>
      <c r="AC131" s="252"/>
      <c r="AD131" s="252"/>
      <c r="AE131" s="277"/>
      <c r="AF131" s="297"/>
      <c r="AG131" s="297"/>
      <c r="AH131" s="297"/>
      <c r="AI131" s="297"/>
      <c r="AJ131" s="297"/>
      <c r="AK131" s="297"/>
      <c r="AL131" s="297"/>
      <c r="AM131" s="297"/>
      <c r="AN131" s="297"/>
      <c r="AO131" s="297"/>
      <c r="AP131" s="297"/>
      <c r="AQ131" s="298"/>
      <c r="AR131" s="298"/>
    </row>
    <row r="132" spans="1:44" s="244" customFormat="1" ht="15.75">
      <c r="A132" s="263" t="s">
        <v>5</v>
      </c>
      <c r="B132" s="275" t="s">
        <v>4</v>
      </c>
      <c r="C132" s="302">
        <v>2000000000</v>
      </c>
      <c r="D132" s="310">
        <f>+C132*(1+$AI$10)</f>
        <v>2060000000</v>
      </c>
      <c r="E132" s="359">
        <v>4193766823.09</v>
      </c>
      <c r="F132" s="248">
        <f>+'INGRESOS 2014'!H133</f>
        <v>5200000000</v>
      </c>
      <c r="G132" s="248">
        <f>+F132*(1+$AL$10)</f>
        <v>5356000000</v>
      </c>
      <c r="H132" s="248">
        <f>+G132*(1+$AM$10)</f>
        <v>5516680000</v>
      </c>
      <c r="I132" s="248">
        <f>+H132*(1+$AN$10)</f>
        <v>5682180400</v>
      </c>
      <c r="J132" s="248">
        <f>+I132*(1+$AO$10)</f>
        <v>5852645812</v>
      </c>
      <c r="K132" s="248">
        <f>+J132*(1+$AP$10)</f>
        <v>6028225186.360001</v>
      </c>
      <c r="L132" s="248">
        <f>+K132*(1+$AQ$10)</f>
        <v>6209071941.950801</v>
      </c>
      <c r="M132" s="248">
        <f>+L132*(1+$AR$10)</f>
        <v>6395344100.209325</v>
      </c>
      <c r="N132" s="309">
        <f t="shared" si="83"/>
        <v>6587204423.215605</v>
      </c>
      <c r="O132" s="309">
        <f t="shared" si="83"/>
        <v>6784820555.912073</v>
      </c>
      <c r="P132" s="309">
        <f t="shared" si="83"/>
        <v>6988365172.589436</v>
      </c>
      <c r="Q132" s="309">
        <f t="shared" si="81"/>
        <v>74854304415.32724</v>
      </c>
      <c r="W132" s="252"/>
      <c r="X132" s="252"/>
      <c r="Y132" s="252"/>
      <c r="Z132" s="252"/>
      <c r="AA132" s="252"/>
      <c r="AB132" s="252"/>
      <c r="AC132" s="252"/>
      <c r="AD132" s="252"/>
      <c r="AE132" s="277"/>
      <c r="AF132" s="297"/>
      <c r="AG132" s="297"/>
      <c r="AH132" s="297"/>
      <c r="AI132" s="297"/>
      <c r="AJ132" s="297"/>
      <c r="AK132" s="297"/>
      <c r="AL132" s="297"/>
      <c r="AM132" s="297"/>
      <c r="AN132" s="297"/>
      <c r="AO132" s="297"/>
      <c r="AP132" s="297"/>
      <c r="AQ132" s="298"/>
      <c r="AR132" s="298"/>
    </row>
    <row r="133" spans="1:44" s="244" customFormat="1" ht="15.75">
      <c r="A133" s="263" t="s">
        <v>3</v>
      </c>
      <c r="B133" s="275" t="s">
        <v>2</v>
      </c>
      <c r="C133" s="302">
        <v>50000000</v>
      </c>
      <c r="D133" s="310">
        <f>+C133*(1+$AI$10)</f>
        <v>51500000</v>
      </c>
      <c r="E133" s="359">
        <v>53045000</v>
      </c>
      <c r="F133" s="248">
        <f>+'INGRESOS 2014'!H134</f>
        <v>55000000</v>
      </c>
      <c r="G133" s="248">
        <f>+F133*(1+$AL$10)</f>
        <v>56650000</v>
      </c>
      <c r="H133" s="248">
        <f>+G133*(1+$AM$10)</f>
        <v>58349500</v>
      </c>
      <c r="I133" s="248">
        <f>+H133*(1+$AN$10)</f>
        <v>60099985</v>
      </c>
      <c r="J133" s="248">
        <f>+I133*(1+$AO$10)</f>
        <v>61902984.550000004</v>
      </c>
      <c r="K133" s="248">
        <f>+J133*(1+$AP$10)</f>
        <v>63760074.086500004</v>
      </c>
      <c r="L133" s="248">
        <f>+K133*(1+$AQ$10)</f>
        <v>65672876.309095</v>
      </c>
      <c r="M133" s="248">
        <f>+L133*(1+$AR$10)</f>
        <v>67643062.59836785</v>
      </c>
      <c r="N133" s="309">
        <f t="shared" si="83"/>
        <v>69672354.4763189</v>
      </c>
      <c r="O133" s="309">
        <f t="shared" si="83"/>
        <v>71762525.11060846</v>
      </c>
      <c r="P133" s="309">
        <f t="shared" si="83"/>
        <v>73915400.86392671</v>
      </c>
      <c r="Q133" s="309">
        <f t="shared" si="81"/>
        <v>858973762.994817</v>
      </c>
      <c r="W133" s="252"/>
      <c r="X133" s="252"/>
      <c r="Y133" s="252"/>
      <c r="Z133" s="252"/>
      <c r="AA133" s="252"/>
      <c r="AB133" s="252"/>
      <c r="AC133" s="252"/>
      <c r="AD133" s="252"/>
      <c r="AE133" s="277"/>
      <c r="AF133" s="297"/>
      <c r="AG133" s="297"/>
      <c r="AH133" s="297"/>
      <c r="AI133" s="297"/>
      <c r="AJ133" s="297"/>
      <c r="AK133" s="297"/>
      <c r="AL133" s="297"/>
      <c r="AM133" s="297"/>
      <c r="AN133" s="297"/>
      <c r="AO133" s="297"/>
      <c r="AP133" s="297"/>
      <c r="AQ133" s="298"/>
      <c r="AR133" s="298"/>
    </row>
    <row r="134" spans="1:44" s="244" customFormat="1" ht="15.75">
      <c r="A134" s="263" t="s">
        <v>1</v>
      </c>
      <c r="B134" s="275" t="s">
        <v>0</v>
      </c>
      <c r="C134" s="302">
        <v>107000000</v>
      </c>
      <c r="D134" s="310">
        <f>+C134*(1+$AI$10)</f>
        <v>110210000</v>
      </c>
      <c r="E134" s="359">
        <v>113516300</v>
      </c>
      <c r="F134" s="248">
        <f>+'INGRESOS 2014'!H136</f>
        <v>30000000</v>
      </c>
      <c r="G134" s="248">
        <f>+F134*(1+$AL$10)</f>
        <v>30900000</v>
      </c>
      <c r="H134" s="248">
        <f>+G134*(1+$AM$10)</f>
        <v>31827000</v>
      </c>
      <c r="I134" s="248">
        <f>+H134*(1+$AN$10)</f>
        <v>32781810</v>
      </c>
      <c r="J134" s="248">
        <f>+I134*(1+$AO$10)</f>
        <v>33765264.300000004</v>
      </c>
      <c r="K134" s="248">
        <f>+J134*(1+$AP$10)</f>
        <v>34778222.229</v>
      </c>
      <c r="L134" s="248">
        <f>+K134*(1+$AQ$10)</f>
        <v>35821568.89587</v>
      </c>
      <c r="M134" s="248">
        <f>+L134*(1+$AR$10)</f>
        <v>36896215.9627461</v>
      </c>
      <c r="N134" s="309">
        <f t="shared" si="83"/>
        <v>38003102.441628486</v>
      </c>
      <c r="O134" s="309">
        <f t="shared" si="83"/>
        <v>39143195.51487734</v>
      </c>
      <c r="P134" s="309">
        <f t="shared" si="83"/>
        <v>40317491.38032366</v>
      </c>
      <c r="Q134" s="309">
        <f t="shared" si="81"/>
        <v>714960170.7244456</v>
      </c>
      <c r="W134" s="252"/>
      <c r="X134" s="252"/>
      <c r="Y134" s="252"/>
      <c r="Z134" s="252"/>
      <c r="AA134" s="252"/>
      <c r="AB134" s="252"/>
      <c r="AC134" s="252"/>
      <c r="AD134" s="252"/>
      <c r="AE134" s="277"/>
      <c r="AF134" s="297"/>
      <c r="AG134" s="297"/>
      <c r="AH134" s="297"/>
      <c r="AI134" s="297"/>
      <c r="AJ134" s="297"/>
      <c r="AK134" s="297"/>
      <c r="AL134" s="297"/>
      <c r="AM134" s="297"/>
      <c r="AN134" s="297"/>
      <c r="AO134" s="297"/>
      <c r="AP134" s="297"/>
      <c r="AQ134" s="298"/>
      <c r="AR134" s="298"/>
    </row>
    <row r="135" ht="15.75">
      <c r="A135" s="252" t="s">
        <v>378</v>
      </c>
    </row>
    <row r="136" ht="15.75">
      <c r="F136" s="244">
        <f>+'INGRESOS 2014'!H7-F7</f>
        <v>0</v>
      </c>
    </row>
  </sheetData>
  <sheetProtection/>
  <mergeCells count="5">
    <mergeCell ref="A6:A7"/>
    <mergeCell ref="A2:P2"/>
    <mergeCell ref="A3:P3"/>
    <mergeCell ref="A4:P4"/>
    <mergeCell ref="A1:Q1"/>
  </mergeCells>
  <printOptions/>
  <pageMargins left="0.7" right="0.7" top="0.75" bottom="0.75" header="0.3" footer="0.3"/>
  <pageSetup horizontalDpi="200" verticalDpi="200" orientation="landscape" paperSize="9" scale="70" r:id="rId3"/>
  <legacyDrawing r:id="rId2"/>
</worksheet>
</file>

<file path=xl/worksheets/sheet9.xml><?xml version="1.0" encoding="utf-8"?>
<worksheet xmlns="http://schemas.openxmlformats.org/spreadsheetml/2006/main" xmlns:r="http://schemas.openxmlformats.org/officeDocument/2006/relationships">
  <sheetPr>
    <tabColor indexed="10"/>
  </sheetPr>
  <dimension ref="A4:AC46"/>
  <sheetViews>
    <sheetView zoomScalePageLayoutView="0" workbookViewId="0" topLeftCell="A1">
      <selection activeCell="A19" sqref="A19"/>
    </sheetView>
  </sheetViews>
  <sheetFormatPr defaultColWidth="11.421875" defaultRowHeight="15"/>
  <cols>
    <col min="1" max="1" width="18.8515625" style="1" customWidth="1"/>
    <col min="2" max="2" width="15.8515625" style="1" hidden="1" customWidth="1"/>
    <col min="3" max="3" width="14.8515625" style="1" hidden="1" customWidth="1"/>
    <col min="4" max="4" width="11.8515625" style="1" hidden="1" customWidth="1"/>
    <col min="5" max="5" width="16.140625" style="516" customWidth="1"/>
    <col min="6" max="6" width="15.140625" style="516" bestFit="1" customWidth="1"/>
    <col min="7" max="16" width="14.8515625" style="516" bestFit="1" customWidth="1"/>
    <col min="17" max="17" width="15.28125" style="516" customWidth="1"/>
    <col min="18" max="18" width="24.00390625" style="1" hidden="1" customWidth="1"/>
    <col min="19" max="20" width="4.57421875" style="1" hidden="1" customWidth="1"/>
    <col min="21" max="22" width="4.421875" style="1" hidden="1" customWidth="1"/>
    <col min="23" max="23" width="5.00390625" style="1" hidden="1" customWidth="1"/>
    <col min="24" max="24" width="5.57421875" style="1" hidden="1" customWidth="1"/>
    <col min="25" max="25" width="5.140625" style="1" hidden="1" customWidth="1"/>
    <col min="26" max="26" width="6.421875" style="1" hidden="1" customWidth="1"/>
    <col min="27" max="27" width="4.421875" style="1" hidden="1" customWidth="1"/>
    <col min="28" max="28" width="11.421875" style="1" customWidth="1"/>
    <col min="29" max="29" width="18.421875" style="1" bestFit="1" customWidth="1"/>
    <col min="30" max="16384" width="11.421875" style="1" customWidth="1"/>
  </cols>
  <sheetData>
    <row r="4" spans="1:17" ht="18">
      <c r="A4" s="1432" t="s">
        <v>256</v>
      </c>
      <c r="B4" s="1432"/>
      <c r="C4" s="1432"/>
      <c r="D4" s="1432"/>
      <c r="E4" s="1432"/>
      <c r="F4" s="1432"/>
      <c r="G4" s="1432"/>
      <c r="H4" s="1432"/>
      <c r="I4" s="1432"/>
      <c r="J4" s="1432"/>
      <c r="K4" s="1432"/>
      <c r="L4" s="1432"/>
      <c r="M4" s="1432"/>
      <c r="N4" s="1432"/>
      <c r="O4" s="1432"/>
      <c r="P4" s="1432"/>
      <c r="Q4" s="1432"/>
    </row>
    <row r="5" spans="1:17" ht="18.75" thickBot="1">
      <c r="A5" s="1432" t="s">
        <v>396</v>
      </c>
      <c r="B5" s="1432"/>
      <c r="C5" s="1432"/>
      <c r="D5" s="1432"/>
      <c r="E5" s="1432"/>
      <c r="F5" s="1432"/>
      <c r="G5" s="1432"/>
      <c r="H5" s="1432"/>
      <c r="I5" s="1432"/>
      <c r="J5" s="1432"/>
      <c r="K5" s="1432"/>
      <c r="L5" s="1432"/>
      <c r="M5" s="1432"/>
      <c r="N5" s="1432"/>
      <c r="O5" s="1432"/>
      <c r="P5" s="1432"/>
      <c r="Q5" s="1432"/>
    </row>
    <row r="6" spans="1:27" ht="18.75" thickTop="1">
      <c r="A6" s="1432" t="s">
        <v>1760</v>
      </c>
      <c r="B6" s="1432"/>
      <c r="C6" s="1432"/>
      <c r="D6" s="1432"/>
      <c r="E6" s="1432"/>
      <c r="F6" s="1432"/>
      <c r="G6" s="1432"/>
      <c r="H6" s="1432"/>
      <c r="I6" s="1432"/>
      <c r="J6" s="1432"/>
      <c r="K6" s="1432"/>
      <c r="L6" s="1432"/>
      <c r="M6" s="1432"/>
      <c r="N6" s="1432"/>
      <c r="O6" s="1432"/>
      <c r="P6" s="1432"/>
      <c r="Q6" s="1432"/>
      <c r="R6" s="6"/>
      <c r="S6" s="6"/>
      <c r="T6" s="7"/>
      <c r="U6" s="8"/>
      <c r="V6" s="8"/>
      <c r="W6" s="8"/>
      <c r="X6" s="8"/>
      <c r="Y6" s="8"/>
      <c r="Z6" s="8"/>
      <c r="AA6" s="8"/>
    </row>
    <row r="7" spans="1:27" ht="18">
      <c r="A7" s="1432" t="s">
        <v>257</v>
      </c>
      <c r="B7" s="1432"/>
      <c r="C7" s="1432"/>
      <c r="D7" s="1432"/>
      <c r="E7" s="1432"/>
      <c r="F7" s="1432"/>
      <c r="G7" s="1432"/>
      <c r="H7" s="1432"/>
      <c r="I7" s="1432"/>
      <c r="J7" s="1432"/>
      <c r="K7" s="1432"/>
      <c r="L7" s="1432"/>
      <c r="M7" s="1432"/>
      <c r="N7" s="1432"/>
      <c r="O7" s="1432"/>
      <c r="P7" s="1432"/>
      <c r="Q7" s="1432"/>
      <c r="R7" s="521"/>
      <c r="S7" s="521"/>
      <c r="T7" s="522"/>
      <c r="U7" s="2"/>
      <c r="V7" s="2"/>
      <c r="W7" s="2"/>
      <c r="X7" s="2"/>
      <c r="Y7" s="2"/>
      <c r="Z7" s="2"/>
      <c r="AA7" s="2"/>
    </row>
    <row r="8" spans="1:27" ht="16.5" thickBot="1">
      <c r="A8" s="1433"/>
      <c r="B8" s="1433"/>
      <c r="C8" s="1433"/>
      <c r="D8" s="1433"/>
      <c r="E8" s="1433"/>
      <c r="F8" s="1433"/>
      <c r="G8" s="1433"/>
      <c r="H8" s="1433"/>
      <c r="I8" s="1433"/>
      <c r="J8" s="1433"/>
      <c r="K8" s="1433"/>
      <c r="L8" s="1433"/>
      <c r="M8" s="1433"/>
      <c r="N8" s="1433"/>
      <c r="O8" s="1433"/>
      <c r="P8" s="1433"/>
      <c r="Q8" s="1433"/>
      <c r="R8" s="1433"/>
      <c r="S8" s="1433"/>
      <c r="T8" s="1433"/>
      <c r="U8" s="520"/>
      <c r="V8" s="2"/>
      <c r="W8" s="2"/>
      <c r="X8" s="2"/>
      <c r="Y8" s="2"/>
      <c r="Z8" s="2"/>
      <c r="AA8" s="2"/>
    </row>
    <row r="9" spans="1:27" ht="12.75">
      <c r="A9" s="530"/>
      <c r="B9" s="531"/>
      <c r="C9" s="531"/>
      <c r="D9" s="531"/>
      <c r="E9" s="531"/>
      <c r="F9" s="531"/>
      <c r="G9" s="531"/>
      <c r="H9" s="531"/>
      <c r="I9" s="531"/>
      <c r="J9" s="531"/>
      <c r="K9" s="531"/>
      <c r="L9" s="531"/>
      <c r="M9" s="531"/>
      <c r="N9" s="531"/>
      <c r="O9" s="531"/>
      <c r="P9" s="531"/>
      <c r="Q9" s="532"/>
      <c r="R9" s="525" t="s">
        <v>258</v>
      </c>
      <c r="S9" s="524"/>
      <c r="T9" s="523"/>
      <c r="U9" s="2"/>
      <c r="V9" s="2"/>
      <c r="W9" s="2"/>
      <c r="X9" s="2"/>
      <c r="Y9" s="2"/>
      <c r="Z9" s="2"/>
      <c r="AA9" s="2"/>
    </row>
    <row r="10" spans="1:27" ht="12.75">
      <c r="A10" s="1431" t="s">
        <v>259</v>
      </c>
      <c r="B10" s="536" t="s">
        <v>260</v>
      </c>
      <c r="C10" s="537">
        <f>+B10+1</f>
        <v>2010</v>
      </c>
      <c r="D10" s="537">
        <f aca="true" t="shared" si="0" ref="D10:L10">+C10+1</f>
        <v>2011</v>
      </c>
      <c r="E10" s="537">
        <f>+D10+2</f>
        <v>2013</v>
      </c>
      <c r="F10" s="537">
        <f t="shared" si="0"/>
        <v>2014</v>
      </c>
      <c r="G10" s="537">
        <f t="shared" si="0"/>
        <v>2015</v>
      </c>
      <c r="H10" s="537">
        <f t="shared" si="0"/>
        <v>2016</v>
      </c>
      <c r="I10" s="537">
        <f t="shared" si="0"/>
        <v>2017</v>
      </c>
      <c r="J10" s="537">
        <f t="shared" si="0"/>
        <v>2018</v>
      </c>
      <c r="K10" s="537">
        <f t="shared" si="0"/>
        <v>2019</v>
      </c>
      <c r="L10" s="537">
        <f t="shared" si="0"/>
        <v>2020</v>
      </c>
      <c r="M10" s="537">
        <f>+L10+1</f>
        <v>2021</v>
      </c>
      <c r="N10" s="537">
        <f>+M10+1</f>
        <v>2022</v>
      </c>
      <c r="O10" s="537">
        <f>+N10+1</f>
        <v>2023</v>
      </c>
      <c r="P10" s="537">
        <f>+O10+1</f>
        <v>2024</v>
      </c>
      <c r="Q10" s="538" t="s">
        <v>252</v>
      </c>
      <c r="R10" s="526"/>
      <c r="S10" s="10">
        <f>+R10+1</f>
        <v>1</v>
      </c>
      <c r="T10" s="11">
        <v>2008</v>
      </c>
      <c r="U10" s="11">
        <v>2009</v>
      </c>
      <c r="V10" s="11">
        <v>2010</v>
      </c>
      <c r="W10" s="11">
        <v>2011</v>
      </c>
      <c r="X10" s="11">
        <v>2012</v>
      </c>
      <c r="Y10" s="11">
        <v>2013</v>
      </c>
      <c r="Z10" s="11">
        <v>2014</v>
      </c>
      <c r="AA10" s="12">
        <v>2015</v>
      </c>
    </row>
    <row r="11" spans="1:27" s="17" customFormat="1" ht="12.75" hidden="1">
      <c r="A11" s="1431"/>
      <c r="B11" s="539"/>
      <c r="C11" s="540"/>
      <c r="D11" s="540"/>
      <c r="E11" s="540"/>
      <c r="F11" s="540"/>
      <c r="G11" s="540"/>
      <c r="H11" s="540"/>
      <c r="I11" s="540"/>
      <c r="J11" s="540"/>
      <c r="K11" s="540"/>
      <c r="L11" s="540"/>
      <c r="M11" s="540"/>
      <c r="N11" s="540"/>
      <c r="O11" s="540"/>
      <c r="P11" s="540"/>
      <c r="Q11" s="541"/>
      <c r="R11" s="527" t="s">
        <v>261</v>
      </c>
      <c r="S11" s="318">
        <v>0.04</v>
      </c>
      <c r="T11" s="319">
        <v>0.035</v>
      </c>
      <c r="U11" s="319">
        <v>0.03</v>
      </c>
      <c r="V11" s="319">
        <v>0.03</v>
      </c>
      <c r="W11" s="319">
        <v>0.03</v>
      </c>
      <c r="X11" s="319">
        <v>0.03</v>
      </c>
      <c r="Y11" s="319">
        <v>0.03</v>
      </c>
      <c r="Z11" s="319">
        <v>0.03</v>
      </c>
      <c r="AA11" s="320">
        <v>0.03</v>
      </c>
    </row>
    <row r="12" spans="1:29" ht="40.5">
      <c r="A12" s="542" t="s">
        <v>262</v>
      </c>
      <c r="B12" s="543">
        <f>B13+B19+B20+B21</f>
        <v>177781141540</v>
      </c>
      <c r="C12" s="543">
        <f>C13+C19+C20+C21</f>
        <v>263908038487</v>
      </c>
      <c r="D12" s="543" t="e">
        <f aca="true" t="shared" si="1" ref="D12:N12">D13+D19+D20+D21</f>
        <v>#REF!</v>
      </c>
      <c r="E12" s="543">
        <f t="shared" si="1"/>
        <v>333362423919.61</v>
      </c>
      <c r="F12" s="543">
        <f t="shared" si="1"/>
        <v>41471348158.09</v>
      </c>
      <c r="G12" s="543">
        <f t="shared" si="1"/>
        <v>42874468602.8327</v>
      </c>
      <c r="H12" s="543">
        <f t="shared" si="1"/>
        <v>44160702660.91768</v>
      </c>
      <c r="I12" s="543">
        <f t="shared" si="1"/>
        <v>45485523740.74522</v>
      </c>
      <c r="J12" s="543">
        <f t="shared" si="1"/>
        <v>46850089452.96757</v>
      </c>
      <c r="K12" s="543">
        <f t="shared" si="1"/>
        <v>48255592136.556595</v>
      </c>
      <c r="L12" s="543">
        <f t="shared" si="1"/>
        <v>49703259900.6533</v>
      </c>
      <c r="M12" s="543">
        <f>M13+M19+M20+M21</f>
        <v>51176446913.22496</v>
      </c>
      <c r="N12" s="543">
        <f t="shared" si="1"/>
        <v>52711740320.62172</v>
      </c>
      <c r="O12" s="543">
        <f>O13+O19+O20+O21</f>
        <v>54291969040.46431</v>
      </c>
      <c r="P12" s="543">
        <f>P13+P19+P20+P21</f>
        <v>55920728111.67823</v>
      </c>
      <c r="Q12" s="544">
        <f>SUM(E12:P12)</f>
        <v>866264292958.3623</v>
      </c>
      <c r="R12" s="528"/>
      <c r="S12" s="9"/>
      <c r="T12" s="9"/>
      <c r="U12" s="9"/>
      <c r="V12" s="9"/>
      <c r="W12" s="9"/>
      <c r="X12" s="9"/>
      <c r="Y12" s="9"/>
      <c r="Z12" s="9"/>
      <c r="AA12" s="9"/>
      <c r="AC12" s="317"/>
    </row>
    <row r="13" spans="1:27" ht="27">
      <c r="A13" s="542" t="s">
        <v>263</v>
      </c>
      <c r="B13" s="543">
        <f>+B14+B15+B16+B17</f>
        <v>4487608426</v>
      </c>
      <c r="C13" s="543">
        <f>+C14+C15+C16+C17+C18+C19</f>
        <v>7943854340</v>
      </c>
      <c r="D13" s="543" t="e">
        <f>+D14+D15+D16+D17+D18+D19</f>
        <v>#REF!</v>
      </c>
      <c r="E13" s="543">
        <f>+E14+E15+E16+E17+E18</f>
        <v>8804418508.61</v>
      </c>
      <c r="F13" s="543">
        <f>+F14+F15+F16+F17+F18</f>
        <v>9833972835.55432</v>
      </c>
      <c r="G13" s="543">
        <f>+G14+G15+G16+G17+G18</f>
        <v>9833972835.55432</v>
      </c>
      <c r="H13" s="543">
        <f aca="true" t="shared" si="2" ref="H13:P13">+H14+H15+H16+H17+H18</f>
        <v>9892092020.620949</v>
      </c>
      <c r="I13" s="543">
        <f t="shared" si="2"/>
        <v>10188854781.239578</v>
      </c>
      <c r="J13" s="543">
        <f t="shared" si="2"/>
        <v>10494520424.676764</v>
      </c>
      <c r="K13" s="543">
        <f t="shared" si="2"/>
        <v>10809356037.41707</v>
      </c>
      <c r="L13" s="543">
        <f t="shared" si="2"/>
        <v>11133636718.539581</v>
      </c>
      <c r="M13" s="543">
        <f t="shared" si="2"/>
        <v>11467645820.095766</v>
      </c>
      <c r="N13" s="543">
        <f t="shared" si="2"/>
        <v>11811675194.698645</v>
      </c>
      <c r="O13" s="543">
        <f t="shared" si="2"/>
        <v>12166025450.539602</v>
      </c>
      <c r="P13" s="543">
        <f t="shared" si="2"/>
        <v>12531006214.055786</v>
      </c>
      <c r="Q13" s="544">
        <f aca="true" t="shared" si="3" ref="Q13:Q20">SUM(E13:P13)</f>
        <v>128967176841.60237</v>
      </c>
      <c r="R13" s="528"/>
      <c r="S13" s="9"/>
      <c r="T13" s="9"/>
      <c r="U13" s="9"/>
      <c r="V13" s="9"/>
      <c r="W13" s="9"/>
      <c r="X13" s="9"/>
      <c r="Y13" s="9"/>
      <c r="Z13" s="9"/>
      <c r="AA13" s="9"/>
    </row>
    <row r="14" spans="1:27" ht="24.75" customHeight="1">
      <c r="A14" s="545" t="s">
        <v>264</v>
      </c>
      <c r="B14" s="546">
        <v>1543320302</v>
      </c>
      <c r="C14" s="547">
        <f>+'FUNCIONAMIENTO 2014'!D8</f>
        <v>2641978082</v>
      </c>
      <c r="D14" s="547" t="e">
        <f>+'FUNCIONAMIENTO 2014'!#REF!</f>
        <v>#REF!</v>
      </c>
      <c r="E14" s="547">
        <f>+'FUNCIONAMIENTO 2014'!E8</f>
        <v>3599671319</v>
      </c>
      <c r="F14" s="547">
        <f>+'FUNCIONAMIENTO 2014'!G8</f>
        <v>4664490600</v>
      </c>
      <c r="G14" s="547">
        <f>+'FUNCIONAMIENTO 2014'!G8</f>
        <v>4664490600</v>
      </c>
      <c r="H14" s="547">
        <f>+'FUNCIONAMIENTO 2014'!H8</f>
        <v>4804425318</v>
      </c>
      <c r="I14" s="547">
        <f>+'FUNCIONAMIENTO 2014'!I8</f>
        <v>4948558077.54</v>
      </c>
      <c r="J14" s="547">
        <f>+'FUNCIONAMIENTO 2014'!J8</f>
        <v>5097014819.8661995</v>
      </c>
      <c r="K14" s="547">
        <f>+'FUNCIONAMIENTO 2014'!K8</f>
        <v>5249925264.462187</v>
      </c>
      <c r="L14" s="547">
        <f>+'FUNCIONAMIENTO 2014'!L8</f>
        <v>5407423022.396051</v>
      </c>
      <c r="M14" s="547">
        <f>+'FUNCIONAMIENTO 2014'!M8</f>
        <v>5569645713.067932</v>
      </c>
      <c r="N14" s="547">
        <f>+'FUNCIONAMIENTO 2014'!N8</f>
        <v>5736735084.459971</v>
      </c>
      <c r="O14" s="547">
        <f>+'FUNCIONAMIENTO 2014'!O8</f>
        <v>5908837136.993771</v>
      </c>
      <c r="P14" s="547">
        <f>+'FUNCIONAMIENTO 2014'!P8</f>
        <v>6086102251.103582</v>
      </c>
      <c r="Q14" s="544">
        <f t="shared" si="3"/>
        <v>61737319206.88969</v>
      </c>
      <c r="R14" s="528"/>
      <c r="S14" s="9"/>
      <c r="T14" s="9"/>
      <c r="U14" s="9"/>
      <c r="V14" s="9"/>
      <c r="W14" s="9"/>
      <c r="X14" s="9"/>
      <c r="Y14" s="9"/>
      <c r="Z14" s="9"/>
      <c r="AA14" s="9"/>
    </row>
    <row r="15" spans="1:27" ht="12.75">
      <c r="A15" s="545" t="s">
        <v>265</v>
      </c>
      <c r="B15" s="546">
        <f>1859520615+343250400-10</f>
        <v>2202771005</v>
      </c>
      <c r="C15" s="547">
        <f>+'FUNCIONAMIENTO 2014'!D45</f>
        <v>2601868154</v>
      </c>
      <c r="D15" s="547" t="e">
        <f>+'FUNCIONAMIENTO 2014'!#REF!</f>
        <v>#REF!</v>
      </c>
      <c r="E15" s="547">
        <f>+'FUNCIONAMIENTO 2014'!E45</f>
        <v>3575240880</v>
      </c>
      <c r="F15" s="547">
        <f>+'FUNCIONAMIENTO 2014'!G45</f>
        <v>3716405750</v>
      </c>
      <c r="G15" s="547">
        <f>+'FUNCIONAMIENTO 2014'!G45</f>
        <v>3716405750</v>
      </c>
      <c r="H15" s="547">
        <f>+'FUNCIONAMIENTO 2014'!H45</f>
        <v>3590997922.5</v>
      </c>
      <c r="I15" s="547">
        <f>+'FUNCIONAMIENTO 2014'!I45</f>
        <v>3698727860.175</v>
      </c>
      <c r="J15" s="547">
        <f>+'FUNCIONAMIENTO 2014'!J45</f>
        <v>3809689695.98025</v>
      </c>
      <c r="K15" s="547">
        <f>+'FUNCIONAMIENTO 2014'!K45</f>
        <v>3923980386.859658</v>
      </c>
      <c r="L15" s="547">
        <f>+'FUNCIONAMIENTO 2014'!L45</f>
        <v>4041699798.4654474</v>
      </c>
      <c r="M15" s="547">
        <f>+'FUNCIONAMIENTO 2014'!M45</f>
        <v>4162950792.419411</v>
      </c>
      <c r="N15" s="547">
        <f>+'FUNCIONAMIENTO 2014'!N45</f>
        <v>4287839316.1919937</v>
      </c>
      <c r="O15" s="547">
        <f>+'FUNCIONAMIENTO 2014'!O45</f>
        <v>4416474495.677753</v>
      </c>
      <c r="P15" s="547">
        <f>+'FUNCIONAMIENTO 2014'!P45</f>
        <v>4548968730.548087</v>
      </c>
      <c r="Q15" s="544">
        <f t="shared" si="3"/>
        <v>47489381378.817604</v>
      </c>
      <c r="R15" s="528"/>
      <c r="S15" s="9"/>
      <c r="T15" s="9"/>
      <c r="U15" s="9"/>
      <c r="V15" s="9"/>
      <c r="W15" s="9"/>
      <c r="X15" s="9"/>
      <c r="Y15" s="9"/>
      <c r="Z15" s="9"/>
      <c r="AA15" s="9"/>
    </row>
    <row r="16" spans="1:27" ht="24">
      <c r="A16" s="545" t="s">
        <v>266</v>
      </c>
      <c r="B16" s="546">
        <f>741517119-B17</f>
        <v>450817914</v>
      </c>
      <c r="C16" s="547">
        <f>+'FUNCIONAMIENTO 2014'!D6</f>
        <v>2104062911</v>
      </c>
      <c r="D16" s="547" t="e">
        <f>+'FUNCIONAMIENTO 2014'!#REF!</f>
        <v>#REF!</v>
      </c>
      <c r="E16" s="547">
        <f>+'FUNCIONAMIENTO 2014'!E95</f>
        <v>195500000</v>
      </c>
      <c r="F16" s="547">
        <f>+'FUNCIONAMIENTO 2014'!G95</f>
        <v>170000000</v>
      </c>
      <c r="G16" s="547">
        <f>+'FUNCIONAMIENTO 2014'!G95</f>
        <v>170000000</v>
      </c>
      <c r="H16" s="547">
        <f>+'FUNCIONAMIENTO 2014'!H95</f>
        <v>175100000</v>
      </c>
      <c r="I16" s="547">
        <f>+'FUNCIONAMIENTO 2014'!I95</f>
        <v>180353000</v>
      </c>
      <c r="J16" s="547">
        <f>+'FUNCIONAMIENTO 2014'!J95</f>
        <v>185763590</v>
      </c>
      <c r="K16" s="547">
        <f>+'FUNCIONAMIENTO 2014'!K95</f>
        <v>191336497.70000002</v>
      </c>
      <c r="L16" s="547">
        <f>+'FUNCIONAMIENTO 2014'!L95</f>
        <v>197076592.631</v>
      </c>
      <c r="M16" s="547">
        <f>+'FUNCIONAMIENTO 2014'!M95</f>
        <v>202988890.40993002</v>
      </c>
      <c r="N16" s="547">
        <f>+'FUNCIONAMIENTO 2014'!N95</f>
        <v>209078557.12222794</v>
      </c>
      <c r="O16" s="547">
        <f>+'FUNCIONAMIENTO 2014'!O95</f>
        <v>215350913.8358948</v>
      </c>
      <c r="P16" s="547">
        <f>+'FUNCIONAMIENTO 2014'!P95</f>
        <v>221811441.25097165</v>
      </c>
      <c r="Q16" s="544">
        <f t="shared" si="3"/>
        <v>2314359482.9500246</v>
      </c>
      <c r="R16" s="528"/>
      <c r="S16" s="9"/>
      <c r="T16" s="9"/>
      <c r="U16" s="9"/>
      <c r="V16" s="9"/>
      <c r="W16" s="9"/>
      <c r="X16" s="9"/>
      <c r="Y16" s="9"/>
      <c r="Z16" s="9"/>
      <c r="AA16" s="9"/>
    </row>
    <row r="17" spans="1:27" ht="24">
      <c r="A17" s="548" t="s">
        <v>267</v>
      </c>
      <c r="B17" s="543">
        <v>290699205</v>
      </c>
      <c r="C17" s="549">
        <f>+'FUNCIONAMIENTO 2014'!D90</f>
        <v>417445193</v>
      </c>
      <c r="D17" s="549" t="e">
        <f>+'FUNCIONAMIENTO 2014'!#REF!</f>
        <v>#REF!</v>
      </c>
      <c r="E17" s="549">
        <f>+'FUNCIONAMIENTO 2014'!E90</f>
        <v>563597907</v>
      </c>
      <c r="F17" s="549">
        <f>+'FUNCIONAMIENTO 2014'!G90</f>
        <v>602382973.998</v>
      </c>
      <c r="G17" s="549">
        <f>+'FUNCIONAMIENTO 2014'!G90</f>
        <v>602382973.998</v>
      </c>
      <c r="H17" s="549">
        <f>+'FUNCIONAMIENTO 2014'!H90</f>
        <v>620454463.2179401</v>
      </c>
      <c r="I17" s="549">
        <f>+'FUNCIONAMIENTO 2014'!I90</f>
        <v>639068097.1144782</v>
      </c>
      <c r="J17" s="549">
        <f>+'FUNCIONAMIENTO 2014'!J90</f>
        <v>658240140.0279126</v>
      </c>
      <c r="K17" s="549">
        <f>+'FUNCIONAMIENTO 2014'!K90</f>
        <v>677987344.22875</v>
      </c>
      <c r="L17" s="549">
        <f>+'FUNCIONAMIENTO 2014'!L90</f>
        <v>698326964.5556126</v>
      </c>
      <c r="M17" s="549">
        <f>+'FUNCIONAMIENTO 2014'!M90</f>
        <v>719276773.492281</v>
      </c>
      <c r="N17" s="549">
        <f>+'FUNCIONAMIENTO 2014'!N90</f>
        <v>740855076.6970494</v>
      </c>
      <c r="O17" s="549">
        <f>+'FUNCIONAMIENTO 2014'!O90</f>
        <v>763080728.9979609</v>
      </c>
      <c r="P17" s="549">
        <f>+'FUNCIONAMIENTO 2014'!P90</f>
        <v>785973150.8678998</v>
      </c>
      <c r="Q17" s="544">
        <f t="shared" si="3"/>
        <v>8071626594.195885</v>
      </c>
      <c r="R17" s="528"/>
      <c r="S17" s="9"/>
      <c r="T17" s="9"/>
      <c r="U17" s="9"/>
      <c r="V17" s="9"/>
      <c r="W17" s="9"/>
      <c r="X17" s="9"/>
      <c r="Y17" s="9"/>
      <c r="Z17" s="9"/>
      <c r="AA17" s="9"/>
    </row>
    <row r="18" spans="1:27" ht="36">
      <c r="A18" s="548" t="s">
        <v>488</v>
      </c>
      <c r="B18" s="543"/>
      <c r="C18" s="549">
        <f>+'FUNCIONAMIENTO 2014'!D95</f>
        <v>178500000</v>
      </c>
      <c r="D18" s="549" t="e">
        <f>+'FUNCIONAMIENTO 2014'!#REF!</f>
        <v>#REF!</v>
      </c>
      <c r="E18" s="549">
        <f>+'FUNCIONAMIENTO 2014'!E102</f>
        <v>870408402.61</v>
      </c>
      <c r="F18" s="547">
        <f>+'FUNCIONAMIENTO 2014'!G102</f>
        <v>680693511.55632</v>
      </c>
      <c r="G18" s="547">
        <f>+'FUNCIONAMIENTO 2014'!G102</f>
        <v>680693511.55632</v>
      </c>
      <c r="H18" s="547">
        <f>+'FUNCIONAMIENTO 2014'!H102</f>
        <v>701114316.9030097</v>
      </c>
      <c r="I18" s="547">
        <f>+'FUNCIONAMIENTO 2014'!I102</f>
        <v>722147746.4101</v>
      </c>
      <c r="J18" s="547">
        <f>+'FUNCIONAMIENTO 2014'!J102</f>
        <v>743812178.802403</v>
      </c>
      <c r="K18" s="547">
        <f>+'FUNCIONAMIENTO 2014'!K102</f>
        <v>766126544.166475</v>
      </c>
      <c r="L18" s="547">
        <f>+'FUNCIONAMIENTO 2014'!L102</f>
        <v>789110340.4914693</v>
      </c>
      <c r="M18" s="547">
        <f>+'FUNCIONAMIENTO 2014'!M102</f>
        <v>812783650.7062134</v>
      </c>
      <c r="N18" s="547">
        <f>+'FUNCIONAMIENTO 2014'!N102</f>
        <v>837167160.2273997</v>
      </c>
      <c r="O18" s="547">
        <f>+'FUNCIONAMIENTO 2014'!O102</f>
        <v>862282175.0342218</v>
      </c>
      <c r="P18" s="547">
        <f>+'FUNCIONAMIENTO 2014'!P102</f>
        <v>888150640.2852484</v>
      </c>
      <c r="Q18" s="544">
        <f t="shared" si="3"/>
        <v>9354490178.74918</v>
      </c>
      <c r="R18" s="528"/>
      <c r="S18" s="9"/>
      <c r="T18" s="9"/>
      <c r="U18" s="9"/>
      <c r="V18" s="9"/>
      <c r="W18" s="9"/>
      <c r="X18" s="9"/>
      <c r="Y18" s="9"/>
      <c r="Z18" s="9"/>
      <c r="AA18" s="9"/>
    </row>
    <row r="19" spans="1:27" ht="24">
      <c r="A19" s="548" t="s">
        <v>268</v>
      </c>
      <c r="B19" s="543"/>
      <c r="C19" s="549"/>
      <c r="D19" s="549">
        <f>+C19*((1+T$11))</f>
        <v>0</v>
      </c>
      <c r="E19" s="549">
        <v>0</v>
      </c>
      <c r="F19" s="549"/>
      <c r="G19" s="547"/>
      <c r="H19" s="547"/>
      <c r="I19" s="547"/>
      <c r="J19" s="547"/>
      <c r="K19" s="547"/>
      <c r="L19" s="547"/>
      <c r="M19" s="547"/>
      <c r="N19" s="547"/>
      <c r="O19" s="547"/>
      <c r="P19" s="547"/>
      <c r="Q19" s="544">
        <f t="shared" si="3"/>
        <v>0</v>
      </c>
      <c r="R19" s="528"/>
      <c r="S19" s="9"/>
      <c r="T19" s="9"/>
      <c r="U19" s="9"/>
      <c r="V19" s="9"/>
      <c r="W19" s="9"/>
      <c r="X19" s="9"/>
      <c r="Y19" s="9"/>
      <c r="Z19" s="9"/>
      <c r="AA19" s="9"/>
    </row>
    <row r="20" spans="1:27" ht="12.75">
      <c r="A20" s="548" t="s">
        <v>269</v>
      </c>
      <c r="B20" s="550">
        <f>+B30</f>
        <v>173293533114</v>
      </c>
      <c r="C20" s="549">
        <f>+C29</f>
        <v>255964184147</v>
      </c>
      <c r="D20" s="549" t="e">
        <f>+D29</f>
        <v>#REF!</v>
      </c>
      <c r="E20" s="549">
        <f aca="true" t="shared" si="4" ref="E20:N20">+E29</f>
        <v>324558005411</v>
      </c>
      <c r="F20" s="549">
        <f t="shared" si="4"/>
        <v>31637375322.535675</v>
      </c>
      <c r="G20" s="549">
        <f t="shared" si="4"/>
        <v>33040495767.27838</v>
      </c>
      <c r="H20" s="549">
        <f t="shared" si="4"/>
        <v>34268610640.29673</v>
      </c>
      <c r="I20" s="549">
        <f t="shared" si="4"/>
        <v>35296668959.50564</v>
      </c>
      <c r="J20" s="549">
        <f t="shared" si="4"/>
        <v>36355569028.2908</v>
      </c>
      <c r="K20" s="549">
        <f t="shared" si="4"/>
        <v>37446236099.13953</v>
      </c>
      <c r="L20" s="549">
        <f t="shared" si="4"/>
        <v>38569623182.113716</v>
      </c>
      <c r="M20" s="549">
        <f>+M29</f>
        <v>39708801093.129196</v>
      </c>
      <c r="N20" s="549">
        <f t="shared" si="4"/>
        <v>40900065125.92307</v>
      </c>
      <c r="O20" s="549">
        <f>+O29</f>
        <v>42125943589.924706</v>
      </c>
      <c r="P20" s="549">
        <f>+P29</f>
        <v>43389721897.622444</v>
      </c>
      <c r="Q20" s="544">
        <f t="shared" si="3"/>
        <v>737297116116.7599</v>
      </c>
      <c r="R20" s="528"/>
      <c r="S20" s="9"/>
      <c r="T20" s="9"/>
      <c r="U20" s="9"/>
      <c r="V20" s="9"/>
      <c r="W20" s="9"/>
      <c r="X20" s="9"/>
      <c r="Y20" s="9"/>
      <c r="Z20" s="9"/>
      <c r="AA20" s="9"/>
    </row>
    <row r="21" spans="1:27" ht="12.75">
      <c r="A21" s="548" t="s">
        <v>270</v>
      </c>
      <c r="B21" s="543"/>
      <c r="C21" s="549"/>
      <c r="D21" s="549"/>
      <c r="E21" s="549"/>
      <c r="F21" s="549"/>
      <c r="G21" s="549"/>
      <c r="H21" s="549"/>
      <c r="I21" s="549"/>
      <c r="J21" s="549"/>
      <c r="K21" s="549"/>
      <c r="L21" s="549"/>
      <c r="M21" s="549"/>
      <c r="N21" s="549"/>
      <c r="O21" s="549"/>
      <c r="P21" s="549"/>
      <c r="Q21" s="544">
        <f>SUM(C21:L21)</f>
        <v>0</v>
      </c>
      <c r="R21" s="528"/>
      <c r="S21" s="9"/>
      <c r="T21" s="9"/>
      <c r="U21" s="9"/>
      <c r="V21" s="9"/>
      <c r="W21" s="9"/>
      <c r="X21" s="9"/>
      <c r="Y21" s="9"/>
      <c r="Z21" s="9"/>
      <c r="AA21" s="9"/>
    </row>
    <row r="22" spans="1:27" ht="13.5" thickBot="1">
      <c r="A22" s="533"/>
      <c r="B22" s="53"/>
      <c r="C22" s="534"/>
      <c r="D22" s="534"/>
      <c r="E22" s="534"/>
      <c r="F22" s="534"/>
      <c r="G22" s="534"/>
      <c r="H22" s="534"/>
      <c r="I22" s="534"/>
      <c r="J22" s="534"/>
      <c r="K22" s="534"/>
      <c r="L22" s="534"/>
      <c r="M22" s="534"/>
      <c r="N22" s="534"/>
      <c r="O22" s="534"/>
      <c r="P22" s="534"/>
      <c r="Q22" s="535">
        <f>SUM(C22:L22)</f>
        <v>0</v>
      </c>
      <c r="R22" s="529"/>
      <c r="S22" s="15"/>
      <c r="T22" s="15"/>
      <c r="U22" s="15"/>
      <c r="V22" s="15"/>
      <c r="W22" s="15"/>
      <c r="X22" s="15"/>
      <c r="Y22" s="15"/>
      <c r="Z22" s="15"/>
      <c r="AA22" s="15"/>
    </row>
    <row r="23" ht="12.75">
      <c r="A23" s="1" t="s">
        <v>378</v>
      </c>
    </row>
    <row r="24" spans="1:17" ht="19.5" customHeight="1" hidden="1">
      <c r="A24" s="479" t="s">
        <v>498</v>
      </c>
      <c r="B24" s="479" t="e">
        <f>+'INGRESOS PROYECTADOS MARCO FISC'!#REF!</f>
        <v>#REF!</v>
      </c>
      <c r="C24" s="269">
        <f>+'INGRESOS PROYECTADOS MARCO FISC'!C7</f>
        <v>263908038487</v>
      </c>
      <c r="D24" s="269">
        <f>+'INGRESOS PROYECTADOS MARCO FISC'!D7</f>
        <v>318447900467</v>
      </c>
      <c r="E24" s="273">
        <f>+'INGRESOS PROYECTADOS MARCO FISC'!E7</f>
        <v>333362423919.58997</v>
      </c>
      <c r="F24" s="273">
        <f>+'INGRESOS PROYECTADOS MARCO FISC'!F7</f>
        <v>41471348158.09</v>
      </c>
      <c r="G24" s="273">
        <f>+'INGRESOS PROYECTADOS MARCO FISC'!G7</f>
        <v>42874468602.8327</v>
      </c>
      <c r="H24" s="273">
        <f>+'INGRESOS PROYECTADOS MARCO FISC'!H7</f>
        <v>44160702660.91768</v>
      </c>
      <c r="I24" s="273">
        <f>+'INGRESOS PROYECTADOS MARCO FISC'!I7</f>
        <v>45485523740.74522</v>
      </c>
      <c r="J24" s="273">
        <f>+'INGRESOS PROYECTADOS MARCO FISC'!J7</f>
        <v>46850089452.96757</v>
      </c>
      <c r="K24" s="273">
        <f>+'INGRESOS PROYECTADOS MARCO FISC'!K7</f>
        <v>48255592136.556595</v>
      </c>
      <c r="L24" s="273">
        <f>+'INGRESOS PROYECTADOS MARCO FISC'!L7</f>
        <v>49703259900.6533</v>
      </c>
      <c r="M24" s="273">
        <f>+'INGRESOS PROYECTADOS MARCO FISC'!M7</f>
        <v>51176446913.22496</v>
      </c>
      <c r="N24" s="273">
        <f>+'INGRESOS PROYECTADOS MARCO FISC'!N7</f>
        <v>52711740320.62172</v>
      </c>
      <c r="O24" s="273">
        <f>+'INGRESOS PROYECTADOS MARCO FISC'!O7</f>
        <v>54291969040.46431</v>
      </c>
      <c r="P24" s="273">
        <f>+'INGRESOS PROYECTADOS MARCO FISC'!P7</f>
        <v>55920728111.67823</v>
      </c>
      <c r="Q24" s="273">
        <f>SUM(E24:P24)</f>
        <v>866264292958.3423</v>
      </c>
    </row>
    <row r="25" spans="1:16" ht="24.75" customHeight="1" hidden="1">
      <c r="A25" s="16"/>
      <c r="B25" s="17" t="e">
        <f aca="true" t="shared" si="5" ref="B25:G25">+B24-B12</f>
        <v>#REF!</v>
      </c>
      <c r="C25" s="17">
        <f t="shared" si="5"/>
        <v>0</v>
      </c>
      <c r="D25" s="17" t="e">
        <f t="shared" si="5"/>
        <v>#REF!</v>
      </c>
      <c r="E25" s="517">
        <f t="shared" si="5"/>
        <v>-0.02001953125</v>
      </c>
      <c r="F25" s="517">
        <f t="shared" si="5"/>
        <v>0</v>
      </c>
      <c r="G25" s="517">
        <f t="shared" si="5"/>
        <v>0</v>
      </c>
      <c r="H25" s="517">
        <f aca="true" t="shared" si="6" ref="H25:N25">+H24-H12</f>
        <v>0</v>
      </c>
      <c r="I25" s="517">
        <f t="shared" si="6"/>
        <v>0</v>
      </c>
      <c r="J25" s="517">
        <f t="shared" si="6"/>
        <v>0</v>
      </c>
      <c r="K25" s="517">
        <f t="shared" si="6"/>
        <v>0</v>
      </c>
      <c r="L25" s="517">
        <f t="shared" si="6"/>
        <v>0</v>
      </c>
      <c r="M25" s="517">
        <f>+M24-M12</f>
        <v>0</v>
      </c>
      <c r="N25" s="517">
        <f t="shared" si="6"/>
        <v>0</v>
      </c>
      <c r="O25" s="517">
        <f>+O24-O12</f>
        <v>0</v>
      </c>
      <c r="P25" s="517">
        <f>+P24-P12</f>
        <v>0</v>
      </c>
    </row>
    <row r="26" spans="1:3" ht="12.75" hidden="1">
      <c r="A26" s="17"/>
      <c r="B26" s="17"/>
      <c r="C26" s="50"/>
    </row>
    <row r="27" spans="1:17" s="17" customFormat="1" ht="12.75" hidden="1">
      <c r="A27" s="273" t="s">
        <v>498</v>
      </c>
      <c r="B27" s="17" t="e">
        <f>+B24</f>
        <v>#REF!</v>
      </c>
      <c r="C27" s="17">
        <f>+C24</f>
        <v>263908038487</v>
      </c>
      <c r="D27" s="17">
        <f>+D24</f>
        <v>318447900467</v>
      </c>
      <c r="E27" s="517">
        <f>+E24</f>
        <v>333362423919.58997</v>
      </c>
      <c r="F27" s="517">
        <f>+'INGRESOS PROYECTADOS MARCO FISC'!F7</f>
        <v>41471348158.09</v>
      </c>
      <c r="G27" s="517">
        <f>+'INGRESOS PROYECTADOS MARCO FISC'!G7</f>
        <v>42874468602.8327</v>
      </c>
      <c r="H27" s="517">
        <f>+'INGRESOS PROYECTADOS MARCO FISC'!H7</f>
        <v>44160702660.91768</v>
      </c>
      <c r="I27" s="517">
        <f>+'INGRESOS PROYECTADOS MARCO FISC'!I7</f>
        <v>45485523740.74522</v>
      </c>
      <c r="J27" s="517">
        <f>+'INGRESOS PROYECTADOS MARCO FISC'!J7</f>
        <v>46850089452.96757</v>
      </c>
      <c r="K27" s="517">
        <f>+'INGRESOS PROYECTADOS MARCO FISC'!K7</f>
        <v>48255592136.556595</v>
      </c>
      <c r="L27" s="517">
        <f>+'INGRESOS PROYECTADOS MARCO FISC'!L7</f>
        <v>49703259900.6533</v>
      </c>
      <c r="M27" s="517">
        <f>+'INGRESOS PROYECTADOS MARCO FISC'!M7</f>
        <v>51176446913.22496</v>
      </c>
      <c r="N27" s="517">
        <f>+'INGRESOS PROYECTADOS MARCO FISC'!N7</f>
        <v>52711740320.62172</v>
      </c>
      <c r="O27" s="517">
        <f>+'INGRESOS PROYECTADOS MARCO FISC'!O7</f>
        <v>54291969040.46431</v>
      </c>
      <c r="P27" s="517">
        <f>+'INGRESOS PROYECTADOS MARCO FISC'!P7</f>
        <v>55920728111.67823</v>
      </c>
      <c r="Q27" s="273">
        <f>SUM(E27:P27)</f>
        <v>866264292958.3423</v>
      </c>
    </row>
    <row r="28" spans="1:17" s="17" customFormat="1" ht="12.75" hidden="1">
      <c r="A28" s="273" t="s">
        <v>1454</v>
      </c>
      <c r="B28" s="17">
        <f>+B12</f>
        <v>177781141540</v>
      </c>
      <c r="C28" s="17">
        <f>+C13+C19</f>
        <v>7943854340</v>
      </c>
      <c r="D28" s="17" t="e">
        <f>+D13+D19</f>
        <v>#REF!</v>
      </c>
      <c r="E28" s="517">
        <f>+E13+E19</f>
        <v>8804418508.61</v>
      </c>
      <c r="F28" s="517">
        <f>+F13</f>
        <v>9833972835.55432</v>
      </c>
      <c r="G28" s="517">
        <f>+G13</f>
        <v>9833972835.55432</v>
      </c>
      <c r="H28" s="517">
        <f aca="true" t="shared" si="7" ref="H28:P28">+H13</f>
        <v>9892092020.620949</v>
      </c>
      <c r="I28" s="517">
        <f t="shared" si="7"/>
        <v>10188854781.239578</v>
      </c>
      <c r="J28" s="517">
        <f t="shared" si="7"/>
        <v>10494520424.676764</v>
      </c>
      <c r="K28" s="517">
        <f t="shared" si="7"/>
        <v>10809356037.41707</v>
      </c>
      <c r="L28" s="517">
        <f t="shared" si="7"/>
        <v>11133636718.539581</v>
      </c>
      <c r="M28" s="517">
        <f t="shared" si="7"/>
        <v>11467645820.095766</v>
      </c>
      <c r="N28" s="517">
        <f t="shared" si="7"/>
        <v>11811675194.698645</v>
      </c>
      <c r="O28" s="517">
        <f t="shared" si="7"/>
        <v>12166025450.539602</v>
      </c>
      <c r="P28" s="517">
        <f t="shared" si="7"/>
        <v>12531006214.055786</v>
      </c>
      <c r="Q28" s="273">
        <f>SUM(E28:P28)</f>
        <v>128967176841.60237</v>
      </c>
    </row>
    <row r="29" spans="1:17" s="17" customFormat="1" ht="12.75" hidden="1">
      <c r="A29" s="273" t="s">
        <v>281</v>
      </c>
      <c r="B29" s="17" t="e">
        <f>+B27-B28</f>
        <v>#REF!</v>
      </c>
      <c r="C29" s="17">
        <f>+C27-C28</f>
        <v>255964184147</v>
      </c>
      <c r="D29" s="17" t="e">
        <f aca="true" t="shared" si="8" ref="D29:N29">+D27-D28</f>
        <v>#REF!</v>
      </c>
      <c r="E29" s="517">
        <v>324558005411</v>
      </c>
      <c r="F29" s="517">
        <f t="shared" si="8"/>
        <v>31637375322.535675</v>
      </c>
      <c r="G29" s="517">
        <f t="shared" si="8"/>
        <v>33040495767.27838</v>
      </c>
      <c r="H29" s="517">
        <f t="shared" si="8"/>
        <v>34268610640.29673</v>
      </c>
      <c r="I29" s="517">
        <f t="shared" si="8"/>
        <v>35296668959.50564</v>
      </c>
      <c r="J29" s="517">
        <f t="shared" si="8"/>
        <v>36355569028.2908</v>
      </c>
      <c r="K29" s="517">
        <f t="shared" si="8"/>
        <v>37446236099.13953</v>
      </c>
      <c r="L29" s="517">
        <f t="shared" si="8"/>
        <v>38569623182.113716</v>
      </c>
      <c r="M29" s="517">
        <f>+M27-M28</f>
        <v>39708801093.129196</v>
      </c>
      <c r="N29" s="517">
        <f t="shared" si="8"/>
        <v>40900065125.92307</v>
      </c>
      <c r="O29" s="517">
        <f>+O27-O28</f>
        <v>42125943589.924706</v>
      </c>
      <c r="P29" s="517">
        <f>+P27-P28</f>
        <v>43389721897.622444</v>
      </c>
      <c r="Q29" s="273">
        <f>SUM(E29:P29)</f>
        <v>737297116116.7599</v>
      </c>
    </row>
    <row r="30" spans="1:17" s="17" customFormat="1" ht="12.75" hidden="1">
      <c r="A30" s="269" t="s">
        <v>270</v>
      </c>
      <c r="B30" s="17">
        <v>173293533114</v>
      </c>
      <c r="E30" s="517"/>
      <c r="F30" s="517"/>
      <c r="G30" s="517"/>
      <c r="H30" s="517"/>
      <c r="I30" s="517"/>
      <c r="J30" s="517"/>
      <c r="K30" s="517"/>
      <c r="L30" s="517"/>
      <c r="M30" s="517"/>
      <c r="N30" s="517"/>
      <c r="O30" s="517"/>
      <c r="P30" s="517"/>
      <c r="Q30" s="517"/>
    </row>
    <row r="31" spans="5:17" s="17" customFormat="1" ht="12.75">
      <c r="E31" s="517"/>
      <c r="F31" s="517"/>
      <c r="G31" s="517"/>
      <c r="H31" s="517"/>
      <c r="I31" s="517"/>
      <c r="J31" s="517"/>
      <c r="K31" s="517"/>
      <c r="L31" s="517"/>
      <c r="M31" s="517"/>
      <c r="N31" s="517"/>
      <c r="O31" s="517"/>
      <c r="P31" s="517"/>
      <c r="Q31" s="517"/>
    </row>
    <row r="32" spans="5:17" s="17" customFormat="1" ht="12.75">
      <c r="E32" s="517"/>
      <c r="F32" s="517"/>
      <c r="G32" s="517"/>
      <c r="H32" s="517"/>
      <c r="I32" s="517"/>
      <c r="J32" s="517"/>
      <c r="K32" s="517"/>
      <c r="L32" s="517"/>
      <c r="M32" s="517"/>
      <c r="N32" s="517"/>
      <c r="O32" s="517"/>
      <c r="P32" s="517"/>
      <c r="Q32" s="517"/>
    </row>
    <row r="33" spans="5:17" s="17" customFormat="1" ht="12.75">
      <c r="E33" s="517"/>
      <c r="F33" s="517"/>
      <c r="G33" s="517"/>
      <c r="H33" s="517"/>
      <c r="I33" s="517"/>
      <c r="J33" s="517"/>
      <c r="K33" s="517"/>
      <c r="L33" s="517"/>
      <c r="M33" s="517"/>
      <c r="N33" s="517"/>
      <c r="O33" s="517"/>
      <c r="P33" s="517"/>
      <c r="Q33" s="517"/>
    </row>
    <row r="34" spans="5:17" s="17" customFormat="1" ht="12.75">
      <c r="E34" s="517"/>
      <c r="F34" s="517"/>
      <c r="G34" s="517"/>
      <c r="H34" s="517"/>
      <c r="I34" s="517"/>
      <c r="J34" s="517"/>
      <c r="K34" s="517"/>
      <c r="L34" s="517"/>
      <c r="M34" s="517"/>
      <c r="N34" s="517"/>
      <c r="O34" s="517"/>
      <c r="P34" s="517"/>
      <c r="Q34" s="517"/>
    </row>
    <row r="35" spans="5:17" s="17" customFormat="1" ht="12.75">
      <c r="E35" s="517"/>
      <c r="F35" s="517"/>
      <c r="G35" s="517"/>
      <c r="H35" s="517"/>
      <c r="I35" s="517"/>
      <c r="J35" s="517"/>
      <c r="K35" s="517"/>
      <c r="L35" s="517"/>
      <c r="M35" s="517"/>
      <c r="N35" s="517"/>
      <c r="O35" s="517"/>
      <c r="P35" s="517"/>
      <c r="Q35" s="517"/>
    </row>
    <row r="36" spans="1:17" s="17" customFormat="1" ht="13.5" thickBot="1">
      <c r="A36" s="518"/>
      <c r="B36" s="518"/>
      <c r="C36" s="518"/>
      <c r="D36" s="518"/>
      <c r="E36" s="519"/>
      <c r="F36" s="517"/>
      <c r="G36" s="517"/>
      <c r="H36" s="517"/>
      <c r="I36" s="517"/>
      <c r="J36" s="517"/>
      <c r="K36" s="517"/>
      <c r="L36" s="517"/>
      <c r="M36" s="517"/>
      <c r="N36" s="517"/>
      <c r="O36" s="517"/>
      <c r="P36" s="517"/>
      <c r="Q36" s="517"/>
    </row>
    <row r="37" spans="1:17" s="17" customFormat="1" ht="15.75">
      <c r="A37" s="551" t="s">
        <v>1600</v>
      </c>
      <c r="B37" s="552"/>
      <c r="C37" s="552"/>
      <c r="D37" s="552"/>
      <c r="E37" s="552"/>
      <c r="F37" s="517"/>
      <c r="G37" s="517"/>
      <c r="H37" s="517"/>
      <c r="I37" s="517"/>
      <c r="J37" s="517"/>
      <c r="K37" s="517"/>
      <c r="L37" s="517"/>
      <c r="M37" s="517"/>
      <c r="N37" s="517"/>
      <c r="O37" s="517"/>
      <c r="P37" s="517"/>
      <c r="Q37" s="517"/>
    </row>
    <row r="38" spans="1:17" s="17" customFormat="1" ht="15">
      <c r="A38" s="552" t="s">
        <v>1602</v>
      </c>
      <c r="B38" s="552"/>
      <c r="C38" s="552"/>
      <c r="D38" s="552"/>
      <c r="E38" s="552"/>
      <c r="F38" s="517"/>
      <c r="G38" s="517"/>
      <c r="H38" s="517"/>
      <c r="I38" s="517"/>
      <c r="J38" s="517"/>
      <c r="K38" s="517"/>
      <c r="L38" s="517"/>
      <c r="M38" s="517"/>
      <c r="N38" s="517"/>
      <c r="O38" s="517"/>
      <c r="P38" s="517"/>
      <c r="Q38" s="517"/>
    </row>
    <row r="39" spans="5:17" s="17" customFormat="1" ht="12.75">
      <c r="E39" s="517"/>
      <c r="F39" s="517"/>
      <c r="G39" s="517"/>
      <c r="H39" s="517"/>
      <c r="I39" s="517"/>
      <c r="J39" s="517"/>
      <c r="K39" s="517"/>
      <c r="L39" s="517"/>
      <c r="M39" s="517"/>
      <c r="N39" s="517"/>
      <c r="O39" s="517"/>
      <c r="P39" s="517"/>
      <c r="Q39" s="517"/>
    </row>
    <row r="40" spans="5:17" s="17" customFormat="1" ht="12.75">
      <c r="E40" s="517"/>
      <c r="F40" s="517"/>
      <c r="G40" s="517"/>
      <c r="H40" s="517"/>
      <c r="I40" s="517"/>
      <c r="J40" s="517"/>
      <c r="K40" s="517"/>
      <c r="L40" s="517"/>
      <c r="M40" s="517"/>
      <c r="N40" s="517"/>
      <c r="O40" s="517"/>
      <c r="P40" s="517"/>
      <c r="Q40" s="517"/>
    </row>
    <row r="41" spans="5:17" s="17" customFormat="1" ht="12.75">
      <c r="E41" s="517"/>
      <c r="F41" s="517"/>
      <c r="G41" s="517"/>
      <c r="H41" s="517"/>
      <c r="I41" s="517"/>
      <c r="J41" s="517"/>
      <c r="K41" s="517"/>
      <c r="L41" s="517"/>
      <c r="M41" s="517"/>
      <c r="N41" s="517"/>
      <c r="O41" s="517"/>
      <c r="P41" s="517"/>
      <c r="Q41" s="517"/>
    </row>
    <row r="42" spans="1:17" s="17" customFormat="1" ht="13.5" thickBot="1">
      <c r="A42" s="518"/>
      <c r="B42" s="518"/>
      <c r="C42" s="518"/>
      <c r="D42" s="518"/>
      <c r="E42" s="519"/>
      <c r="F42" s="517"/>
      <c r="G42" s="517"/>
      <c r="H42" s="517"/>
      <c r="I42" s="517"/>
      <c r="J42" s="517"/>
      <c r="K42" s="517"/>
      <c r="L42" s="517"/>
      <c r="M42" s="517"/>
      <c r="N42" s="517"/>
      <c r="O42" s="517"/>
      <c r="P42" s="517"/>
      <c r="Q42" s="517"/>
    </row>
    <row r="43" spans="1:17" s="17" customFormat="1" ht="15.75">
      <c r="A43" s="551" t="s">
        <v>1599</v>
      </c>
      <c r="B43" s="552"/>
      <c r="C43" s="552"/>
      <c r="D43" s="552"/>
      <c r="E43" s="552"/>
      <c r="F43" s="517"/>
      <c r="G43" s="517"/>
      <c r="H43" s="517"/>
      <c r="I43" s="517"/>
      <c r="J43" s="517"/>
      <c r="K43" s="517"/>
      <c r="L43" s="517"/>
      <c r="M43" s="517"/>
      <c r="N43" s="517"/>
      <c r="O43" s="517"/>
      <c r="P43" s="517"/>
      <c r="Q43" s="517"/>
    </row>
    <row r="44" spans="1:17" s="17" customFormat="1" ht="15">
      <c r="A44" s="552" t="s">
        <v>1601</v>
      </c>
      <c r="B44" s="552"/>
      <c r="C44" s="552"/>
      <c r="D44" s="552"/>
      <c r="E44" s="552"/>
      <c r="F44" s="517"/>
      <c r="G44" s="517"/>
      <c r="H44" s="517"/>
      <c r="I44" s="517"/>
      <c r="J44" s="517"/>
      <c r="K44" s="517"/>
      <c r="L44" s="517"/>
      <c r="M44" s="517"/>
      <c r="N44" s="517"/>
      <c r="O44" s="517"/>
      <c r="P44" s="517"/>
      <c r="Q44" s="517"/>
    </row>
    <row r="45" spans="5:17" s="17" customFormat="1" ht="12.75">
      <c r="E45" s="517"/>
      <c r="F45" s="517"/>
      <c r="G45" s="517"/>
      <c r="H45" s="517"/>
      <c r="I45" s="517"/>
      <c r="J45" s="517"/>
      <c r="K45" s="517"/>
      <c r="L45" s="517"/>
      <c r="M45" s="517"/>
      <c r="N45" s="517"/>
      <c r="O45" s="517"/>
      <c r="P45" s="517"/>
      <c r="Q45" s="517"/>
    </row>
    <row r="46" spans="5:17" s="17" customFormat="1" ht="12.75">
      <c r="E46" s="517"/>
      <c r="F46" s="517"/>
      <c r="G46" s="517"/>
      <c r="H46" s="517"/>
      <c r="I46" s="517"/>
      <c r="J46" s="517"/>
      <c r="K46" s="517"/>
      <c r="L46" s="517"/>
      <c r="M46" s="517"/>
      <c r="N46" s="517"/>
      <c r="O46" s="517"/>
      <c r="P46" s="517"/>
      <c r="Q46" s="517"/>
    </row>
  </sheetData>
  <sheetProtection/>
  <mergeCells count="6">
    <mergeCell ref="A10:A11"/>
    <mergeCell ref="A4:Q4"/>
    <mergeCell ref="A5:Q5"/>
    <mergeCell ref="A6:Q6"/>
    <mergeCell ref="A7:Q7"/>
    <mergeCell ref="A8:T8"/>
  </mergeCells>
  <printOptions/>
  <pageMargins left="0.51" right="0.5" top="1" bottom="1" header="0" footer="0"/>
  <pageSetup fitToHeight="0" horizontalDpi="300" verticalDpi="3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Mayra Leguizamon</cp:lastModifiedBy>
  <cp:lastPrinted>2013-10-29T15:33:56Z</cp:lastPrinted>
  <dcterms:created xsi:type="dcterms:W3CDTF">2009-10-24T16:05:04Z</dcterms:created>
  <dcterms:modified xsi:type="dcterms:W3CDTF">2014-03-03T16:51:06Z</dcterms:modified>
  <cp:category/>
  <cp:version/>
  <cp:contentType/>
  <cp:contentStatus/>
</cp:coreProperties>
</file>