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yeccion" sheetId="1" r:id="rId1"/>
    <sheet name="plurianual" sheetId="2" r:id="rId2"/>
  </sheets>
  <externalReferences>
    <externalReference r:id="rId5"/>
  </externalReferences>
  <definedNames>
    <definedName name="_xlnm.Print_Area" localSheetId="1">'plurianual'!$A$1:$X$122</definedName>
    <definedName name="_xlnm.Print_Titles" localSheetId="1">'plurianual'!$A:$A,'plurianual'!$14:$15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C87" authorId="0">
      <text>
        <r>
          <rPr>
            <b/>
            <sz val="9"/>
            <rFont val="Tahoma"/>
            <family val="2"/>
          </rPr>
          <t xml:space="preserve">COMISARIA MASA INFANCIA Y ADOLESCENCIA
</t>
        </r>
      </text>
    </comment>
    <comment ref="C40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C45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C48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SERVICIOS PUBLICOS MAS GRATUIDAD MAS ALIMENTARIOS
</t>
        </r>
      </text>
    </comment>
    <comment ref="C89" authorId="0">
      <text>
        <r>
          <rPr>
            <b/>
            <sz val="9"/>
            <rFont val="Tahoma"/>
            <family val="2"/>
          </rPr>
          <t xml:space="preserve">DISCAPACIDAD MAS DEZPLADOS MAS RED UNIDOS Y JUNTOS
</t>
        </r>
      </text>
    </comment>
    <comment ref="J40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J45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J48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O40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O45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O48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T40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T45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T48" authorId="0">
      <text>
        <r>
          <rPr>
            <b/>
            <sz val="9"/>
            <rFont val="Tahoma"/>
            <family val="2"/>
          </rPr>
          <t xml:space="preserve">SUBSIDIOS
</t>
        </r>
      </text>
    </comment>
    <comment ref="C82" authorId="0">
      <text>
        <r>
          <rPr>
            <b/>
            <sz val="9"/>
            <rFont val="Tahoma"/>
            <family val="2"/>
          </rPr>
          <t>INSPECTORES DE POLICIA</t>
        </r>
      </text>
    </comment>
    <comment ref="J21" authorId="0">
      <text>
        <r>
          <rPr>
            <b/>
            <sz val="9"/>
            <rFont val="Tahoma"/>
            <family val="2"/>
          </rPr>
          <t xml:space="preserve">SERVICIOS PUBLICOS MAS GRATUIDAD MAS ALIMENTARIOS
</t>
        </r>
      </text>
    </comment>
    <comment ref="O21" authorId="0">
      <text>
        <r>
          <rPr>
            <b/>
            <sz val="9"/>
            <rFont val="Tahoma"/>
            <family val="2"/>
          </rPr>
          <t xml:space="preserve">SERVICIOS PUBLICOS MAS GRATUIDAD MAS ALIMENTARIOS
</t>
        </r>
      </text>
    </comment>
    <comment ref="T21" authorId="0">
      <text>
        <r>
          <rPr>
            <b/>
            <sz val="9"/>
            <rFont val="Tahoma"/>
            <family val="2"/>
          </rPr>
          <t xml:space="preserve">SERVICIOS PUBLICOS MAS GRATUIDAD MAS ALIMENTARIOS
</t>
        </r>
      </text>
    </comment>
    <comment ref="F111" authorId="0">
      <text>
        <r>
          <rPr>
            <b/>
            <sz val="16"/>
            <rFont val="Tahoma"/>
            <family val="2"/>
          </rPr>
          <t>MALECOM FULL
PLAZOLETA+ 500 CASA INDIGENA</t>
        </r>
        <r>
          <rPr>
            <b/>
            <sz val="9"/>
            <rFont val="Tahoma"/>
            <family val="2"/>
          </rPr>
          <t xml:space="preserve">
</t>
        </r>
      </text>
    </comment>
    <comment ref="F68" authorId="0">
      <text>
        <r>
          <rPr>
            <sz val="12"/>
            <rFont val="Tahoma"/>
            <family val="2"/>
          </rPr>
          <t>GAS COLONIA-MARIARA-ALGARROBO-CARRIZALES
200 millones gas piñalito
300 consejo
200 gas pueblo urbano</t>
        </r>
      </text>
    </comment>
    <comment ref="F67" authorId="0">
      <text>
        <r>
          <rPr>
            <b/>
            <sz val="9"/>
            <rFont val="Tahoma"/>
            <family val="2"/>
          </rPr>
          <t>BARRIO NUEVO</t>
        </r>
        <r>
          <rPr>
            <sz val="9"/>
            <rFont val="Tahoma"/>
            <family val="2"/>
          </rPr>
          <t xml:space="preserve">
</t>
        </r>
      </text>
    </comment>
    <comment ref="F65" authorId="0">
      <text>
        <r>
          <rPr>
            <b/>
            <sz val="9"/>
            <rFont val="Tahoma"/>
            <family val="2"/>
          </rPr>
          <t>medado. Diseños y electi</t>
        </r>
      </text>
    </comment>
    <comment ref="F46" authorId="0">
      <text>
        <r>
          <rPr>
            <b/>
            <sz val="9"/>
            <rFont val="Tahoma"/>
            <family val="2"/>
          </rPr>
          <t xml:space="preserve">ampliación planta de tratamiento
</t>
        </r>
        <r>
          <rPr>
            <sz val="9"/>
            <rFont val="Tahoma"/>
            <family val="2"/>
          </rPr>
          <t xml:space="preserve">
</t>
        </r>
      </text>
    </comment>
    <comment ref="F115" authorId="0">
      <text>
        <r>
          <rPr>
            <b/>
            <sz val="12"/>
            <rFont val="Tahoma"/>
            <family val="2"/>
          </rPr>
          <t>COMUNIDAES INDIGENAS-ACTUALIZACIONE CATASTRAL, 200 MILLLONES ESTUDIO Y DISEÑOS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112" authorId="0">
      <text>
        <r>
          <rPr>
            <b/>
            <sz val="9"/>
            <rFont val="Tahoma"/>
            <family val="2"/>
          </rPr>
          <t>MATADEROS</t>
        </r>
        <r>
          <rPr>
            <sz val="9"/>
            <rFont val="Tahoma"/>
            <family val="2"/>
          </rPr>
          <t xml:space="preserve">
</t>
        </r>
      </text>
    </comment>
    <comment ref="K51" authorId="0">
      <text>
        <r>
          <rPr>
            <b/>
            <sz val="9"/>
            <rFont val="Tahoma"/>
            <family val="2"/>
          </rPr>
          <t>VILLA OLIMPICA</t>
        </r>
        <r>
          <rPr>
            <sz val="9"/>
            <rFont val="Tahoma"/>
            <family val="2"/>
          </rPr>
          <t xml:space="preserve">
</t>
        </r>
      </text>
    </comment>
    <comment ref="K98" authorId="0">
      <text>
        <r>
          <rPr>
            <b/>
            <sz val="9"/>
            <rFont val="Tahoma"/>
            <family val="2"/>
          </rPr>
          <t>ADOQUIN BARRIO NUEVO</t>
        </r>
      </text>
    </comment>
    <comment ref="D10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tractores y una retro
</t>
        </r>
      </text>
    </comment>
    <comment ref="C5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gim
</t>
        </r>
      </text>
    </comment>
    <comment ref="K10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inseminación compra toros+ 200 ifc+100 alambre+  banqueos de 2012</t>
        </r>
      </text>
    </comment>
    <comment ref="F100" authorId="0">
      <text>
        <r>
          <rPr>
            <b/>
            <sz val="12"/>
            <rFont val="Tahoma"/>
            <family val="2"/>
          </rPr>
          <t>Autor:</t>
        </r>
        <r>
          <rPr>
            <sz val="12"/>
            <rFont val="Tahoma"/>
            <family val="2"/>
          </rPr>
          <t xml:space="preserve">
ifc crédito</t>
        </r>
        <r>
          <rPr>
            <sz val="9"/>
            <rFont val="Tahoma"/>
            <family val="2"/>
          </rPr>
          <t xml:space="preserve">
</t>
        </r>
      </text>
    </comment>
    <comment ref="P10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300
 ifc
</t>
        </r>
      </text>
    </comment>
    <comment ref="U10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ifc
</t>
        </r>
      </text>
    </comment>
    <comment ref="K7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gas barrio nuevo</t>
        </r>
      </text>
    </comment>
    <comment ref="K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TABLEROS,  BILINGUISMO, LABORATORIOS
</t>
        </r>
      </text>
    </comment>
    <comment ref="P9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PAVIMENTO ALGARROBO</t>
        </r>
      </text>
    </comment>
    <comment ref="C5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96 CANCHA SINTETICA
</t>
        </r>
      </text>
    </comment>
    <comment ref="J5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247 VILLA</t>
        </r>
      </text>
    </comment>
    <comment ref="O10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300 PROYECTOS PRODUCTIVOS
</t>
        </r>
      </text>
    </comment>
    <comment ref="D1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EDIFICIO CONCEJO</t>
        </r>
      </text>
    </comment>
    <comment ref="F1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1000 MILLONES ESCUELA TIERRABLANCA
</t>
        </r>
      </text>
    </comment>
  </commentList>
</comments>
</file>

<file path=xl/sharedStrings.xml><?xml version="1.0" encoding="utf-8"?>
<sst xmlns="http://schemas.openxmlformats.org/spreadsheetml/2006/main" count="192" uniqueCount="176">
  <si>
    <t>BASE PROGRAMATICA</t>
  </si>
  <si>
    <t>ICLD</t>
  </si>
  <si>
    <t>SGP</t>
  </si>
  <si>
    <t>OTROS</t>
  </si>
  <si>
    <t>TOTAL</t>
  </si>
  <si>
    <t>TOTAL CUATRIENIO</t>
  </si>
  <si>
    <t>TOTALES</t>
  </si>
  <si>
    <t xml:space="preserve">DIMENSIÓN SOCIAL: EL SER HUMANO CENTRO, SUJETO Y OBJETIVO DE INTEGRACIÓN
</t>
  </si>
  <si>
    <t>Programa: Orocué educado y productivo</t>
  </si>
  <si>
    <t>SGR</t>
  </si>
  <si>
    <t>Subprograma: Orocué con mejor infraestructura para el conocimiento</t>
  </si>
  <si>
    <t>Subprograma: Apoyo a mejorar procesos educativos</t>
  </si>
  <si>
    <t xml:space="preserve">Subprograma: Todos a trabajar con mejor educación </t>
  </si>
  <si>
    <t>Programa: Un sistema de salud de calidad para la comunidad de Orocué</t>
  </si>
  <si>
    <t>Subprograma: Salud Pública</t>
  </si>
  <si>
    <t>Programa: Agua potable y saneamiento básico para la población urbana y rural</t>
  </si>
  <si>
    <t>Subprograma: Ampliar y mejorar la cobertura de agua potable urbana y rural</t>
  </si>
  <si>
    <t>Subprograma: Sistemas de aguas lluvias y aguas residuales para la comunidad urbana y rural.</t>
  </si>
  <si>
    <t>Subprograma: Recolección, transporte, manejo y disposición de residuos sólidos del Municipio.</t>
  </si>
  <si>
    <t>Subprograma: A trabajar por el deporte y la recreación de Orocué</t>
  </si>
  <si>
    <t>Programa: A trabajar por el deporte y la recreación de Orocué</t>
  </si>
  <si>
    <t>Programa: Al rescate de nuestras raíces y valores culturales</t>
  </si>
  <si>
    <t>Subprograma: Al rescate de nuestras raíces y valores culturales</t>
  </si>
  <si>
    <t>Programa: Cobertura, calidad en los servicios de energía y gas para el municipio de Orocué</t>
  </si>
  <si>
    <t>Subprograma: energía estable para todos los Orocueseños</t>
  </si>
  <si>
    <t>Subprograma: Gas domiciliario para población urbana y rural</t>
  </si>
  <si>
    <t>Programa: Construcción y mejoramiento de VIS para la población vulnerable</t>
  </si>
  <si>
    <t>Subprograma: Construcción y mejoramiento de VIS para la población vulnerable</t>
  </si>
  <si>
    <t>Programa: Prevención y atención del riesgo</t>
  </si>
  <si>
    <t>Subprograma: Prevención y atención del riesgo</t>
  </si>
  <si>
    <t>Programa: Apoyo a la seguridad y convivencia pacifica</t>
  </si>
  <si>
    <t>Subprograma: Apoyo a la seguridad y convivencia pacifica</t>
  </si>
  <si>
    <t xml:space="preserve">Programa: Apoyo a la atención de grupos vulnerables  </t>
  </si>
  <si>
    <t>Subprograma: Cuidado y protección de la infancia y la adolescencia</t>
  </si>
  <si>
    <t>Subprograma: Atención integral al adulto mayor, madre o padre cabeza de hogar, discapacitados y desplazados del Municipio</t>
  </si>
  <si>
    <t>Programa: Vías y transporte para la integración y la articulación local y regional</t>
  </si>
  <si>
    <t>Subprograma: Vías y transporte para la integración y la articulación local y regional</t>
  </si>
  <si>
    <t>Programa: Todos a trabajar en el campo y la microempresa</t>
  </si>
  <si>
    <t>Subprograma: Todos a trabajar en el campo</t>
  </si>
  <si>
    <t>Subprograma: Todos a trabajar en el turismo y comercio</t>
  </si>
  <si>
    <t>Programa: Orocué con ambiente saludable</t>
  </si>
  <si>
    <t>Subprograma: Orocué con ambiente saludable</t>
  </si>
  <si>
    <t>Programa: Construcción de entorno institucional y urbano</t>
  </si>
  <si>
    <t>Subprograma: Construcción de entorno institucional y urbano</t>
  </si>
  <si>
    <t>Programa: Gestión Pública eficiente enfocada a resultados</t>
  </si>
  <si>
    <t>Subprograma: Gestión Pública eficiente enfocada a resultados</t>
  </si>
  <si>
    <t>Programa: Comunidad organizada e innovadora</t>
  </si>
  <si>
    <t xml:space="preserve">Subprograma: Comunidad organizada e innovadora </t>
  </si>
  <si>
    <t>DIMENSIÓN: DESARROLLO PRODUCTIVO Y AMBIENTAL</t>
  </si>
  <si>
    <t>DIMENSIÓN POLÍTICA Y COMUNITARIA</t>
  </si>
  <si>
    <t>CUENTA</t>
  </si>
  <si>
    <t>INGRESOS TOTALES</t>
  </si>
  <si>
    <t xml:space="preserve">    INGRESOS TOTALES</t>
  </si>
  <si>
    <t>1.  INGRESOS CORRIENTES</t>
  </si>
  <si>
    <t>1.1     INGRESOS TRIBUTARIOS</t>
  </si>
  <si>
    <t>1.1.1. PREDIAL</t>
  </si>
  <si>
    <t>1.1.2. INDUSTRIA Y COMERCIO</t>
  </si>
  <si>
    <t>1.1.3. SOBRETASAS A LA GASOLINA</t>
  </si>
  <si>
    <t>1.1.4.  CERVEZA</t>
  </si>
  <si>
    <t>1.1.5.  LICORES</t>
  </si>
  <si>
    <t>1.1.6.  CIGARRILLOS Y TABACO</t>
  </si>
  <si>
    <t>1.1.7.  REGISTRO Y ANOTACION</t>
  </si>
  <si>
    <t>1.1.8.  VEHICULOS AUTOMOTORES</t>
  </si>
  <si>
    <t>1.1.9. OTROS</t>
  </si>
  <si>
    <t>1.2.    INGRESOS NO TRIBUTARIOS</t>
  </si>
  <si>
    <t>1.3.    TRANSFERENCIAS</t>
  </si>
  <si>
    <t>1.3.1.    DEL NIVEL NACIONAL</t>
  </si>
  <si>
    <t>1.3.2.    OTRAS</t>
  </si>
  <si>
    <t xml:space="preserve">     GASTOS TOTALES</t>
  </si>
  <si>
    <t>2.  GASTOS CORRIENTES</t>
  </si>
  <si>
    <t>2.1.    FUNCIONAMIENTO</t>
  </si>
  <si>
    <t>2.1.1.  SERVICIOS PERSONALES</t>
  </si>
  <si>
    <t>2.1.2. GASTOS GENERALES</t>
  </si>
  <si>
    <t>2.1.3. TRANSFERENCIAS PAGADAS Y OTROS</t>
  </si>
  <si>
    <t>2.2.   INTERESES DEUDA PUBLICA</t>
  </si>
  <si>
    <t>2.3.   OTROS GASTOS CORRIENTES</t>
  </si>
  <si>
    <t>3. DEFICIT O AHORRO CORRIENTE (1-2)</t>
  </si>
  <si>
    <t>5.   GASTOS DE CAPITAL (INVERSION)</t>
  </si>
  <si>
    <t>5.1.1.1.   FORMACION BRUTAL DE CAPITAL FIJO</t>
  </si>
  <si>
    <t>5.1.1.2.   OTROS</t>
  </si>
  <si>
    <t>6. DEFICIT O SUPERAVIT TOTAL (3+4-5)</t>
  </si>
  <si>
    <t>7. FINANCIAMIENTO</t>
  </si>
  <si>
    <t>7.1. CREDITO NETO</t>
  </si>
  <si>
    <t>7.1.1. DESEMBOLSOS (+)</t>
  </si>
  <si>
    <t>7.1.2. AMORTIZACIONES (-)</t>
  </si>
  <si>
    <t>CUENTAS DE FINANCIAMIENTO</t>
  </si>
  <si>
    <t>1. CREDITO</t>
  </si>
  <si>
    <t>2. RECURSOS DEL BALANCE + VENTA DE ACTIVOS</t>
  </si>
  <si>
    <t>RESULTADO PRESUPUESTAL</t>
  </si>
  <si>
    <t>GASTOS TOTALES</t>
  </si>
  <si>
    <t>DEFICIT O SUPERAVIT PRESUPUESTAL</t>
  </si>
  <si>
    <t>VALOR PROYECTADO</t>
  </si>
  <si>
    <t>VALRO PROGRAMADO</t>
  </si>
  <si>
    <t>SALDO</t>
  </si>
  <si>
    <t>FOSYGA</t>
  </si>
  <si>
    <t>ETESA</t>
  </si>
  <si>
    <t>DPTO-COF REG SUBS</t>
  </si>
  <si>
    <t>ESTAMPIILA PRO CULTURA</t>
  </si>
  <si>
    <t>PRO ADULTO</t>
  </si>
  <si>
    <t>CONTRIBUCION OBRA PUBLICA IMPUESTO DE GUERRA</t>
  </si>
  <si>
    <t>SOBRETAS BOMBERIL</t>
  </si>
  <si>
    <t>DEGUELLO DE GANADO MAYOR</t>
  </si>
  <si>
    <t>Meta: Incrementar la participación de la comunidad en la práctica del deporte y la recreación.</t>
  </si>
  <si>
    <t xml:space="preserve">Meta: Mejoramiento, mantenimiento y adecuación de la infraestructura para el aprovechamiento de la actividad física, la recreación y el tiempo libre. </t>
  </si>
  <si>
    <t xml:space="preserve">Meta: Aumentar el número de sedes educativas construidas </t>
  </si>
  <si>
    <t>Meta: Realizar ampliación, rehabilitación y dotación de las sedes de las 5 instituciones educativas urbanas y rurales</t>
  </si>
  <si>
    <t>Meta: Facilitar el acceso a las TIC a las cinco instituciones del Municipio.</t>
  </si>
  <si>
    <t xml:space="preserve">Meta: Mantener la cobertura del servicio de alimentación y restaurante escolar </t>
  </si>
  <si>
    <t xml:space="preserve">Meta: Dar continuidad en el servicio de internados escolares </t>
  </si>
  <si>
    <t>Meta: Mejoramiento de contenidos en bibliotecas, bibliotecas virtuales y laboratorios de idiomas</t>
  </si>
  <si>
    <t>Meta: Apoyo al modelo educativo acorde cultura y los procesos productivos de la comunidad indígena Sáliba</t>
  </si>
  <si>
    <t xml:space="preserve">Meta: Dar continuidad al sistema de transporte </t>
  </si>
  <si>
    <t xml:space="preserve">Meta: Fortalecimiento y ampliación de la cobertura en educación para el trabajo del CERES </t>
  </si>
  <si>
    <t>Meta: Apoyo a la realización de alianzas estratégicas con instituciones como SENA, universidades, centros de formación e institutos técnicos.</t>
  </si>
  <si>
    <t xml:space="preserve">Meta: Brindar continuidad y/o aplicación de la población al régimen subsidiado </t>
  </si>
  <si>
    <t>Meta: Realizar interventoría al régimen subsidiado de salud</t>
  </si>
  <si>
    <t>Meta: Suministrar Agua potable de manera continua a la comunidad del Municipio de Orocué</t>
  </si>
  <si>
    <t>Meta: Adquisición o legalización del área de protección del Caño San Miguel</t>
  </si>
  <si>
    <t>Meta: Incrementar la cobertura de agua potable rural</t>
  </si>
  <si>
    <t>Meta: Incrementar el número de pozos profundos construidos y rehabilitados para sistemas de acueductos rurales</t>
  </si>
  <si>
    <t>Meta: Construir sistemas de tratamiento de aguas residuales en las viviendas</t>
  </si>
  <si>
    <t>Meta: Implementación de un sistemas de recolección, tratamiento y disposición final de los residuos sólidos del municipio</t>
  </si>
  <si>
    <t>Meta: Diseño, construcción y ampliación del sistema de manejo, tratamiento y disposición final de residuos sólidos</t>
  </si>
  <si>
    <t>Meta: Incrementar el número de escenarios deportivos y recreativos municipales</t>
  </si>
  <si>
    <t>Meta: Diseñar e implementar un plan de cultura y salvaguardia del patrimonio histórico y cultural del municipio</t>
  </si>
  <si>
    <t>Meta: Realizar ampliación de cobertura de electrificación rural</t>
  </si>
  <si>
    <t>Meta: Ofrecer soluciones alternas de electrificación para comunidades dispersas</t>
  </si>
  <si>
    <t xml:space="preserve">Meta: Realizar de rehabilitación y de ampliación de cobertura del sistema eléctrico urbano </t>
  </si>
  <si>
    <t>Meta: Ampliación y/o mantenimiento de cobertura de gas domiciliario en el área urbana</t>
  </si>
  <si>
    <t xml:space="preserve">Meta: Realizar ampliación de cobertura de  gasificación rural </t>
  </si>
  <si>
    <t>Meta: Construcción de soluciones de vivienda de interés social en el área urbana y rural</t>
  </si>
  <si>
    <t>Meta: Construcción y realización de mejoramiento de VIS</t>
  </si>
  <si>
    <t>Meta: Realizar el proceso de titulación predial y selección de beneficiarios a proyectos de VIS</t>
  </si>
  <si>
    <t>Meta: Mejorar la capacidad de respuesta para la  atención y prevención de desastres a través de la Unidad de gestión del riesgo y los organismos de Socorro</t>
  </si>
  <si>
    <t>Meta: Actividades de información, divulgación y preparación de la comunidad sobre el riesgo</t>
  </si>
  <si>
    <t>Meta: Implementar un sistema de seguridad y convivencia ciudadana con las distintas entidades y organismos con presencia en el municipio</t>
  </si>
  <si>
    <t>Meta: Realizar la intervención con mantenimiento, adecuación y construcción de la banca, canalizaciones y obras de arte en las vías terciarias del Municipio</t>
  </si>
  <si>
    <t>Meta: Construcción y pavimentación de vías urbanas del Municipio</t>
  </si>
  <si>
    <t>Meta: Mejoramiento de tierras y praderas para la actividad agropecuaria</t>
  </si>
  <si>
    <t>Meta: Fortalecer la cadena productiva turística en el Municipio</t>
  </si>
  <si>
    <t xml:space="preserve">Meta: Realización de campañas y asistencia técnica para gestión, conservación y protección del medio ambiente </t>
  </si>
  <si>
    <t>Meta: Conservación y protección de áreas de importancia ambiental para el Municipio</t>
  </si>
  <si>
    <t>Meta: Construcción, ampliación y/o rehabilitación de los edificios públicos y sedes oficinas institucionales del Municipio</t>
  </si>
  <si>
    <t>Meta: Asistencia técnica, capacitación, asesoría y dotación para la consolidación del sistema de gestión del municipio</t>
  </si>
  <si>
    <t>Meta: Sistemas de información, instrumento y herramientas técnicas de planeación, financieras y de informes</t>
  </si>
  <si>
    <t>2.  INGRESOS DE CAPITAL</t>
  </si>
  <si>
    <t>2.2. TRANSFERENCIAS NACIONALES (SGP, etc.)</t>
  </si>
  <si>
    <t>2.3. COFINANCIACION</t>
  </si>
  <si>
    <t>2.4. OTROS</t>
  </si>
  <si>
    <t>R. ART 144 DEC. LEY 4923</t>
  </si>
  <si>
    <t>50 (emisora)</t>
  </si>
  <si>
    <t>Fondo de Crédito educativo</t>
  </si>
  <si>
    <t>|</t>
  </si>
  <si>
    <t>FALTA CONVENIOS INVIAS Y PROYECTOS DE IMPACTO LOCAL</t>
  </si>
  <si>
    <t>Margenes de Comercialización. Art. 156 Decreto Ley 4923 de 2011</t>
  </si>
  <si>
    <t>Subprograma: Aseguramiento al SGSSS</t>
  </si>
  <si>
    <t>Meta: Ampliar y optimizar los sistemas de aguas residuales del municipio</t>
  </si>
  <si>
    <t>Meta: Fortalecer la educación artística y cultural en especial para la infancia y la adolescencia</t>
  </si>
  <si>
    <t>Meta: Realización de actividades artísticas y culturales</t>
  </si>
  <si>
    <t>Meta: Garantizar los servicios permanentes de comisaria de familia en restitución de derechos en coordinación con distintas entidades y el personal necesario y capacitado</t>
  </si>
  <si>
    <t xml:space="preserve">Meta: Atención integral a las victimas  </t>
  </si>
  <si>
    <t xml:space="preserve">Meta: Meta: Garantizar la atención, protección, libre desarrollo y restitución de derechos de la infancia y la adolescencia en el marco de la política departamental, la red Unidos, cero a siempre y política de infancia 
</t>
  </si>
  <si>
    <t xml:space="preserve">Meta: Atención y apoyo integral (nutrición, acompañamiento profesional, empleo o alfabetización)  a la mujer y padre cabeza de en situación de vulnerabilidad en el marco de la política departamental y la red Unidos </t>
  </si>
  <si>
    <t xml:space="preserve">Meta: Atención y apoyo integral (nutrición, acompañamiento profesional, ayudas técnicas, empleo o alfabetización) a la población discapacitada en situación de vulnerabilidad en el marco de la política departamental y la red Unidos </t>
  </si>
  <si>
    <t xml:space="preserve">Meta: Atención y apoyo integral a la juventud en situación de vulnerabilidad en el marco de la política departamental y la red Unidos  </t>
  </si>
  <si>
    <t>Meta: Gestión y cofinanciación de Planes de asistencia técnica agropecuarios y mejoramiento del hato ganadero(sanidad)</t>
  </si>
  <si>
    <t>Meta: gestión y apoyo a la realización de proyectos productivos resguardos indígenas y comunidades rurales</t>
  </si>
  <si>
    <t>Meta: Apoyar a Juntas de acción comunal, organizaciones indígenas, consejo territorial de planeación y organizaciones comunitarias municipal</t>
  </si>
  <si>
    <t>2.1. SGR -REGALÍAS</t>
  </si>
  <si>
    <t>NOTA; LO DE COMUNIDADES INDIGENAS SE DISTRIBUYO 700 ENERGIA, 1200 PRODUCTIVO Y 500 GAS</t>
  </si>
  <si>
    <t>Meta: Incrementar y fortalecer el número de escuelas de formación deportiva que beneficie de forma especial a la infancia y la adolescencia</t>
  </si>
  <si>
    <t xml:space="preserve">Meta: Fortalecer la biblioteca pública municipal con acciones que beneficien a la población infantil y adolescente </t>
  </si>
  <si>
    <t>Meta: Atender al total de la población damnificada por desastres</t>
  </si>
  <si>
    <t xml:space="preserve">Meta: Meta: Atención y apoyo integral (nutrición, acompañamiento profesional, empleo o alfabetización) al adulto mayor en situación de vulnerabilidad en el marco de la política departamental y la red Unidos </t>
  </si>
  <si>
    <t>Márgenes de Comercialización. Art. 156 Decreto Ley 4923 de 2011</t>
  </si>
  <si>
    <t xml:space="preserve">Meta: Gratuidad educativa y servicios públicos 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</si>
</sst>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#,##0.000"/>
    <numFmt numFmtId="166" formatCode="yyyy\-mm\-dd;@"/>
    <numFmt numFmtId="167" formatCode="&quot;$&quot;\ #,##0"/>
    <numFmt numFmtId="168" formatCode="&quot;$&quot;\ 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666699"/>
      </left>
      <right style="thin">
        <color rgb="FF666699"/>
      </right>
      <top/>
      <bottom style="thin">
        <color rgb="FF666699"/>
      </bottom>
    </border>
    <border>
      <left style="thin">
        <color rgb="FF666699"/>
      </left>
      <right/>
      <top/>
      <bottom style="thin">
        <color rgb="FF666699"/>
      </bottom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</border>
    <border>
      <left style="thin">
        <color rgb="FF666699"/>
      </left>
      <right/>
      <top style="thin">
        <color rgb="FF666699"/>
      </top>
      <bottom style="thin">
        <color rgb="FF66669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thin">
        <color indexed="8"/>
      </left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9" fillId="33" borderId="10" xfId="58" applyFont="1" applyFill="1" applyBorder="1" applyAlignment="1" applyProtection="1">
      <alignment/>
      <protection hidden="1"/>
    </xf>
    <xf numFmtId="0" fontId="9" fillId="33" borderId="10" xfId="58" applyFont="1" applyFill="1" applyBorder="1" applyAlignment="1" applyProtection="1" quotePrefix="1">
      <alignment horizontal="left"/>
      <protection hidden="1"/>
    </xf>
    <xf numFmtId="0" fontId="9" fillId="33" borderId="10" xfId="58" applyFont="1" applyFill="1" applyBorder="1" applyAlignment="1" applyProtection="1">
      <alignment horizontal="left"/>
      <protection hidden="1"/>
    </xf>
    <xf numFmtId="0" fontId="7" fillId="34" borderId="10" xfId="0" applyFont="1" applyFill="1" applyBorder="1" applyAlignment="1" applyProtection="1" quotePrefix="1">
      <alignment horizontal="left"/>
      <protection/>
    </xf>
    <xf numFmtId="0" fontId="7" fillId="0" borderId="10" xfId="0" applyFont="1" applyBorder="1" applyAlignment="1" applyProtection="1" quotePrefix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165" fontId="7" fillId="33" borderId="10" xfId="47" applyNumberFormat="1" applyFont="1" applyFill="1" applyBorder="1" applyAlignment="1" applyProtection="1">
      <alignment horizontal="right"/>
      <protection hidden="1"/>
    </xf>
    <xf numFmtId="165" fontId="8" fillId="33" borderId="10" xfId="47" applyNumberFormat="1" applyFont="1" applyFill="1" applyBorder="1" applyAlignment="1" applyProtection="1">
      <alignment horizontal="right"/>
      <protection hidden="1"/>
    </xf>
    <xf numFmtId="165" fontId="7" fillId="34" borderId="10" xfId="47" applyNumberFormat="1" applyFont="1" applyFill="1" applyBorder="1" applyAlignment="1" applyProtection="1">
      <alignment/>
      <protection/>
    </xf>
    <xf numFmtId="165" fontId="7" fillId="0" borderId="10" xfId="47" applyNumberFormat="1" applyFont="1" applyBorder="1" applyAlignment="1" applyProtection="1">
      <alignment/>
      <protection locked="0"/>
    </xf>
    <xf numFmtId="165" fontId="7" fillId="0" borderId="0" xfId="47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165" fontId="7" fillId="33" borderId="11" xfId="47" applyNumberFormat="1" applyFont="1" applyFill="1" applyBorder="1" applyAlignment="1" applyProtection="1">
      <alignment horizontal="right"/>
      <protection hidden="1"/>
    </xf>
    <xf numFmtId="165" fontId="8" fillId="33" borderId="11" xfId="47" applyNumberFormat="1" applyFont="1" applyFill="1" applyBorder="1" applyAlignment="1" applyProtection="1">
      <alignment horizontal="right"/>
      <protection hidden="1"/>
    </xf>
    <xf numFmtId="165" fontId="7" fillId="34" borderId="11" xfId="47" applyNumberFormat="1" applyFont="1" applyFill="1" applyBorder="1" applyAlignment="1" applyProtection="1">
      <alignment/>
      <protection/>
    </xf>
    <xf numFmtId="165" fontId="7" fillId="0" borderId="11" xfId="47" applyNumberFormat="1" applyFont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/>
      <protection/>
    </xf>
    <xf numFmtId="165" fontId="2" fillId="35" borderId="12" xfId="47" applyNumberFormat="1" applyFont="1" applyFill="1" applyBorder="1" applyAlignment="1" applyProtection="1">
      <alignment/>
      <protection/>
    </xf>
    <xf numFmtId="165" fontId="2" fillId="35" borderId="13" xfId="47" applyNumberFormat="1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165" fontId="3" fillId="36" borderId="14" xfId="47" applyNumberFormat="1" applyFont="1" applyFill="1" applyBorder="1" applyAlignment="1" applyProtection="1">
      <alignment/>
      <protection/>
    </xf>
    <xf numFmtId="165" fontId="3" fillId="36" borderId="15" xfId="47" applyNumberFormat="1" applyFont="1" applyFill="1" applyBorder="1" applyAlignment="1" applyProtection="1">
      <alignment/>
      <protection/>
    </xf>
    <xf numFmtId="166" fontId="6" fillId="35" borderId="16" xfId="0" applyNumberFormat="1" applyFont="1" applyFill="1" applyBorder="1" applyAlignment="1" applyProtection="1">
      <alignment horizontal="center" vertical="center" wrapText="1"/>
      <protection/>
    </xf>
    <xf numFmtId="1" fontId="10" fillId="35" borderId="16" xfId="47" applyNumberFormat="1" applyFont="1" applyFill="1" applyBorder="1" applyAlignment="1">
      <alignment horizontal="center" wrapText="1"/>
    </xf>
    <xf numFmtId="1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3" fillId="35" borderId="12" xfId="0" applyFont="1" applyFill="1" applyBorder="1" applyAlignment="1" applyProtection="1">
      <alignment/>
      <protection/>
    </xf>
    <xf numFmtId="165" fontId="3" fillId="35" borderId="12" xfId="47" applyNumberFormat="1" applyFont="1" applyFill="1" applyBorder="1" applyAlignment="1" applyProtection="1">
      <alignment/>
      <protection/>
    </xf>
    <xf numFmtId="165" fontId="3" fillId="35" borderId="10" xfId="47" applyNumberFormat="1" applyFont="1" applyFill="1" applyBorder="1" applyAlignment="1" applyProtection="1">
      <alignment/>
      <protection/>
    </xf>
    <xf numFmtId="165" fontId="3" fillId="36" borderId="10" xfId="47" applyNumberFormat="1" applyFont="1" applyFill="1" applyBorder="1" applyAlignment="1" applyProtection="1">
      <alignment/>
      <protection/>
    </xf>
    <xf numFmtId="165" fontId="3" fillId="37" borderId="10" xfId="47" applyNumberFormat="1" applyFont="1" applyFill="1" applyBorder="1" applyAlignment="1" applyProtection="1">
      <alignment/>
      <protection/>
    </xf>
    <xf numFmtId="165" fontId="11" fillId="0" borderId="0" xfId="0" applyNumberFormat="1" applyFont="1" applyAlignment="1">
      <alignment/>
    </xf>
    <xf numFmtId="167" fontId="0" fillId="0" borderId="0" xfId="47" applyNumberFormat="1" applyFont="1" applyAlignment="1">
      <alignment/>
    </xf>
    <xf numFmtId="167" fontId="54" fillId="0" borderId="0" xfId="0" applyNumberFormat="1" applyFont="1" applyAlignment="1">
      <alignment/>
    </xf>
    <xf numFmtId="167" fontId="55" fillId="0" borderId="0" xfId="0" applyNumberFormat="1" applyFont="1" applyAlignment="1">
      <alignment/>
    </xf>
    <xf numFmtId="167" fontId="54" fillId="0" borderId="0" xfId="47" applyNumberFormat="1" applyFont="1" applyAlignment="1">
      <alignment/>
    </xf>
    <xf numFmtId="167" fontId="55" fillId="0" borderId="0" xfId="0" applyNumberFormat="1" applyFont="1" applyAlignment="1">
      <alignment vertical="center" wrapText="1"/>
    </xf>
    <xf numFmtId="167" fontId="54" fillId="38" borderId="0" xfId="0" applyNumberFormat="1" applyFont="1" applyFill="1" applyAlignment="1">
      <alignment/>
    </xf>
    <xf numFmtId="167" fontId="54" fillId="39" borderId="0" xfId="0" applyNumberFormat="1" applyFont="1" applyFill="1" applyAlignment="1">
      <alignment/>
    </xf>
    <xf numFmtId="167" fontId="54" fillId="2" borderId="0" xfId="0" applyNumberFormat="1" applyFont="1" applyFill="1" applyAlignment="1">
      <alignment/>
    </xf>
    <xf numFmtId="3" fontId="2" fillId="35" borderId="12" xfId="47" applyNumberFormat="1" applyFont="1" applyFill="1" applyBorder="1" applyAlignment="1" applyProtection="1">
      <alignment horizontal="center"/>
      <protection/>
    </xf>
    <xf numFmtId="3" fontId="2" fillId="35" borderId="13" xfId="47" applyNumberFormat="1" applyFont="1" applyFill="1" applyBorder="1" applyAlignment="1" applyProtection="1">
      <alignment horizontal="center"/>
      <protection/>
    </xf>
    <xf numFmtId="0" fontId="9" fillId="33" borderId="10" xfId="58" applyFont="1" applyFill="1" applyBorder="1" applyAlignment="1" applyProtection="1">
      <alignment horizontal="left" wrapText="1"/>
      <protection hidden="1"/>
    </xf>
    <xf numFmtId="167" fontId="54" fillId="0" borderId="10" xfId="0" applyNumberFormat="1" applyFont="1" applyFill="1" applyBorder="1" applyAlignment="1">
      <alignment/>
    </xf>
    <xf numFmtId="167" fontId="54" fillId="0" borderId="18" xfId="0" applyNumberFormat="1" applyFont="1" applyFill="1" applyBorder="1" applyAlignment="1">
      <alignment/>
    </xf>
    <xf numFmtId="167" fontId="54" fillId="2" borderId="0" xfId="47" applyNumberFormat="1" applyFont="1" applyFill="1" applyAlignment="1">
      <alignment/>
    </xf>
    <xf numFmtId="167" fontId="54" fillId="15" borderId="0" xfId="47" applyNumberFormat="1" applyFont="1" applyFill="1" applyAlignment="1">
      <alignment/>
    </xf>
    <xf numFmtId="167" fontId="17" fillId="0" borderId="0" xfId="0" applyNumberFormat="1" applyFont="1" applyAlignment="1">
      <alignment/>
    </xf>
    <xf numFmtId="167" fontId="16" fillId="40" borderId="19" xfId="0" applyNumberFormat="1" applyFont="1" applyFill="1" applyBorder="1" applyAlignment="1">
      <alignment horizontal="center" vertical="center"/>
    </xf>
    <xf numFmtId="167" fontId="16" fillId="2" borderId="19" xfId="0" applyNumberFormat="1" applyFont="1" applyFill="1" applyBorder="1" applyAlignment="1">
      <alignment horizontal="center" vertical="center"/>
    </xf>
    <xf numFmtId="167" fontId="16" fillId="40" borderId="20" xfId="0" applyNumberFormat="1" applyFont="1" applyFill="1" applyBorder="1" applyAlignment="1">
      <alignment horizontal="center" vertical="center"/>
    </xf>
    <xf numFmtId="167" fontId="16" fillId="41" borderId="21" xfId="0" applyNumberFormat="1" applyFont="1" applyFill="1" applyBorder="1" applyAlignment="1">
      <alignment vertical="justify" wrapText="1"/>
    </xf>
    <xf numFmtId="167" fontId="17" fillId="41" borderId="22" xfId="0" applyNumberFormat="1" applyFont="1" applyFill="1" applyBorder="1" applyAlignment="1">
      <alignment/>
    </xf>
    <xf numFmtId="167" fontId="16" fillId="42" borderId="23" xfId="0" applyNumberFormat="1" applyFont="1" applyFill="1" applyBorder="1" applyAlignment="1">
      <alignment vertical="center" wrapText="1"/>
    </xf>
    <xf numFmtId="167" fontId="17" fillId="42" borderId="24" xfId="0" applyNumberFormat="1" applyFont="1" applyFill="1" applyBorder="1" applyAlignment="1">
      <alignment/>
    </xf>
    <xf numFmtId="167" fontId="17" fillId="2" borderId="24" xfId="0" applyNumberFormat="1" applyFont="1" applyFill="1" applyBorder="1" applyAlignment="1">
      <alignment/>
    </xf>
    <xf numFmtId="167" fontId="17" fillId="41" borderId="25" xfId="0" applyNumberFormat="1" applyFont="1" applyFill="1" applyBorder="1" applyAlignment="1">
      <alignment/>
    </xf>
    <xf numFmtId="167" fontId="17" fillId="0" borderId="26" xfId="0" applyNumberFormat="1" applyFont="1" applyBorder="1" applyAlignment="1">
      <alignment vertical="center" wrapText="1"/>
    </xf>
    <xf numFmtId="167" fontId="17" fillId="0" borderId="10" xfId="0" applyNumberFormat="1" applyFont="1" applyBorder="1" applyAlignment="1">
      <alignment/>
    </xf>
    <xf numFmtId="167" fontId="17" fillId="2" borderId="10" xfId="0" applyNumberFormat="1" applyFont="1" applyFill="1" applyBorder="1" applyAlignment="1">
      <alignment/>
    </xf>
    <xf numFmtId="167" fontId="17" fillId="34" borderId="10" xfId="0" applyNumberFormat="1" applyFont="1" applyFill="1" applyBorder="1" applyAlignment="1">
      <alignment/>
    </xf>
    <xf numFmtId="167" fontId="17" fillId="42" borderId="10" xfId="0" applyNumberFormat="1" applyFont="1" applyFill="1" applyBorder="1" applyAlignment="1">
      <alignment/>
    </xf>
    <xf numFmtId="167" fontId="17" fillId="41" borderId="10" xfId="0" applyNumberFormat="1" applyFont="1" applyFill="1" applyBorder="1" applyAlignment="1">
      <alignment/>
    </xf>
    <xf numFmtId="43" fontId="17" fillId="0" borderId="27" xfId="47" applyFont="1" applyBorder="1" applyAlignment="1">
      <alignment/>
    </xf>
    <xf numFmtId="168" fontId="17" fillId="0" borderId="10" xfId="47" applyNumberFormat="1" applyFont="1" applyBorder="1" applyAlignment="1">
      <alignment/>
    </xf>
    <xf numFmtId="43" fontId="17" fillId="0" borderId="10" xfId="47" applyFont="1" applyBorder="1" applyAlignment="1">
      <alignment/>
    </xf>
    <xf numFmtId="167" fontId="17" fillId="0" borderId="10" xfId="47" applyNumberFormat="1" applyFont="1" applyBorder="1" applyAlignment="1">
      <alignment/>
    </xf>
    <xf numFmtId="167" fontId="17" fillId="38" borderId="10" xfId="0" applyNumberFormat="1" applyFont="1" applyFill="1" applyBorder="1" applyAlignment="1">
      <alignment/>
    </xf>
    <xf numFmtId="167" fontId="17" fillId="38" borderId="0" xfId="0" applyNumberFormat="1" applyFont="1" applyFill="1" applyAlignment="1">
      <alignment/>
    </xf>
    <xf numFmtId="167" fontId="16" fillId="42" borderId="26" xfId="0" applyNumberFormat="1" applyFont="1" applyFill="1" applyBorder="1" applyAlignment="1">
      <alignment vertical="center" wrapText="1"/>
    </xf>
    <xf numFmtId="167" fontId="17" fillId="14" borderId="10" xfId="47" applyNumberFormat="1" applyFont="1" applyFill="1" applyBorder="1" applyAlignment="1">
      <alignment/>
    </xf>
    <xf numFmtId="167" fontId="17" fillId="0" borderId="28" xfId="0" applyNumberFormat="1" applyFont="1" applyBorder="1" applyAlignment="1">
      <alignment vertical="center" wrapText="1"/>
    </xf>
    <xf numFmtId="167" fontId="16" fillId="42" borderId="28" xfId="0" applyNumberFormat="1" applyFont="1" applyFill="1" applyBorder="1" applyAlignment="1">
      <alignment vertical="center" wrapText="1"/>
    </xf>
    <xf numFmtId="167" fontId="16" fillId="42" borderId="10" xfId="0" applyNumberFormat="1" applyFont="1" applyFill="1" applyBorder="1" applyAlignment="1">
      <alignment/>
    </xf>
    <xf numFmtId="167" fontId="16" fillId="2" borderId="10" xfId="0" applyNumberFormat="1" applyFont="1" applyFill="1" applyBorder="1" applyAlignment="1">
      <alignment/>
    </xf>
    <xf numFmtId="167" fontId="16" fillId="0" borderId="0" xfId="0" applyNumberFormat="1" applyFont="1" applyAlignment="1">
      <alignment/>
    </xf>
    <xf numFmtId="167" fontId="17" fillId="15" borderId="10" xfId="47" applyNumberFormat="1" applyFont="1" applyFill="1" applyBorder="1" applyAlignment="1">
      <alignment/>
    </xf>
    <xf numFmtId="167" fontId="16" fillId="41" borderId="29" xfId="0" applyNumberFormat="1" applyFont="1" applyFill="1" applyBorder="1" applyAlignment="1">
      <alignment vertical="center" wrapText="1"/>
    </xf>
    <xf numFmtId="167" fontId="17" fillId="39" borderId="10" xfId="0" applyNumberFormat="1" applyFont="1" applyFill="1" applyBorder="1" applyAlignment="1">
      <alignment/>
    </xf>
    <xf numFmtId="167" fontId="17" fillId="39" borderId="0" xfId="0" applyNumberFormat="1" applyFont="1" applyFill="1" applyAlignment="1">
      <alignment/>
    </xf>
    <xf numFmtId="167" fontId="17" fillId="0" borderId="30" xfId="0" applyNumberFormat="1" applyFont="1" applyBorder="1" applyAlignment="1">
      <alignment vertical="center" wrapText="1"/>
    </xf>
    <xf numFmtId="167" fontId="16" fillId="41" borderId="11" xfId="0" applyNumberFormat="1" applyFont="1" applyFill="1" applyBorder="1" applyAlignment="1">
      <alignment vertical="center" wrapText="1"/>
    </xf>
    <xf numFmtId="167" fontId="16" fillId="42" borderId="31" xfId="0" applyNumberFormat="1" applyFont="1" applyFill="1" applyBorder="1" applyAlignment="1">
      <alignment vertical="center" wrapText="1"/>
    </xf>
    <xf numFmtId="167" fontId="17" fillId="0" borderId="32" xfId="0" applyNumberFormat="1" applyFont="1" applyBorder="1" applyAlignment="1">
      <alignment vertical="center" wrapText="1"/>
    </xf>
    <xf numFmtId="167" fontId="16" fillId="0" borderId="19" xfId="0" applyNumberFormat="1" applyFont="1" applyBorder="1" applyAlignment="1">
      <alignment horizontal="center" vertical="center" wrapText="1"/>
    </xf>
    <xf numFmtId="167" fontId="16" fillId="0" borderId="33" xfId="47" applyNumberFormat="1" applyFont="1" applyBorder="1" applyAlignment="1">
      <alignment/>
    </xf>
    <xf numFmtId="167" fontId="16" fillId="2" borderId="33" xfId="47" applyNumberFormat="1" applyFont="1" applyFill="1" applyBorder="1" applyAlignment="1">
      <alignment/>
    </xf>
    <xf numFmtId="167" fontId="16" fillId="34" borderId="33" xfId="47" applyNumberFormat="1" applyFont="1" applyFill="1" applyBorder="1" applyAlignment="1">
      <alignment/>
    </xf>
    <xf numFmtId="167" fontId="16" fillId="42" borderId="33" xfId="47" applyNumberFormat="1" applyFont="1" applyFill="1" applyBorder="1" applyAlignment="1">
      <alignment/>
    </xf>
    <xf numFmtId="167" fontId="16" fillId="41" borderId="34" xfId="47" applyNumberFormat="1" applyFont="1" applyFill="1" applyBorder="1" applyAlignment="1">
      <alignment/>
    </xf>
    <xf numFmtId="167" fontId="16" fillId="41" borderId="26" xfId="0" applyNumberFormat="1" applyFont="1" applyFill="1" applyBorder="1" applyAlignment="1">
      <alignment vertical="center" wrapText="1"/>
    </xf>
    <xf numFmtId="167" fontId="16" fillId="41" borderId="10" xfId="0" applyNumberFormat="1" applyFont="1" applyFill="1" applyBorder="1" applyAlignment="1">
      <alignment/>
    </xf>
    <xf numFmtId="167" fontId="17" fillId="36" borderId="28" xfId="0" applyNumberFormat="1" applyFont="1" applyFill="1" applyBorder="1" applyAlignment="1">
      <alignment vertical="center" wrapText="1"/>
    </xf>
    <xf numFmtId="167" fontId="17" fillId="36" borderId="10" xfId="0" applyNumberFormat="1" applyFont="1" applyFill="1" applyBorder="1" applyAlignment="1">
      <alignment/>
    </xf>
    <xf numFmtId="167" fontId="17" fillId="34" borderId="10" xfId="47" applyNumberFormat="1" applyFont="1" applyFill="1" applyBorder="1" applyAlignment="1">
      <alignment/>
    </xf>
    <xf numFmtId="167" fontId="16" fillId="40" borderId="35" xfId="0" applyNumberFormat="1" applyFont="1" applyFill="1" applyBorder="1" applyAlignment="1">
      <alignment horizontal="center" vertical="center" wrapText="1"/>
    </xf>
    <xf numFmtId="167" fontId="16" fillId="40" borderId="33" xfId="0" applyNumberFormat="1" applyFont="1" applyFill="1" applyBorder="1" applyAlignment="1">
      <alignment horizontal="center" vertical="center" wrapText="1"/>
    </xf>
    <xf numFmtId="167" fontId="54" fillId="0" borderId="0" xfId="0" applyNumberFormat="1" applyFont="1" applyAlignment="1">
      <alignment wrapText="1"/>
    </xf>
    <xf numFmtId="167" fontId="54" fillId="14" borderId="18" xfId="47" applyNumberFormat="1" applyFont="1" applyFill="1" applyBorder="1" applyAlignment="1">
      <alignment/>
    </xf>
    <xf numFmtId="167" fontId="54" fillId="14" borderId="0" xfId="47" applyNumberFormat="1" applyFont="1" applyFill="1" applyAlignment="1">
      <alignment/>
    </xf>
    <xf numFmtId="167" fontId="54" fillId="0" borderId="0" xfId="47" applyNumberFormat="1" applyFont="1" applyAlignment="1">
      <alignment wrapText="1"/>
    </xf>
    <xf numFmtId="167" fontId="54" fillId="43" borderId="0" xfId="47" applyNumberFormat="1" applyFont="1" applyFill="1" applyAlignment="1">
      <alignment/>
    </xf>
    <xf numFmtId="167" fontId="54" fillId="38" borderId="0" xfId="47" applyNumberFormat="1" applyFont="1" applyFill="1" applyAlignment="1">
      <alignment/>
    </xf>
    <xf numFmtId="167" fontId="54" fillId="39" borderId="0" xfId="47" applyNumberFormat="1" applyFont="1" applyFill="1" applyAlignment="1">
      <alignment/>
    </xf>
    <xf numFmtId="167" fontId="54" fillId="0" borderId="0" xfId="47" applyNumberFormat="1" applyFont="1" applyFill="1" applyBorder="1" applyAlignment="1">
      <alignment wrapText="1"/>
    </xf>
    <xf numFmtId="167" fontId="54" fillId="44" borderId="0" xfId="47" applyNumberFormat="1" applyFont="1" applyFill="1" applyAlignment="1">
      <alignment/>
    </xf>
    <xf numFmtId="167" fontId="55" fillId="0" borderId="0" xfId="0" applyNumberFormat="1" applyFont="1" applyAlignment="1">
      <alignment wrapText="1"/>
    </xf>
    <xf numFmtId="0" fontId="16" fillId="40" borderId="19" xfId="0" applyNumberFormat="1" applyFont="1" applyFill="1" applyBorder="1" applyAlignment="1">
      <alignment horizontal="center" vertical="center" wrapText="1"/>
    </xf>
    <xf numFmtId="167" fontId="16" fillId="40" borderId="19" xfId="0" applyNumberFormat="1" applyFont="1" applyFill="1" applyBorder="1" applyAlignment="1">
      <alignment horizontal="center" vertical="center" wrapText="1"/>
    </xf>
    <xf numFmtId="167" fontId="16" fillId="40" borderId="19" xfId="47" applyNumberFormat="1" applyFont="1" applyFill="1" applyBorder="1" applyAlignment="1">
      <alignment horizontal="center" vertical="center"/>
    </xf>
    <xf numFmtId="167" fontId="16" fillId="40" borderId="20" xfId="0" applyNumberFormat="1" applyFont="1" applyFill="1" applyBorder="1" applyAlignment="1">
      <alignment horizontal="center" vertical="center" wrapText="1"/>
    </xf>
    <xf numFmtId="167" fontId="17" fillId="42" borderId="24" xfId="0" applyNumberFormat="1" applyFont="1" applyFill="1" applyBorder="1" applyAlignment="1">
      <alignment wrapText="1"/>
    </xf>
    <xf numFmtId="167" fontId="17" fillId="0" borderId="26" xfId="0" applyNumberFormat="1" applyFont="1" applyBorder="1" applyAlignment="1">
      <alignment horizontal="right" vertical="center" wrapText="1"/>
    </xf>
    <xf numFmtId="43" fontId="17" fillId="0" borderId="36" xfId="47" applyFont="1" applyBorder="1" applyAlignment="1">
      <alignment/>
    </xf>
    <xf numFmtId="43" fontId="17" fillId="0" borderId="0" xfId="47" applyFont="1" applyBorder="1" applyAlignment="1">
      <alignment/>
    </xf>
    <xf numFmtId="167" fontId="17" fillId="38" borderId="26" xfId="0" applyNumberFormat="1" applyFont="1" applyFill="1" applyBorder="1" applyAlignment="1">
      <alignment horizontal="right" vertical="center" wrapText="1"/>
    </xf>
    <xf numFmtId="167" fontId="17" fillId="38" borderId="10" xfId="47" applyNumberFormat="1" applyFont="1" applyFill="1" applyBorder="1" applyAlignment="1">
      <alignment/>
    </xf>
    <xf numFmtId="167" fontId="17" fillId="42" borderId="10" xfId="47" applyNumberFormat="1" applyFont="1" applyFill="1" applyBorder="1" applyAlignment="1">
      <alignment/>
    </xf>
    <xf numFmtId="167" fontId="17" fillId="0" borderId="28" xfId="0" applyNumberFormat="1" applyFont="1" applyBorder="1" applyAlignment="1">
      <alignment horizontal="right" vertical="center" wrapText="1"/>
    </xf>
    <xf numFmtId="167" fontId="16" fillId="42" borderId="10" xfId="47" applyNumberFormat="1" applyFont="1" applyFill="1" applyBorder="1" applyAlignment="1">
      <alignment/>
    </xf>
    <xf numFmtId="167" fontId="17" fillId="39" borderId="10" xfId="47" applyNumberFormat="1" applyFont="1" applyFill="1" applyBorder="1" applyAlignment="1">
      <alignment/>
    </xf>
    <xf numFmtId="167" fontId="17" fillId="0" borderId="0" xfId="0" applyNumberFormat="1" applyFont="1" applyBorder="1" applyAlignment="1">
      <alignment horizontal="right" vertical="center" wrapText="1"/>
    </xf>
    <xf numFmtId="167" fontId="17" fillId="43" borderId="10" xfId="47" applyNumberFormat="1" applyFont="1" applyFill="1" applyBorder="1" applyAlignment="1">
      <alignment/>
    </xf>
    <xf numFmtId="167" fontId="17" fillId="44" borderId="10" xfId="47" applyNumberFormat="1" applyFont="1" applyFill="1" applyBorder="1" applyAlignment="1">
      <alignment/>
    </xf>
    <xf numFmtId="167" fontId="16" fillId="41" borderId="10" xfId="47" applyNumberFormat="1" applyFont="1" applyFill="1" applyBorder="1" applyAlignment="1">
      <alignment/>
    </xf>
    <xf numFmtId="167" fontId="17" fillId="41" borderId="24" xfId="0" applyNumberFormat="1" applyFont="1" applyFill="1" applyBorder="1" applyAlignment="1">
      <alignment wrapText="1"/>
    </xf>
    <xf numFmtId="167" fontId="17" fillId="36" borderId="10" xfId="47" applyNumberFormat="1" applyFont="1" applyFill="1" applyBorder="1" applyAlignment="1">
      <alignment/>
    </xf>
    <xf numFmtId="167" fontId="17" fillId="36" borderId="24" xfId="0" applyNumberFormat="1" applyFont="1" applyFill="1" applyBorder="1" applyAlignment="1">
      <alignment wrapText="1"/>
    </xf>
    <xf numFmtId="167" fontId="17" fillId="39" borderId="28" xfId="0" applyNumberFormat="1" applyFont="1" applyFill="1" applyBorder="1" applyAlignment="1">
      <alignment horizontal="right" vertical="center" wrapText="1"/>
    </xf>
    <xf numFmtId="43" fontId="10" fillId="0" borderId="10" xfId="0" applyNumberFormat="1" applyFont="1" applyBorder="1" applyAlignment="1">
      <alignment wrapText="1"/>
    </xf>
    <xf numFmtId="167" fontId="17" fillId="0" borderId="0" xfId="0" applyNumberFormat="1" applyFont="1" applyAlignment="1">
      <alignment horizontal="right" vertical="center" wrapText="1"/>
    </xf>
    <xf numFmtId="167" fontId="17" fillId="0" borderId="32" xfId="0" applyNumberFormat="1" applyFont="1" applyBorder="1" applyAlignment="1">
      <alignment horizontal="right" vertical="center" wrapText="1"/>
    </xf>
    <xf numFmtId="167" fontId="16" fillId="0" borderId="33" xfId="0" applyNumberFormat="1" applyFont="1" applyBorder="1" applyAlignment="1">
      <alignment/>
    </xf>
    <xf numFmtId="167" fontId="54" fillId="0" borderId="0" xfId="0" applyNumberFormat="1" applyFont="1" applyAlignment="1">
      <alignment vertical="center" wrapText="1"/>
    </xf>
    <xf numFmtId="167" fontId="56" fillId="2" borderId="0" xfId="47" applyNumberFormat="1" applyFont="1" applyFill="1" applyAlignment="1">
      <alignment/>
    </xf>
    <xf numFmtId="167" fontId="16" fillId="40" borderId="35" xfId="0" applyNumberFormat="1" applyFont="1" applyFill="1" applyBorder="1" applyAlignment="1">
      <alignment horizontal="center" vertical="center" wrapText="1"/>
    </xf>
    <xf numFmtId="167" fontId="16" fillId="40" borderId="33" xfId="0" applyNumberFormat="1" applyFont="1" applyFill="1" applyBorder="1" applyAlignment="1">
      <alignment horizontal="center" vertical="center" wrapText="1"/>
    </xf>
    <xf numFmtId="167" fontId="16" fillId="40" borderId="37" xfId="0" applyNumberFormat="1" applyFont="1" applyFill="1" applyBorder="1" applyAlignment="1">
      <alignment horizontal="center"/>
    </xf>
    <xf numFmtId="167" fontId="16" fillId="40" borderId="38" xfId="0" applyNumberFormat="1" applyFont="1" applyFill="1" applyBorder="1" applyAlignment="1">
      <alignment horizontal="center"/>
    </xf>
    <xf numFmtId="167" fontId="16" fillId="40" borderId="20" xfId="0" applyNumberFormat="1" applyFont="1" applyFill="1" applyBorder="1" applyAlignment="1">
      <alignment horizontal="center"/>
    </xf>
    <xf numFmtId="167" fontId="55" fillId="0" borderId="0" xfId="0" applyNumberFormat="1" applyFont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rmal_Hoja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rlegu\Downloads\orocu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G6">
            <v>13432685638.60355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8A413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1" width="34.7109375" style="0" customWidth="1"/>
    <col min="2" max="2" width="14.57421875" style="12" customWidth="1"/>
    <col min="3" max="5" width="10.57421875" style="12" customWidth="1"/>
    <col min="6" max="6" width="12.57421875" style="32" customWidth="1"/>
  </cols>
  <sheetData>
    <row r="1" spans="1:6" s="26" customFormat="1" ht="20.25" customHeight="1">
      <c r="A1" s="23" t="s">
        <v>50</v>
      </c>
      <c r="B1" s="24">
        <v>2012</v>
      </c>
      <c r="C1" s="24">
        <v>2013</v>
      </c>
      <c r="D1" s="24">
        <v>2014</v>
      </c>
      <c r="E1" s="24">
        <v>2015</v>
      </c>
      <c r="F1" s="25">
        <v>0</v>
      </c>
    </row>
    <row r="2" spans="1:6" s="26" customFormat="1" ht="20.25" customHeight="1">
      <c r="A2" s="27" t="s">
        <v>52</v>
      </c>
      <c r="B2" s="28">
        <f>+B3+B27</f>
        <v>164676.40322200398</v>
      </c>
      <c r="C2" s="28">
        <f>+C3+C27</f>
        <v>19053.7890768413</v>
      </c>
      <c r="D2" s="28">
        <f>+D3+D27</f>
        <v>19005.27522991113</v>
      </c>
      <c r="E2" s="28">
        <f>+E3+E27</f>
        <v>17862.09008700017</v>
      </c>
      <c r="F2" s="29">
        <f>+E2+D2+C2+B2</f>
        <v>220597.55761575658</v>
      </c>
    </row>
    <row r="3" spans="1:6" ht="20.25" customHeight="1">
      <c r="A3" s="20" t="s">
        <v>53</v>
      </c>
      <c r="B3" s="21">
        <f>+B4+B15</f>
        <v>4557</v>
      </c>
      <c r="C3" s="21">
        <f>+C4+C15</f>
        <v>4744</v>
      </c>
      <c r="D3" s="21">
        <f>+D4+D15</f>
        <v>4939</v>
      </c>
      <c r="E3" s="21">
        <f>+E4+E15</f>
        <v>5140</v>
      </c>
      <c r="F3" s="30">
        <f aca="true" t="shared" si="0" ref="F3:F49">+E3+D3+C3+B3</f>
        <v>19380</v>
      </c>
    </row>
    <row r="4" spans="1:6" ht="20.25" customHeight="1">
      <c r="A4" s="20" t="s">
        <v>54</v>
      </c>
      <c r="B4" s="21">
        <f>+SUM(B5:B14)</f>
        <v>3586</v>
      </c>
      <c r="C4" s="21">
        <f>+SUM(C5:C14)</f>
        <v>3693</v>
      </c>
      <c r="D4" s="21">
        <f>+SUM(D5:D14)</f>
        <v>3804</v>
      </c>
      <c r="E4" s="21">
        <f>+SUM(E5:E14)</f>
        <v>3918</v>
      </c>
      <c r="F4" s="30">
        <f>+E4+D4+C4+B4</f>
        <v>15001</v>
      </c>
    </row>
    <row r="5" spans="1:6" ht="20.25" customHeight="1">
      <c r="A5" s="1" t="s">
        <v>55</v>
      </c>
      <c r="B5" s="7">
        <v>344</v>
      </c>
      <c r="C5" s="7">
        <v>354</v>
      </c>
      <c r="D5" s="7">
        <v>365</v>
      </c>
      <c r="E5" s="13">
        <v>376</v>
      </c>
      <c r="F5" s="31">
        <f t="shared" si="0"/>
        <v>1439</v>
      </c>
    </row>
    <row r="6" spans="1:6" ht="20.25" customHeight="1">
      <c r="A6" s="1" t="s">
        <v>56</v>
      </c>
      <c r="B6" s="7">
        <v>2259</v>
      </c>
      <c r="C6" s="7">
        <v>2326</v>
      </c>
      <c r="D6" s="7">
        <v>2396</v>
      </c>
      <c r="E6" s="13">
        <v>2468</v>
      </c>
      <c r="F6" s="31">
        <f t="shared" si="0"/>
        <v>9449</v>
      </c>
    </row>
    <row r="7" spans="1:6" ht="20.25" customHeight="1">
      <c r="A7" s="2" t="s">
        <v>57</v>
      </c>
      <c r="B7" s="7">
        <v>326</v>
      </c>
      <c r="C7" s="7">
        <v>336</v>
      </c>
      <c r="D7" s="7">
        <v>346</v>
      </c>
      <c r="E7" s="13">
        <v>356</v>
      </c>
      <c r="F7" s="31">
        <f t="shared" si="0"/>
        <v>1364</v>
      </c>
    </row>
    <row r="8" spans="1:6" ht="20.25" customHeight="1" hidden="1">
      <c r="A8" s="2" t="s">
        <v>58</v>
      </c>
      <c r="B8" s="7">
        <v>0</v>
      </c>
      <c r="C8" s="7">
        <v>0</v>
      </c>
      <c r="D8" s="7">
        <v>0</v>
      </c>
      <c r="E8" s="13">
        <v>0</v>
      </c>
      <c r="F8" s="31">
        <f t="shared" si="0"/>
        <v>0</v>
      </c>
    </row>
    <row r="9" spans="1:6" ht="20.25" customHeight="1" hidden="1">
      <c r="A9" s="2" t="s">
        <v>59</v>
      </c>
      <c r="B9" s="7">
        <v>0</v>
      </c>
      <c r="C9" s="7">
        <v>0</v>
      </c>
      <c r="D9" s="7">
        <v>0</v>
      </c>
      <c r="E9" s="13">
        <v>0</v>
      </c>
      <c r="F9" s="31">
        <f t="shared" si="0"/>
        <v>0</v>
      </c>
    </row>
    <row r="10" spans="1:6" ht="20.25" customHeight="1" hidden="1">
      <c r="A10" s="2" t="s">
        <v>60</v>
      </c>
      <c r="B10" s="7">
        <v>0</v>
      </c>
      <c r="C10" s="7">
        <v>0</v>
      </c>
      <c r="D10" s="7">
        <v>0</v>
      </c>
      <c r="E10" s="13">
        <v>0</v>
      </c>
      <c r="F10" s="31">
        <f t="shared" si="0"/>
        <v>0</v>
      </c>
    </row>
    <row r="11" spans="1:6" ht="20.25" customHeight="1" hidden="1">
      <c r="A11" s="2" t="s">
        <v>61</v>
      </c>
      <c r="B11" s="7">
        <v>0</v>
      </c>
      <c r="C11" s="7">
        <v>0</v>
      </c>
      <c r="D11" s="7">
        <v>0</v>
      </c>
      <c r="E11" s="13">
        <v>0</v>
      </c>
      <c r="F11" s="31">
        <f t="shared" si="0"/>
        <v>0</v>
      </c>
    </row>
    <row r="12" spans="1:6" ht="20.25" customHeight="1" hidden="1">
      <c r="A12" s="2" t="s">
        <v>62</v>
      </c>
      <c r="B12" s="7">
        <v>0</v>
      </c>
      <c r="C12" s="7">
        <v>0</v>
      </c>
      <c r="D12" s="7">
        <v>0</v>
      </c>
      <c r="E12" s="13">
        <v>0</v>
      </c>
      <c r="F12" s="31">
        <f t="shared" si="0"/>
        <v>0</v>
      </c>
    </row>
    <row r="13" spans="1:6" ht="20.25" customHeight="1">
      <c r="A13" s="2" t="s">
        <v>63</v>
      </c>
      <c r="B13" s="7">
        <f>192+326</f>
        <v>518</v>
      </c>
      <c r="C13" s="7">
        <f>198+336</f>
        <v>534</v>
      </c>
      <c r="D13" s="7">
        <f>204+346</f>
        <v>550</v>
      </c>
      <c r="E13" s="13">
        <f>210+356</f>
        <v>566</v>
      </c>
      <c r="F13" s="31">
        <f t="shared" si="0"/>
        <v>2168</v>
      </c>
    </row>
    <row r="14" spans="1:6" ht="20.25" customHeight="1">
      <c r="A14" s="1" t="s">
        <v>64</v>
      </c>
      <c r="B14" s="7">
        <v>139</v>
      </c>
      <c r="C14" s="7">
        <v>143</v>
      </c>
      <c r="D14" s="7">
        <v>147</v>
      </c>
      <c r="E14" s="13">
        <v>152</v>
      </c>
      <c r="F14" s="31">
        <f t="shared" si="0"/>
        <v>581</v>
      </c>
    </row>
    <row r="15" spans="1:6" ht="20.25" customHeight="1">
      <c r="A15" s="20" t="s">
        <v>65</v>
      </c>
      <c r="B15" s="21">
        <f>+B16+B17</f>
        <v>971</v>
      </c>
      <c r="C15" s="21">
        <f>+C16+C17</f>
        <v>1051</v>
      </c>
      <c r="D15" s="21">
        <f>+D16+D17</f>
        <v>1135</v>
      </c>
      <c r="E15" s="22">
        <f>+E16+E17</f>
        <v>1222</v>
      </c>
      <c r="F15" s="30">
        <f t="shared" si="0"/>
        <v>4379</v>
      </c>
    </row>
    <row r="16" spans="1:6" ht="20.25" customHeight="1">
      <c r="A16" s="1" t="s">
        <v>66</v>
      </c>
      <c r="B16" s="7">
        <v>971</v>
      </c>
      <c r="C16" s="7">
        <v>1051</v>
      </c>
      <c r="D16" s="7">
        <v>1135</v>
      </c>
      <c r="E16" s="13">
        <v>1222</v>
      </c>
      <c r="F16" s="31">
        <f t="shared" si="0"/>
        <v>4379</v>
      </c>
    </row>
    <row r="17" spans="1:6" ht="20.25" customHeight="1">
      <c r="A17" s="1" t="s">
        <v>67</v>
      </c>
      <c r="B17" s="7"/>
      <c r="C17" s="7"/>
      <c r="D17" s="7"/>
      <c r="E17" s="13"/>
      <c r="F17" s="31">
        <f t="shared" si="0"/>
        <v>0</v>
      </c>
    </row>
    <row r="18" spans="1:6" ht="20.25" customHeight="1" hidden="1">
      <c r="A18" s="17" t="s">
        <v>68</v>
      </c>
      <c r="B18" s="18">
        <f>+B19+B34</f>
        <v>3487</v>
      </c>
      <c r="C18" s="18">
        <f>+C19+C34</f>
        <v>4263</v>
      </c>
      <c r="D18" s="18">
        <f>+D19+D34</f>
        <v>4237</v>
      </c>
      <c r="E18" s="19">
        <f>+E19+E34</f>
        <v>4215</v>
      </c>
      <c r="F18" s="29">
        <f t="shared" si="0"/>
        <v>16202</v>
      </c>
    </row>
    <row r="19" spans="1:6" ht="20.25" customHeight="1" hidden="1">
      <c r="A19" s="1" t="s">
        <v>69</v>
      </c>
      <c r="B19" s="8">
        <f>+B20+B24+B25</f>
        <v>3487</v>
      </c>
      <c r="C19" s="8">
        <f>+C20+C24+C25</f>
        <v>4263</v>
      </c>
      <c r="D19" s="8">
        <f>+D20+D24+D25</f>
        <v>4237</v>
      </c>
      <c r="E19" s="14">
        <f>+E20+E24+E25</f>
        <v>4215</v>
      </c>
      <c r="F19" s="31">
        <f t="shared" si="0"/>
        <v>16202</v>
      </c>
    </row>
    <row r="20" spans="1:6" ht="20.25" customHeight="1" hidden="1">
      <c r="A20" s="1" t="s">
        <v>70</v>
      </c>
      <c r="B20" s="8">
        <f>+B21+B22+B23</f>
        <v>3447</v>
      </c>
      <c r="C20" s="8">
        <f>+C21+C22+C23</f>
        <v>3591</v>
      </c>
      <c r="D20" s="8">
        <f>+D21+D22+D23</f>
        <v>3741</v>
      </c>
      <c r="E20" s="14">
        <f>+E21+E22+E23</f>
        <v>3896</v>
      </c>
      <c r="F20" s="31">
        <f t="shared" si="0"/>
        <v>14675</v>
      </c>
    </row>
    <row r="21" spans="1:6" ht="20.25" customHeight="1" hidden="1">
      <c r="A21" s="1" t="s">
        <v>71</v>
      </c>
      <c r="B21" s="7">
        <v>2515</v>
      </c>
      <c r="C21" s="7">
        <v>2620</v>
      </c>
      <c r="D21" s="7">
        <v>2729</v>
      </c>
      <c r="E21" s="13">
        <v>2842</v>
      </c>
      <c r="F21" s="31">
        <f t="shared" si="0"/>
        <v>10706</v>
      </c>
    </row>
    <row r="22" spans="1:6" ht="20.25" customHeight="1" hidden="1">
      <c r="A22" s="1" t="s">
        <v>72</v>
      </c>
      <c r="B22" s="7">
        <v>932</v>
      </c>
      <c r="C22" s="7">
        <v>971</v>
      </c>
      <c r="D22" s="7">
        <v>1012</v>
      </c>
      <c r="E22" s="13">
        <v>1054</v>
      </c>
      <c r="F22" s="31">
        <f t="shared" si="0"/>
        <v>3969</v>
      </c>
    </row>
    <row r="23" spans="1:6" ht="22.5" customHeight="1" hidden="1">
      <c r="A23" s="2" t="s">
        <v>73</v>
      </c>
      <c r="B23" s="7">
        <v>0</v>
      </c>
      <c r="C23" s="7">
        <v>0</v>
      </c>
      <c r="D23" s="7">
        <v>0</v>
      </c>
      <c r="E23" s="13">
        <v>0</v>
      </c>
      <c r="F23" s="31">
        <f t="shared" si="0"/>
        <v>0</v>
      </c>
    </row>
    <row r="24" spans="1:6" ht="20.25" customHeight="1" hidden="1">
      <c r="A24" s="1" t="s">
        <v>74</v>
      </c>
      <c r="B24" s="8"/>
      <c r="C24" s="8">
        <v>629</v>
      </c>
      <c r="D24" s="8">
        <v>449</v>
      </c>
      <c r="E24" s="14">
        <v>269</v>
      </c>
      <c r="F24" s="31">
        <f t="shared" si="0"/>
        <v>1347</v>
      </c>
    </row>
    <row r="25" spans="1:6" ht="20.25" customHeight="1" hidden="1">
      <c r="A25" s="2" t="s">
        <v>75</v>
      </c>
      <c r="B25" s="7">
        <v>40</v>
      </c>
      <c r="C25" s="7">
        <v>43</v>
      </c>
      <c r="D25" s="7">
        <v>47</v>
      </c>
      <c r="E25" s="13">
        <v>50</v>
      </c>
      <c r="F25" s="31">
        <f t="shared" si="0"/>
        <v>180</v>
      </c>
    </row>
    <row r="26" spans="1:6" ht="20.25" customHeight="1" hidden="1">
      <c r="A26" s="20" t="s">
        <v>76</v>
      </c>
      <c r="B26" s="21">
        <f>+B3-B19</f>
        <v>1070</v>
      </c>
      <c r="C26" s="21">
        <f>+C3-C19</f>
        <v>481</v>
      </c>
      <c r="D26" s="21">
        <f>+D3-D19</f>
        <v>702</v>
      </c>
      <c r="E26" s="22">
        <f>+E3-E19</f>
        <v>925</v>
      </c>
      <c r="F26" s="30">
        <f t="shared" si="0"/>
        <v>3178</v>
      </c>
    </row>
    <row r="27" spans="1:6" ht="20.25" customHeight="1">
      <c r="A27" s="20" t="s">
        <v>145</v>
      </c>
      <c r="B27" s="21">
        <f>+SUM(B28:B33)</f>
        <v>160119.40322200398</v>
      </c>
      <c r="C27" s="21">
        <f>+SUM(C28:C33)</f>
        <v>14309.789076841302</v>
      </c>
      <c r="D27" s="21">
        <f>+SUM(D28:D33)</f>
        <v>14066.275229911129</v>
      </c>
      <c r="E27" s="22">
        <f>+SUM(E28:E33)</f>
        <v>12722.09008700017</v>
      </c>
      <c r="F27" s="30">
        <f t="shared" si="0"/>
        <v>201217.55761575658</v>
      </c>
    </row>
    <row r="28" spans="1:6" ht="20.25" customHeight="1">
      <c r="A28" s="3" t="s">
        <v>168</v>
      </c>
      <c r="B28" s="135">
        <v>134326.856386035</v>
      </c>
      <c r="C28" s="7">
        <v>8797.01751340699</v>
      </c>
      <c r="D28" s="7">
        <v>8224.50235287552</v>
      </c>
      <c r="E28" s="13">
        <v>6596.99126651748</v>
      </c>
      <c r="F28" s="31">
        <f t="shared" si="0"/>
        <v>157945.367518835</v>
      </c>
    </row>
    <row r="29" spans="1:6" ht="20.25" customHeight="1">
      <c r="A29" s="3" t="s">
        <v>149</v>
      </c>
      <c r="B29" s="7">
        <f>15036909357.5/1000000</f>
        <v>15036.9093575</v>
      </c>
      <c r="C29" s="7"/>
      <c r="D29" s="7"/>
      <c r="E29" s="13"/>
      <c r="F29" s="31"/>
    </row>
    <row r="30" spans="1:6" ht="27.75" customHeight="1">
      <c r="A30" s="43" t="s">
        <v>154</v>
      </c>
      <c r="B30" s="7">
        <v>5556.732989</v>
      </c>
      <c r="C30" s="7"/>
      <c r="D30" s="7"/>
      <c r="E30" s="13"/>
      <c r="F30" s="31"/>
    </row>
    <row r="31" spans="1:6" ht="20.25" customHeight="1">
      <c r="A31" s="3" t="s">
        <v>146</v>
      </c>
      <c r="B31" s="33">
        <v>4320.90448946896</v>
      </c>
      <c r="C31" s="33">
        <v>4606.77156343431</v>
      </c>
      <c r="D31" s="7">
        <v>4905.77287703561</v>
      </c>
      <c r="E31" s="13">
        <v>5218.09882048269</v>
      </c>
      <c r="F31" s="31">
        <f t="shared" si="0"/>
        <v>19051.547750421567</v>
      </c>
    </row>
    <row r="32" spans="1:6" ht="20.25" customHeight="1">
      <c r="A32" s="3" t="s">
        <v>147</v>
      </c>
      <c r="B32" s="7">
        <v>554</v>
      </c>
      <c r="C32" s="7">
        <v>581</v>
      </c>
      <c r="D32" s="7">
        <v>609</v>
      </c>
      <c r="E32" s="13">
        <v>638</v>
      </c>
      <c r="F32" s="31">
        <f t="shared" si="0"/>
        <v>2382</v>
      </c>
    </row>
    <row r="33" spans="1:6" ht="20.25" customHeight="1">
      <c r="A33" s="2" t="s">
        <v>148</v>
      </c>
      <c r="B33" s="7">
        <v>324</v>
      </c>
      <c r="C33" s="7">
        <v>325</v>
      </c>
      <c r="D33" s="7">
        <v>327</v>
      </c>
      <c r="E33" s="13">
        <v>269</v>
      </c>
      <c r="F33" s="31">
        <f t="shared" si="0"/>
        <v>1245</v>
      </c>
    </row>
    <row r="34" spans="1:6" ht="20.25" customHeight="1" hidden="1">
      <c r="A34" s="20" t="s">
        <v>77</v>
      </c>
      <c r="B34" s="21">
        <f>+B35+B36</f>
        <v>0</v>
      </c>
      <c r="C34" s="21">
        <f>+C35+C36</f>
        <v>0</v>
      </c>
      <c r="D34" s="21">
        <f>+D35+D36</f>
        <v>0</v>
      </c>
      <c r="E34" s="22">
        <f>+E35+E36</f>
        <v>0</v>
      </c>
      <c r="F34" s="30">
        <f t="shared" si="0"/>
        <v>0</v>
      </c>
    </row>
    <row r="35" spans="1:6" ht="20.25" customHeight="1" hidden="1">
      <c r="A35" s="2" t="s">
        <v>78</v>
      </c>
      <c r="B35" s="7">
        <v>0</v>
      </c>
      <c r="C35" s="7">
        <v>0</v>
      </c>
      <c r="D35" s="7">
        <v>0</v>
      </c>
      <c r="E35" s="13">
        <v>0</v>
      </c>
      <c r="F35" s="31">
        <f t="shared" si="0"/>
        <v>0</v>
      </c>
    </row>
    <row r="36" spans="1:6" ht="20.25" customHeight="1" hidden="1">
      <c r="A36" s="2" t="s">
        <v>79</v>
      </c>
      <c r="B36" s="7">
        <v>0</v>
      </c>
      <c r="C36" s="7">
        <v>0</v>
      </c>
      <c r="D36" s="7">
        <v>0</v>
      </c>
      <c r="E36" s="13">
        <v>0</v>
      </c>
      <c r="F36" s="31">
        <f t="shared" si="0"/>
        <v>0</v>
      </c>
    </row>
    <row r="37" spans="1:6" ht="20.25" customHeight="1" hidden="1">
      <c r="A37" s="17" t="s">
        <v>80</v>
      </c>
      <c r="B37" s="18">
        <f>+B26+B27-B34</f>
        <v>161189.40322200398</v>
      </c>
      <c r="C37" s="18">
        <f>+C26+C27-C34</f>
        <v>14790.789076841302</v>
      </c>
      <c r="D37" s="18">
        <f>+D26+D27-D34</f>
        <v>14768.275229911129</v>
      </c>
      <c r="E37" s="19">
        <f>+E26+E27-E34</f>
        <v>13647.09008700017</v>
      </c>
      <c r="F37" s="29">
        <f t="shared" si="0"/>
        <v>204395.55761575658</v>
      </c>
    </row>
    <row r="38" spans="1:6" ht="20.25" customHeight="1" hidden="1">
      <c r="A38" s="17" t="s">
        <v>81</v>
      </c>
      <c r="B38" s="18" t="e">
        <f>+B39+#REF!</f>
        <v>#REF!</v>
      </c>
      <c r="C38" s="18" t="e">
        <f>+C39+#REF!</f>
        <v>#REF!</v>
      </c>
      <c r="D38" s="18" t="e">
        <f>+D39+#REF!</f>
        <v>#REF!</v>
      </c>
      <c r="E38" s="19" t="e">
        <f>+E39+#REF!</f>
        <v>#REF!</v>
      </c>
      <c r="F38" s="29" t="e">
        <f t="shared" si="0"/>
        <v>#REF!</v>
      </c>
    </row>
    <row r="39" spans="1:6" ht="20.25" customHeight="1">
      <c r="A39" s="20" t="s">
        <v>82</v>
      </c>
      <c r="B39" s="21">
        <f>+B40-B41</f>
        <v>4325</v>
      </c>
      <c r="C39" s="21">
        <f>+C40-C41</f>
        <v>0</v>
      </c>
      <c r="D39" s="21">
        <f>+D40-D41</f>
        <v>0</v>
      </c>
      <c r="E39" s="22">
        <f>+E40-E41</f>
        <v>0</v>
      </c>
      <c r="F39" s="30">
        <f t="shared" si="0"/>
        <v>4325</v>
      </c>
    </row>
    <row r="40" spans="1:6" ht="20.25" customHeight="1">
      <c r="A40" s="1" t="s">
        <v>83</v>
      </c>
      <c r="B40" s="7">
        <v>4325</v>
      </c>
      <c r="C40" s="7">
        <v>0</v>
      </c>
      <c r="D40" s="7">
        <v>0</v>
      </c>
      <c r="E40" s="13">
        <v>0</v>
      </c>
      <c r="F40" s="31">
        <f t="shared" si="0"/>
        <v>4325</v>
      </c>
    </row>
    <row r="41" spans="1:6" ht="20.25" customHeight="1">
      <c r="A41" s="1" t="s">
        <v>84</v>
      </c>
      <c r="B41" s="7"/>
      <c r="C41" s="7"/>
      <c r="D41" s="7"/>
      <c r="E41" s="13"/>
      <c r="F41" s="31">
        <f t="shared" si="0"/>
        <v>0</v>
      </c>
    </row>
    <row r="42" spans="1:6" ht="20.25" customHeight="1">
      <c r="A42" s="17" t="s">
        <v>85</v>
      </c>
      <c r="B42" s="41">
        <f>+B1</f>
        <v>2012</v>
      </c>
      <c r="C42" s="41">
        <f>+C1</f>
        <v>2013</v>
      </c>
      <c r="D42" s="41">
        <f>+D1</f>
        <v>2014</v>
      </c>
      <c r="E42" s="42">
        <f>+E1</f>
        <v>2015</v>
      </c>
      <c r="F42" s="29"/>
    </row>
    <row r="43" spans="1:6" ht="20.25" customHeight="1">
      <c r="A43" s="4" t="s">
        <v>86</v>
      </c>
      <c r="B43" s="9">
        <f>+B40</f>
        <v>4325</v>
      </c>
      <c r="C43" s="9">
        <f>+C40</f>
        <v>0</v>
      </c>
      <c r="D43" s="9">
        <f>+D40</f>
        <v>0</v>
      </c>
      <c r="E43" s="15">
        <f>+E40</f>
        <v>0</v>
      </c>
      <c r="F43" s="31">
        <f t="shared" si="0"/>
        <v>4325</v>
      </c>
    </row>
    <row r="44" spans="1:6" ht="20.25" customHeight="1">
      <c r="A44" s="5" t="s">
        <v>87</v>
      </c>
      <c r="B44" s="10">
        <v>0</v>
      </c>
      <c r="C44" s="10">
        <v>0</v>
      </c>
      <c r="D44" s="10">
        <v>0</v>
      </c>
      <c r="E44" s="16">
        <v>0</v>
      </c>
      <c r="F44" s="31">
        <f t="shared" si="0"/>
        <v>0</v>
      </c>
    </row>
    <row r="45" spans="1:6" ht="20.25" customHeight="1">
      <c r="A45" s="6"/>
      <c r="B45" s="11"/>
      <c r="C45" s="11"/>
      <c r="D45" s="11"/>
      <c r="E45" s="11"/>
      <c r="F45" s="31">
        <f t="shared" si="0"/>
        <v>0</v>
      </c>
    </row>
    <row r="46" spans="1:6" ht="20.25" customHeight="1">
      <c r="A46" s="17" t="s">
        <v>88</v>
      </c>
      <c r="B46" s="41">
        <f>+B1</f>
        <v>2012</v>
      </c>
      <c r="C46" s="41">
        <f>+C1</f>
        <v>2013</v>
      </c>
      <c r="D46" s="41">
        <f>+D1</f>
        <v>2014</v>
      </c>
      <c r="E46" s="42">
        <f>+E1</f>
        <v>2015</v>
      </c>
      <c r="F46" s="29"/>
    </row>
    <row r="47" spans="1:6" ht="20.25" customHeight="1">
      <c r="A47" s="20" t="s">
        <v>51</v>
      </c>
      <c r="B47" s="21">
        <f>+B27+B3</f>
        <v>164676.40322200398</v>
      </c>
      <c r="C47" s="21">
        <f>+C27+C3</f>
        <v>19053.7890768413</v>
      </c>
      <c r="D47" s="21">
        <f>+D27+D3</f>
        <v>19005.27522991113</v>
      </c>
      <c r="E47" s="21">
        <f>+E27+E3</f>
        <v>17862.09008700017</v>
      </c>
      <c r="F47" s="30">
        <f t="shared" si="0"/>
        <v>220597.55761575658</v>
      </c>
    </row>
    <row r="48" spans="1:6" ht="20.25" customHeight="1" hidden="1">
      <c r="A48" s="20" t="s">
        <v>89</v>
      </c>
      <c r="B48" s="21">
        <f>+B18+B41</f>
        <v>3487</v>
      </c>
      <c r="C48" s="21">
        <f>+C18+C41</f>
        <v>4263</v>
      </c>
      <c r="D48" s="21">
        <f>+D18+D41</f>
        <v>4237</v>
      </c>
      <c r="E48" s="22">
        <f>+E18+E41</f>
        <v>4215</v>
      </c>
      <c r="F48" s="30">
        <f t="shared" si="0"/>
        <v>16202</v>
      </c>
    </row>
    <row r="49" spans="1:6" ht="20.25" customHeight="1" hidden="1">
      <c r="A49" s="20" t="s">
        <v>90</v>
      </c>
      <c r="B49" s="21">
        <f>+B47-B48</f>
        <v>161189.40322200398</v>
      </c>
      <c r="C49" s="21">
        <f>+C47-C48</f>
        <v>14790.789076841302</v>
      </c>
      <c r="D49" s="21">
        <f>+D47-D48</f>
        <v>14768.27522991113</v>
      </c>
      <c r="E49" s="22">
        <f>+E47-E48</f>
        <v>13647.090087000171</v>
      </c>
      <c r="F49" s="30">
        <f t="shared" si="0"/>
        <v>204395.55761575658</v>
      </c>
    </row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33.75" customHeight="1"/>
    <row r="58" ht="28.5" customHeight="1"/>
    <row r="59" ht="28.5" customHeight="1"/>
    <row r="60" ht="28.5" customHeight="1"/>
    <row r="61" ht="33.7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4.7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</sheetData>
  <sheetProtection/>
  <printOptions/>
  <pageMargins left="0.7" right="0.7" top="0.75" bottom="0.75" header="0.3" footer="0.3"/>
  <pageSetup horizontalDpi="200" verticalDpi="200" orientation="portrait" paperSize="9" r:id="rId3"/>
  <legacyDrawing r:id="rId2"/>
  <oleObjects>
    <oleObject progId="Excel.Sheet.12" shapeId="566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zoomScale="50" zoomScaleNormal="50" zoomScalePageLayoutView="0" workbookViewId="0" topLeftCell="A1">
      <pane xSplit="1" ySplit="15" topLeftCell="O16" activePane="bottomRight" state="frozen"/>
      <selection pane="topLeft" activeCell="A10" sqref="A10"/>
      <selection pane="topRight" activeCell="B10" sqref="B10"/>
      <selection pane="bottomLeft" activeCell="A16" sqref="A16"/>
      <selection pane="bottomRight" activeCell="A89" sqref="A89:H122"/>
    </sheetView>
  </sheetViews>
  <sheetFormatPr defaultColWidth="11.421875" defaultRowHeight="15"/>
  <cols>
    <col min="1" max="1" width="52.140625" style="98" customWidth="1"/>
    <col min="2" max="4" width="23.8515625" style="34" customWidth="1"/>
    <col min="5" max="5" width="27.57421875" style="34" customWidth="1"/>
    <col min="6" max="6" width="26.421875" style="40" customWidth="1"/>
    <col min="7" max="7" width="23.57421875" style="36" customWidth="1"/>
    <col min="8" max="8" width="21.8515625" style="98" customWidth="1"/>
    <col min="9" max="10" width="37.421875" style="34" customWidth="1"/>
    <col min="11" max="11" width="37.421875" style="40" customWidth="1"/>
    <col min="12" max="13" width="37.421875" style="34" customWidth="1"/>
    <col min="14" max="15" width="35.7109375" style="34" customWidth="1"/>
    <col min="16" max="16" width="35.7109375" style="40" customWidth="1"/>
    <col min="17" max="18" width="35.7109375" style="34" customWidth="1"/>
    <col min="19" max="19" width="24.28125" style="34" customWidth="1"/>
    <col min="20" max="20" width="26.28125" style="34" customWidth="1"/>
    <col min="21" max="21" width="26.28125" style="40" customWidth="1"/>
    <col min="22" max="22" width="24.57421875" style="34" customWidth="1"/>
    <col min="23" max="23" width="24.8515625" style="34" customWidth="1"/>
    <col min="24" max="24" width="26.28125" style="34" customWidth="1"/>
    <col min="25" max="16384" width="11.421875" style="34" customWidth="1"/>
  </cols>
  <sheetData>
    <row r="1" spans="7:22" ht="19.5" customHeight="1" hidden="1">
      <c r="G1" s="99">
        <v>1074361284.1750023</v>
      </c>
      <c r="H1" s="98" t="s">
        <v>94</v>
      </c>
      <c r="L1" s="44">
        <v>1002060100.6549661</v>
      </c>
      <c r="Q1" s="44">
        <v>1037734216.0681732</v>
      </c>
      <c r="V1" s="45">
        <v>1074361284.1750023</v>
      </c>
    </row>
    <row r="2" spans="7:22" ht="19.5" customHeight="1" hidden="1">
      <c r="G2" s="99">
        <v>22181303.462289266</v>
      </c>
      <c r="H2" s="98" t="s">
        <v>95</v>
      </c>
      <c r="L2" s="44">
        <v>22692924.55190772</v>
      </c>
      <c r="Q2" s="44">
        <v>22437114.007098496</v>
      </c>
      <c r="V2" s="45">
        <v>22181303.462289266</v>
      </c>
    </row>
    <row r="3" spans="7:22" ht="19.5" customHeight="1" hidden="1">
      <c r="G3" s="100">
        <v>554129251</v>
      </c>
      <c r="H3" s="101" t="s">
        <v>96</v>
      </c>
      <c r="I3" s="36"/>
      <c r="J3" s="36"/>
      <c r="K3" s="46"/>
      <c r="L3" s="36">
        <v>581015393</v>
      </c>
      <c r="M3" s="36"/>
      <c r="N3" s="36"/>
      <c r="O3" s="36"/>
      <c r="P3" s="46"/>
      <c r="Q3" s="36">
        <v>608864251</v>
      </c>
      <c r="R3" s="36"/>
      <c r="S3" s="36"/>
      <c r="T3" s="36"/>
      <c r="U3" s="46"/>
      <c r="V3" s="36">
        <v>637731683</v>
      </c>
    </row>
    <row r="4" spans="7:22" ht="19.5" customHeight="1" hidden="1">
      <c r="G4" s="47">
        <v>163649128</v>
      </c>
      <c r="H4" s="101" t="s">
        <v>97</v>
      </c>
      <c r="I4" s="36"/>
      <c r="J4" s="36"/>
      <c r="K4" s="46"/>
      <c r="L4" s="47">
        <v>166489509</v>
      </c>
      <c r="M4" s="36"/>
      <c r="N4" s="36"/>
      <c r="O4" s="36"/>
      <c r="P4" s="46"/>
      <c r="Q4" s="36">
        <v>118710461</v>
      </c>
      <c r="R4" s="36"/>
      <c r="S4" s="36"/>
      <c r="T4" s="36"/>
      <c r="U4" s="46"/>
      <c r="V4" s="36">
        <v>94968369</v>
      </c>
    </row>
    <row r="5" spans="7:22" ht="19.5" customHeight="1" hidden="1">
      <c r="G5" s="102">
        <v>654596513</v>
      </c>
      <c r="H5" s="101" t="s">
        <v>98</v>
      </c>
      <c r="I5" s="36"/>
      <c r="J5" s="36"/>
      <c r="K5" s="46"/>
      <c r="L5" s="36">
        <v>665958039</v>
      </c>
      <c r="M5" s="36"/>
      <c r="N5" s="36"/>
      <c r="O5" s="36"/>
      <c r="P5" s="46"/>
      <c r="Q5" s="36">
        <v>474841846</v>
      </c>
      <c r="R5" s="36"/>
      <c r="S5" s="36"/>
      <c r="T5" s="36"/>
      <c r="U5" s="46"/>
      <c r="V5" s="36">
        <v>379873477</v>
      </c>
    </row>
    <row r="6" spans="7:22" ht="19.5" customHeight="1" hidden="1">
      <c r="G6" s="103">
        <v>799383505</v>
      </c>
      <c r="H6" s="101" t="s">
        <v>99</v>
      </c>
      <c r="I6" s="36"/>
      <c r="J6" s="36"/>
      <c r="K6" s="46"/>
      <c r="L6" s="36">
        <v>813258030</v>
      </c>
      <c r="M6" s="36"/>
      <c r="N6" s="36"/>
      <c r="O6" s="36"/>
      <c r="P6" s="46"/>
      <c r="Q6" s="36">
        <v>579869784</v>
      </c>
      <c r="R6" s="36"/>
      <c r="S6" s="36"/>
      <c r="T6" s="36"/>
      <c r="U6" s="46"/>
      <c r="V6" s="36">
        <v>463895827</v>
      </c>
    </row>
    <row r="7" spans="7:22" ht="19.5" customHeight="1" hidden="1">
      <c r="G7" s="104">
        <v>47077760</v>
      </c>
      <c r="H7" s="105" t="s">
        <v>100</v>
      </c>
      <c r="L7" s="36">
        <v>48383853</v>
      </c>
      <c r="Q7" s="36">
        <v>47125655</v>
      </c>
      <c r="V7" s="36">
        <v>47137507</v>
      </c>
    </row>
    <row r="8" spans="5:22" ht="19.5" customHeight="1" hidden="1">
      <c r="E8" s="34">
        <f>+F10*3%</f>
        <v>402980569.1581065</v>
      </c>
      <c r="G8" s="106">
        <v>22440000</v>
      </c>
      <c r="H8" s="105" t="s">
        <v>101</v>
      </c>
      <c r="L8" s="36">
        <v>2288800</v>
      </c>
      <c r="Q8" s="36">
        <v>23346576</v>
      </c>
      <c r="V8" s="36">
        <v>23813507</v>
      </c>
    </row>
    <row r="9" spans="7:22" ht="19.5" customHeight="1" hidden="1">
      <c r="G9" s="36">
        <f>SUM(G1:G8)</f>
        <v>3337818744.637292</v>
      </c>
      <c r="L9" s="36">
        <f>SUM(L1:L8)</f>
        <v>3302146649.206874</v>
      </c>
      <c r="Q9" s="36">
        <f>SUM(Q1:Q8)</f>
        <v>2912929903.0752716</v>
      </c>
      <c r="V9" s="36">
        <f>SUM(V1:V8)</f>
        <v>2743962957.637292</v>
      </c>
    </row>
    <row r="10" spans="1:24" ht="19.5" customHeight="1" hidden="1">
      <c r="A10" s="107" t="s">
        <v>91</v>
      </c>
      <c r="B10" s="36">
        <v>1379000000</v>
      </c>
      <c r="C10" s="36">
        <v>4320904489.468965</v>
      </c>
      <c r="D10" s="36">
        <v>5556732989</v>
      </c>
      <c r="E10" s="36">
        <v>15036909357.5</v>
      </c>
      <c r="F10" s="46">
        <f>+'[1]Hoja1'!$G$6</f>
        <v>13432685638.60355</v>
      </c>
      <c r="G10" s="36">
        <f>+G9</f>
        <v>3337818744.637292</v>
      </c>
      <c r="H10" s="101"/>
      <c r="I10" s="36">
        <v>839500949</v>
      </c>
      <c r="J10" s="36">
        <v>4606771563.434314</v>
      </c>
      <c r="K10" s="46">
        <v>8797017513.406992</v>
      </c>
      <c r="L10" s="36">
        <f>+L9</f>
        <v>3302146649.206874</v>
      </c>
      <c r="M10" s="36"/>
      <c r="N10" s="36">
        <v>874535470</v>
      </c>
      <c r="O10" s="36">
        <v>4905772877.035615</v>
      </c>
      <c r="P10" s="46">
        <v>8224502352.8755245</v>
      </c>
      <c r="Q10" s="36">
        <f>+Q9</f>
        <v>2912929903.0752716</v>
      </c>
      <c r="R10" s="36"/>
      <c r="S10" s="36">
        <v>910867751.79</v>
      </c>
      <c r="T10" s="36">
        <v>5218098820.482694</v>
      </c>
      <c r="U10" s="46">
        <v>6596991266.517483</v>
      </c>
      <c r="V10" s="36">
        <f>+V9</f>
        <v>2743962957.637292</v>
      </c>
      <c r="X10" s="34">
        <f>SUM(B10:W10)</f>
        <v>92997149293.67186</v>
      </c>
    </row>
    <row r="11" spans="1:24" ht="19.5" customHeight="1" hidden="1">
      <c r="A11" s="107" t="s">
        <v>92</v>
      </c>
      <c r="B11" s="36">
        <f aca="true" t="shared" si="0" ref="B11:G11">+B122</f>
        <v>1432000000</v>
      </c>
      <c r="C11" s="36">
        <f t="shared" si="0"/>
        <v>4320904489.24554</v>
      </c>
      <c r="D11" s="36">
        <f t="shared" si="0"/>
        <v>5556732989</v>
      </c>
      <c r="E11" s="36">
        <f t="shared" si="0"/>
        <v>15036909357.5</v>
      </c>
      <c r="F11" s="46">
        <f t="shared" si="0"/>
        <v>13432685639</v>
      </c>
      <c r="G11" s="36">
        <f t="shared" si="0"/>
        <v>3337818744.637292</v>
      </c>
      <c r="H11" s="101" t="s">
        <v>153</v>
      </c>
      <c r="I11" s="36">
        <f>+I122</f>
        <v>1159000000</v>
      </c>
      <c r="J11" s="36">
        <f>+J122</f>
        <v>4606771563.279175</v>
      </c>
      <c r="K11" s="46">
        <f>+K122</f>
        <v>8797017513</v>
      </c>
      <c r="L11" s="36">
        <f>+L122</f>
        <v>3302146649.206874</v>
      </c>
      <c r="M11" s="36"/>
      <c r="N11" s="36">
        <f>+N122</f>
        <v>1071200000</v>
      </c>
      <c r="O11" s="36">
        <f>+O122</f>
        <v>4905772877.207527</v>
      </c>
      <c r="P11" s="46">
        <f>+P122</f>
        <v>8224502353</v>
      </c>
      <c r="Q11" s="36">
        <f>+Q122</f>
        <v>2912929903.0752716</v>
      </c>
      <c r="R11" s="36"/>
      <c r="S11" s="36">
        <f>+S122</f>
        <v>1205022500</v>
      </c>
      <c r="T11" s="36">
        <f>+T122</f>
        <v>5218098820.777098</v>
      </c>
      <c r="U11" s="46">
        <f>+U122</f>
        <v>6596991267</v>
      </c>
      <c r="V11" s="36">
        <f>+V122</f>
        <v>2743962957.637292</v>
      </c>
      <c r="X11" s="34">
        <f>SUM(B11:W11)</f>
        <v>93860467623.56609</v>
      </c>
    </row>
    <row r="12" spans="1:24" ht="19.5" customHeight="1" hidden="1">
      <c r="A12" s="107" t="s">
        <v>93</v>
      </c>
      <c r="B12" s="34">
        <f>+B10-B11</f>
        <v>-53000000</v>
      </c>
      <c r="C12" s="34">
        <f>+C10-C11</f>
        <v>0.22342491149902344</v>
      </c>
      <c r="D12" s="34">
        <f>+D10-D11</f>
        <v>0</v>
      </c>
      <c r="E12" s="34">
        <f>+E10-E11</f>
        <v>0</v>
      </c>
      <c r="F12" s="40">
        <f>+F10-F11</f>
        <v>-0.3964500427246094</v>
      </c>
      <c r="G12" s="34">
        <f>+G10-G11</f>
        <v>0</v>
      </c>
      <c r="I12" s="34">
        <f>+I10-I11</f>
        <v>-319499051</v>
      </c>
      <c r="J12" s="34">
        <f>+J10-J11</f>
        <v>0.15513896942138672</v>
      </c>
      <c r="K12" s="39">
        <f>+K10-K11</f>
        <v>0.40699195861816406</v>
      </c>
      <c r="L12" s="34">
        <f>+L10-L11</f>
        <v>0</v>
      </c>
      <c r="N12" s="34">
        <f>+N10-N11</f>
        <v>-196664530</v>
      </c>
      <c r="O12" s="34">
        <f>+O10-O11</f>
        <v>-0.17191219329833984</v>
      </c>
      <c r="P12" s="39">
        <f>+P10-P11</f>
        <v>-0.12447547912597656</v>
      </c>
      <c r="Q12" s="34">
        <f>+Q10-Q11</f>
        <v>0</v>
      </c>
      <c r="S12" s="34">
        <f>+S10-S11</f>
        <v>-294154748.21000004</v>
      </c>
      <c r="T12" s="34">
        <f>+T10-T11</f>
        <v>-0.2944040298461914</v>
      </c>
      <c r="U12" s="39">
        <f>+U10-U11</f>
        <v>-0.4825172424316406</v>
      </c>
      <c r="V12" s="39">
        <f>+V10-V11</f>
        <v>0</v>
      </c>
      <c r="X12" s="34">
        <f>SUM(B12:W12)</f>
        <v>-863318329.8942032</v>
      </c>
    </row>
    <row r="13" ht="19.5" customHeight="1" hidden="1" thickBot="1"/>
    <row r="14" spans="1:25" ht="19.5" customHeight="1" thickBot="1">
      <c r="A14" s="96" t="s">
        <v>0</v>
      </c>
      <c r="B14" s="138">
        <v>2012</v>
      </c>
      <c r="C14" s="139"/>
      <c r="D14" s="139"/>
      <c r="E14" s="139"/>
      <c r="F14" s="139"/>
      <c r="G14" s="139"/>
      <c r="H14" s="140"/>
      <c r="I14" s="138">
        <v>2013</v>
      </c>
      <c r="J14" s="139"/>
      <c r="K14" s="139"/>
      <c r="L14" s="139"/>
      <c r="M14" s="140"/>
      <c r="N14" s="139">
        <v>2014</v>
      </c>
      <c r="O14" s="139"/>
      <c r="P14" s="139"/>
      <c r="Q14" s="139"/>
      <c r="R14" s="140"/>
      <c r="S14" s="138">
        <v>2015</v>
      </c>
      <c r="T14" s="139"/>
      <c r="U14" s="139"/>
      <c r="V14" s="139"/>
      <c r="W14" s="140"/>
      <c r="X14" s="136" t="s">
        <v>5</v>
      </c>
      <c r="Y14" s="48"/>
    </row>
    <row r="15" spans="1:25" ht="70.5" customHeight="1" thickBot="1">
      <c r="A15" s="97"/>
      <c r="B15" s="49" t="s">
        <v>1</v>
      </c>
      <c r="C15" s="49" t="s">
        <v>2</v>
      </c>
      <c r="D15" s="108" t="s">
        <v>174</v>
      </c>
      <c r="E15" s="109" t="s">
        <v>149</v>
      </c>
      <c r="F15" s="50" t="s">
        <v>9</v>
      </c>
      <c r="G15" s="110" t="s">
        <v>3</v>
      </c>
      <c r="H15" s="111" t="s">
        <v>4</v>
      </c>
      <c r="I15" s="49" t="s">
        <v>1</v>
      </c>
      <c r="J15" s="49" t="s">
        <v>2</v>
      </c>
      <c r="K15" s="50" t="s">
        <v>9</v>
      </c>
      <c r="L15" s="49" t="s">
        <v>3</v>
      </c>
      <c r="M15" s="51" t="s">
        <v>4</v>
      </c>
      <c r="N15" s="51" t="s">
        <v>1</v>
      </c>
      <c r="O15" s="49" t="s">
        <v>2</v>
      </c>
      <c r="P15" s="50" t="s">
        <v>9</v>
      </c>
      <c r="Q15" s="49" t="s">
        <v>3</v>
      </c>
      <c r="R15" s="51" t="s">
        <v>4</v>
      </c>
      <c r="S15" s="49" t="s">
        <v>1</v>
      </c>
      <c r="T15" s="49" t="s">
        <v>2</v>
      </c>
      <c r="U15" s="50" t="s">
        <v>9</v>
      </c>
      <c r="V15" s="49" t="s">
        <v>3</v>
      </c>
      <c r="W15" s="51" t="s">
        <v>4</v>
      </c>
      <c r="X15" s="137"/>
      <c r="Y15" s="48"/>
    </row>
    <row r="16" spans="1:25" ht="63" customHeight="1" thickBot="1">
      <c r="A16" s="52" t="s">
        <v>7</v>
      </c>
      <c r="B16" s="53">
        <f>+B17+B33+B39+B51+B57+B63+B71+B76+B81+B86</f>
        <v>400000000</v>
      </c>
      <c r="C16" s="53">
        <f>+C17+C33+C39+C51+C57+C63+C71+C76+C81+C86</f>
        <v>4170904489.2455397</v>
      </c>
      <c r="D16" s="53">
        <f>+D17+D33+D39+D51+D57+D63+D71+D76+D81+D86</f>
        <v>2006732989</v>
      </c>
      <c r="E16" s="53">
        <f>+E17+E33+E39+E51+E57+E63+E71+E76+E81+E86</f>
        <v>8678659373</v>
      </c>
      <c r="F16" s="53">
        <f>+F17+F33+F39+F51+F57+F63+F71+F76+F81+F86</f>
        <v>6380701678</v>
      </c>
      <c r="G16" s="53">
        <f>+G17+G33+G39+G51+G57+G63+G71+G76+G81+G86</f>
        <v>3315378744.637292</v>
      </c>
      <c r="H16" s="53">
        <f>+H17+H33+H39+H51+H57+H63+H71+H76+H81+H86</f>
        <v>24952377273.88283</v>
      </c>
      <c r="I16" s="53">
        <f>+I17+I33+I39+I51+I57+I63+I71+I76+I81+I86</f>
        <v>210000000</v>
      </c>
      <c r="J16" s="53">
        <f>+J17+J33+J39+J51+J57+J63+J71+J76+J81+J86</f>
        <v>4449271563.279175</v>
      </c>
      <c r="K16" s="53">
        <f>+K17+K33+K39+K51+K57+K63+K71+K76+K81+K86</f>
        <v>4947017513</v>
      </c>
      <c r="L16" s="53">
        <f>+L17+L33+L39+L51+L57+L63+L71+L76+L81+L86</f>
        <v>3299857849.206874</v>
      </c>
      <c r="M16" s="53">
        <f>+M17+M33+M39+M51+M57+M63+M71+M76+M81+M86</f>
        <v>12906146925.48605</v>
      </c>
      <c r="N16" s="53">
        <f>+N17+N33+N39+N51+N57+N63+N71+N76+N81+N86</f>
        <v>110250000</v>
      </c>
      <c r="O16" s="53">
        <f>+O17+O33+O39+O51+O57+O63+O71+O76+O81+O86</f>
        <v>4439823848.207527</v>
      </c>
      <c r="P16" s="53">
        <f>+P17+P33+P39+P51+P57+P63+P71+P76+P81+P86</f>
        <v>4200000000</v>
      </c>
      <c r="Q16" s="53">
        <f>+Q17+Q33+Q39+Q51+Q57+Q63+Q71+Q76+Q81+Q86</f>
        <v>2889583327.0752716</v>
      </c>
      <c r="R16" s="53">
        <f>+R17+R33+R39+R51+R57+R63+R71+R76+R81+R86</f>
        <v>11749907175.282799</v>
      </c>
      <c r="S16" s="53">
        <f>+S17+S33+S39+S51+S57+S63+S71+S76+S81+S86</f>
        <v>231525000</v>
      </c>
      <c r="T16" s="53">
        <f>+T17+T33+T39+T51+T57+T63+T71+T76+T81+T86</f>
        <v>4728852340.327098</v>
      </c>
      <c r="U16" s="53">
        <f>+U17+U33+U39+U51+U57+U63+U71+U76+U81+U86</f>
        <v>4780000000</v>
      </c>
      <c r="V16" s="53">
        <f>+V17+V33+V39+V51+V57+V63+V71+V76+V81+V86</f>
        <v>2720149450.637292</v>
      </c>
      <c r="W16" s="53">
        <f>+W17+W33+W39+W51+W57+W63+W71+W76+W81+W86</f>
        <v>12460526790.96439</v>
      </c>
      <c r="X16" s="53">
        <f>+X17+X33+X39+X51+X57+X63+X71+X76+X81+X86</f>
        <v>62068958165.616066</v>
      </c>
      <c r="Y16" s="48"/>
    </row>
    <row r="17" spans="1:25" ht="33.75" customHeight="1">
      <c r="A17" s="54" t="s">
        <v>8</v>
      </c>
      <c r="B17" s="55">
        <f>+B18+B21+B29</f>
        <v>150000000</v>
      </c>
      <c r="C17" s="55">
        <f>+C18+C21+C29</f>
        <v>694642666.225133</v>
      </c>
      <c r="D17" s="55">
        <f>+D18+D21+D29</f>
        <v>0</v>
      </c>
      <c r="E17" s="55">
        <f>+E18+E21+E29</f>
        <v>500000000</v>
      </c>
      <c r="F17" s="55">
        <f>+F18+F21+F29</f>
        <v>1280000000</v>
      </c>
      <c r="G17" s="55">
        <f>+G18+G21+G29</f>
        <v>0</v>
      </c>
      <c r="H17" s="112">
        <f>+G17+F17+E17+C17+B17+D17</f>
        <v>2624642666.225133</v>
      </c>
      <c r="I17" s="55">
        <f>+I18+I21+I29</f>
        <v>157500000</v>
      </c>
      <c r="J17" s="55">
        <f aca="true" t="shared" si="1" ref="J17:W17">+J18+J21+J29</f>
        <v>733516509.4523251</v>
      </c>
      <c r="K17" s="56">
        <f t="shared" si="1"/>
        <v>1397017513</v>
      </c>
      <c r="L17" s="55">
        <f t="shared" si="1"/>
        <v>0</v>
      </c>
      <c r="M17" s="55">
        <f>+M18+M21+M29</f>
        <v>2288034022.452325</v>
      </c>
      <c r="N17" s="53">
        <f>+N18+N34+N40+N52+N58+N64+N72+N77+N82+N87</f>
        <v>55125000</v>
      </c>
      <c r="O17" s="55">
        <f>+O18+O21+O29</f>
        <v>775982218.316652</v>
      </c>
      <c r="P17" s="56">
        <f>+P18+P21+P29</f>
        <v>1150000000</v>
      </c>
      <c r="Q17" s="55">
        <f t="shared" si="1"/>
        <v>0</v>
      </c>
      <c r="R17" s="55">
        <f t="shared" si="1"/>
        <v>2091357218.3166523</v>
      </c>
      <c r="S17" s="55">
        <f>+S18+S21+S29</f>
        <v>173643750</v>
      </c>
      <c r="T17" s="55">
        <f t="shared" si="1"/>
        <v>860294358.6733445</v>
      </c>
      <c r="U17" s="56">
        <f t="shared" si="1"/>
        <v>1580000000</v>
      </c>
      <c r="V17" s="55">
        <f t="shared" si="1"/>
        <v>0</v>
      </c>
      <c r="W17" s="55">
        <f t="shared" si="1"/>
        <v>2613938108.6733446</v>
      </c>
      <c r="X17" s="57">
        <f>+W17+R17+M17+H17</f>
        <v>9617972015.667454</v>
      </c>
      <c r="Y17" s="48"/>
    </row>
    <row r="18" spans="1:25" ht="50.25" customHeight="1">
      <c r="A18" s="58" t="s">
        <v>10</v>
      </c>
      <c r="B18" s="59"/>
      <c r="C18" s="59">
        <f>+C20</f>
        <v>280684931.52306724</v>
      </c>
      <c r="D18" s="59"/>
      <c r="E18" s="59"/>
      <c r="F18" s="60">
        <v>1280000000</v>
      </c>
      <c r="G18" s="67"/>
      <c r="H18" s="112">
        <f>+G18+F18+E18+C18+B18+D18</f>
        <v>1560684931.5230672</v>
      </c>
      <c r="I18" s="59"/>
      <c r="J18" s="59">
        <f>+J20</f>
        <v>299713290.67014205</v>
      </c>
      <c r="K18" s="60">
        <v>80000000</v>
      </c>
      <c r="L18" s="61"/>
      <c r="M18" s="62">
        <f>+I18+J18+K18+L18</f>
        <v>379713290.67014205</v>
      </c>
      <c r="N18" s="59"/>
      <c r="O18" s="59">
        <f>+O20</f>
        <v>321573878.37804526</v>
      </c>
      <c r="P18" s="60">
        <v>350000000</v>
      </c>
      <c r="Q18" s="61"/>
      <c r="R18" s="62">
        <f>+N18+O18+P18+Q18</f>
        <v>671573878.3780453</v>
      </c>
      <c r="S18" s="59"/>
      <c r="T18" s="59">
        <f>+T20</f>
        <v>344456502.3188268</v>
      </c>
      <c r="U18" s="60">
        <v>80000000</v>
      </c>
      <c r="V18" s="59"/>
      <c r="W18" s="62">
        <f>+S18+T18+U18+V18</f>
        <v>424456502.3188268</v>
      </c>
      <c r="X18" s="63">
        <f>+W18+R18+M18+H18</f>
        <v>3036428602.8900814</v>
      </c>
      <c r="Y18" s="48"/>
    </row>
    <row r="19" spans="1:25" ht="36.75" customHeight="1" hidden="1">
      <c r="A19" s="113" t="s">
        <v>104</v>
      </c>
      <c r="B19" s="59"/>
      <c r="C19" s="59"/>
      <c r="D19" s="59"/>
      <c r="E19" s="59"/>
      <c r="F19" s="60"/>
      <c r="G19" s="67"/>
      <c r="H19" s="112">
        <f aca="true" t="shared" si="2" ref="H19:H81">+G19+F19+E19+C19+B19+D19</f>
        <v>0</v>
      </c>
      <c r="I19" s="59"/>
      <c r="J19" s="59"/>
      <c r="K19" s="60"/>
      <c r="L19" s="61"/>
      <c r="M19" s="62"/>
      <c r="N19" s="59"/>
      <c r="O19" s="59"/>
      <c r="P19" s="60"/>
      <c r="Q19" s="61"/>
      <c r="R19" s="62"/>
      <c r="S19" s="59"/>
      <c r="T19" s="59"/>
      <c r="U19" s="60"/>
      <c r="V19" s="59"/>
      <c r="W19" s="62"/>
      <c r="X19" s="63"/>
      <c r="Y19" s="48"/>
    </row>
    <row r="20" spans="1:25" ht="36.75" customHeight="1" hidden="1">
      <c r="A20" s="113" t="s">
        <v>105</v>
      </c>
      <c r="B20" s="59"/>
      <c r="C20" s="114">
        <v>280684931.52306724</v>
      </c>
      <c r="D20" s="115"/>
      <c r="E20" s="59"/>
      <c r="F20" s="60"/>
      <c r="G20" s="67"/>
      <c r="H20" s="112">
        <f t="shared" si="2"/>
        <v>280684931.52306724</v>
      </c>
      <c r="I20" s="59"/>
      <c r="J20" s="64">
        <v>299713290.67014205</v>
      </c>
      <c r="K20" s="60"/>
      <c r="L20" s="61"/>
      <c r="M20" s="62"/>
      <c r="N20" s="59"/>
      <c r="O20" s="64">
        <v>321573878.37804526</v>
      </c>
      <c r="P20" s="60"/>
      <c r="Q20" s="61"/>
      <c r="R20" s="62"/>
      <c r="S20" s="59"/>
      <c r="T20" s="64">
        <v>344456502.3188268</v>
      </c>
      <c r="U20" s="60"/>
      <c r="V20" s="59"/>
      <c r="W20" s="62"/>
      <c r="X20" s="63"/>
      <c r="Y20" s="48"/>
    </row>
    <row r="21" spans="1:25" ht="33.75" customHeight="1">
      <c r="A21" s="58" t="s">
        <v>11</v>
      </c>
      <c r="B21" s="59">
        <v>150000000</v>
      </c>
      <c r="C21" s="65">
        <f>+C28+C23</f>
        <v>270957734.70206565</v>
      </c>
      <c r="D21" s="65"/>
      <c r="E21" s="59"/>
      <c r="F21" s="60"/>
      <c r="G21" s="67"/>
      <c r="H21" s="112">
        <f t="shared" si="2"/>
        <v>420957734.70206565</v>
      </c>
      <c r="I21" s="59">
        <f>+B21*1.05</f>
        <v>157500000</v>
      </c>
      <c r="J21" s="65">
        <f>+J28+J23</f>
        <v>283653218.782183</v>
      </c>
      <c r="K21" s="60">
        <v>517017513</v>
      </c>
      <c r="L21" s="61"/>
      <c r="M21" s="62">
        <f>+I21+J21+K21+L21</f>
        <v>958170731.7821829</v>
      </c>
      <c r="N21" s="59">
        <f>+I21*1.05</f>
        <v>165375000</v>
      </c>
      <c r="O21" s="65">
        <f>+O28+O23</f>
        <v>296750839.93860686</v>
      </c>
      <c r="P21" s="48"/>
      <c r="Q21" s="61"/>
      <c r="R21" s="62">
        <f>+N21+O21+P25+Q21</f>
        <v>462125839.93860686</v>
      </c>
      <c r="S21" s="59">
        <f>+N21*1.05</f>
        <v>173643750</v>
      </c>
      <c r="T21" s="66">
        <f>+T28+T23+40013801</f>
        <v>350297481.3545177</v>
      </c>
      <c r="U21" s="60">
        <v>700000000</v>
      </c>
      <c r="V21" s="59"/>
      <c r="W21" s="62">
        <f>+S21+T21+U21+V21</f>
        <v>1223941231.3545177</v>
      </c>
      <c r="X21" s="63">
        <f>+W21+R21+M21+H21</f>
        <v>3065195537.7773733</v>
      </c>
      <c r="Y21" s="48"/>
    </row>
    <row r="22" spans="1:25" ht="29.25" customHeight="1" hidden="1">
      <c r="A22" s="113" t="s">
        <v>111</v>
      </c>
      <c r="B22" s="59"/>
      <c r="C22" s="67"/>
      <c r="D22" s="67"/>
      <c r="E22" s="59"/>
      <c r="F22" s="60"/>
      <c r="G22" s="67"/>
      <c r="H22" s="112">
        <f t="shared" si="2"/>
        <v>0</v>
      </c>
      <c r="I22" s="59"/>
      <c r="J22" s="67"/>
      <c r="K22" s="60"/>
      <c r="L22" s="61"/>
      <c r="M22" s="62"/>
      <c r="N22" s="59"/>
      <c r="O22" s="67"/>
      <c r="P22" s="60"/>
      <c r="Q22" s="61"/>
      <c r="R22" s="62"/>
      <c r="S22" s="59"/>
      <c r="T22" s="67"/>
      <c r="U22" s="60"/>
      <c r="V22" s="59"/>
      <c r="W22" s="62"/>
      <c r="X22" s="63"/>
      <c r="Y22" s="48"/>
    </row>
    <row r="23" spans="1:25" ht="29.25" customHeight="1" hidden="1">
      <c r="A23" s="113" t="s">
        <v>107</v>
      </c>
      <c r="B23" s="59"/>
      <c r="C23" s="67">
        <v>78639734.70206566</v>
      </c>
      <c r="D23" s="67"/>
      <c r="E23" s="59"/>
      <c r="F23" s="60"/>
      <c r="G23" s="67"/>
      <c r="H23" s="112">
        <f t="shared" si="2"/>
        <v>78639734.70206566</v>
      </c>
      <c r="I23" s="59"/>
      <c r="J23" s="67">
        <v>83450180.78218299</v>
      </c>
      <c r="K23" s="60"/>
      <c r="L23" s="61"/>
      <c r="M23" s="62"/>
      <c r="N23" s="59"/>
      <c r="O23" s="67">
        <v>88499639.81100683</v>
      </c>
      <c r="P23" s="60"/>
      <c r="Q23" s="61"/>
      <c r="R23" s="62"/>
      <c r="S23" s="59"/>
      <c r="T23" s="67">
        <v>93806557.8218775</v>
      </c>
      <c r="U23" s="60"/>
      <c r="V23" s="59"/>
      <c r="W23" s="62"/>
      <c r="X23" s="63"/>
      <c r="Y23" s="48"/>
    </row>
    <row r="24" spans="1:25" ht="29.25" customHeight="1" hidden="1">
      <c r="A24" s="113" t="s">
        <v>108</v>
      </c>
      <c r="B24" s="59"/>
      <c r="C24" s="67"/>
      <c r="D24" s="67"/>
      <c r="E24" s="59"/>
      <c r="F24" s="60"/>
      <c r="G24" s="67"/>
      <c r="H24" s="112">
        <f t="shared" si="2"/>
        <v>0</v>
      </c>
      <c r="I24" s="59"/>
      <c r="J24" s="67"/>
      <c r="K24" s="60"/>
      <c r="L24" s="61"/>
      <c r="M24" s="62"/>
      <c r="N24" s="59"/>
      <c r="O24" s="67"/>
      <c r="P24" s="60"/>
      <c r="Q24" s="61"/>
      <c r="R24" s="62"/>
      <c r="S24" s="59"/>
      <c r="T24" s="67"/>
      <c r="U24" s="60"/>
      <c r="V24" s="59"/>
      <c r="W24" s="62"/>
      <c r="X24" s="63"/>
      <c r="Y24" s="48"/>
    </row>
    <row r="25" spans="1:25" ht="29.25" customHeight="1" hidden="1">
      <c r="A25" s="113" t="s">
        <v>106</v>
      </c>
      <c r="B25" s="59"/>
      <c r="C25" s="67"/>
      <c r="D25" s="67"/>
      <c r="E25" s="59"/>
      <c r="F25" s="60"/>
      <c r="G25" s="67"/>
      <c r="H25" s="112">
        <f t="shared" si="2"/>
        <v>0</v>
      </c>
      <c r="I25" s="59"/>
      <c r="J25" s="67"/>
      <c r="K25" s="60"/>
      <c r="L25" s="61"/>
      <c r="M25" s="62"/>
      <c r="N25" s="59"/>
      <c r="O25" s="67"/>
      <c r="P25" s="60"/>
      <c r="Q25" s="61"/>
      <c r="R25" s="62"/>
      <c r="S25" s="59"/>
      <c r="T25" s="67"/>
      <c r="U25" s="60"/>
      <c r="V25" s="59"/>
      <c r="W25" s="62"/>
      <c r="X25" s="63"/>
      <c r="Y25" s="48"/>
    </row>
    <row r="26" spans="1:25" ht="29.25" customHeight="1" hidden="1">
      <c r="A26" s="113" t="s">
        <v>109</v>
      </c>
      <c r="B26" s="59"/>
      <c r="C26" s="67"/>
      <c r="D26" s="67"/>
      <c r="E26" s="59"/>
      <c r="F26" s="60"/>
      <c r="G26" s="67"/>
      <c r="H26" s="112">
        <f t="shared" si="2"/>
        <v>0</v>
      </c>
      <c r="I26" s="59"/>
      <c r="J26" s="67"/>
      <c r="K26" s="60"/>
      <c r="L26" s="61"/>
      <c r="M26" s="62"/>
      <c r="N26" s="59"/>
      <c r="O26" s="67"/>
      <c r="P26" s="60"/>
      <c r="Q26" s="61"/>
      <c r="R26" s="62"/>
      <c r="S26" s="59"/>
      <c r="T26" s="67"/>
      <c r="U26" s="60"/>
      <c r="V26" s="59"/>
      <c r="W26" s="62"/>
      <c r="X26" s="63"/>
      <c r="Y26" s="48"/>
    </row>
    <row r="27" spans="1:25" ht="29.25" customHeight="1" hidden="1">
      <c r="A27" s="113" t="s">
        <v>110</v>
      </c>
      <c r="B27" s="59"/>
      <c r="C27" s="67"/>
      <c r="D27" s="67"/>
      <c r="E27" s="59"/>
      <c r="F27" s="60"/>
      <c r="G27" s="67"/>
      <c r="H27" s="112">
        <f t="shared" si="2"/>
        <v>0</v>
      </c>
      <c r="I27" s="59"/>
      <c r="J27" s="67"/>
      <c r="K27" s="60"/>
      <c r="L27" s="61"/>
      <c r="M27" s="62"/>
      <c r="N27" s="59"/>
      <c r="O27" s="67"/>
      <c r="P27" s="60"/>
      <c r="Q27" s="61"/>
      <c r="R27" s="62"/>
      <c r="S27" s="59"/>
      <c r="T27" s="67"/>
      <c r="U27" s="60"/>
      <c r="V27" s="59"/>
      <c r="W27" s="62"/>
      <c r="X27" s="63"/>
      <c r="Y27" s="48"/>
    </row>
    <row r="28" spans="1:25" ht="29.25" customHeight="1" hidden="1">
      <c r="A28" s="113" t="s">
        <v>175</v>
      </c>
      <c r="B28" s="59"/>
      <c r="C28" s="114">
        <v>192318000</v>
      </c>
      <c r="D28" s="115"/>
      <c r="E28" s="59"/>
      <c r="F28" s="60"/>
      <c r="G28" s="67"/>
      <c r="H28" s="112">
        <f t="shared" si="2"/>
        <v>192318000</v>
      </c>
      <c r="I28" s="59"/>
      <c r="J28" s="64">
        <v>200203038</v>
      </c>
      <c r="K28" s="60"/>
      <c r="L28" s="61"/>
      <c r="M28" s="62"/>
      <c r="N28" s="59"/>
      <c r="O28" s="64">
        <v>208251200.1276</v>
      </c>
      <c r="P28" s="60"/>
      <c r="Q28" s="61"/>
      <c r="R28" s="62"/>
      <c r="S28" s="59"/>
      <c r="T28" s="64">
        <v>216477122.53264022</v>
      </c>
      <c r="U28" s="60"/>
      <c r="V28" s="59"/>
      <c r="W28" s="62"/>
      <c r="X28" s="63"/>
      <c r="Y28" s="48"/>
    </row>
    <row r="29" spans="1:25" ht="33.75" customHeight="1">
      <c r="A29" s="58" t="s">
        <v>12</v>
      </c>
      <c r="B29" s="59"/>
      <c r="C29" s="59">
        <v>143000000</v>
      </c>
      <c r="D29" s="59"/>
      <c r="E29" s="59">
        <v>500000000</v>
      </c>
      <c r="F29" s="60"/>
      <c r="G29" s="67"/>
      <c r="H29" s="112">
        <f t="shared" si="2"/>
        <v>643000000</v>
      </c>
      <c r="I29" s="59"/>
      <c r="J29" s="59">
        <f>+C29*1.05</f>
        <v>150150000</v>
      </c>
      <c r="K29" s="60">
        <v>800000000</v>
      </c>
      <c r="L29" s="61"/>
      <c r="M29" s="62">
        <f>+I29+J29+K29+L29</f>
        <v>950150000</v>
      </c>
      <c r="N29" s="59"/>
      <c r="O29" s="59">
        <f>+J29*1.05</f>
        <v>157657500</v>
      </c>
      <c r="P29" s="60">
        <v>800000000</v>
      </c>
      <c r="Q29" s="61"/>
      <c r="R29" s="62">
        <f>+N29+O29+P29+Q29</f>
        <v>957657500</v>
      </c>
      <c r="S29" s="59"/>
      <c r="T29" s="59">
        <f>+O29*1.05</f>
        <v>165540375</v>
      </c>
      <c r="U29" s="60">
        <v>800000000</v>
      </c>
      <c r="V29" s="59"/>
      <c r="W29" s="62">
        <f>+S29+T29+U29+V29</f>
        <v>965540375</v>
      </c>
      <c r="X29" s="63">
        <f>+W29+R29+M29+H29</f>
        <v>3516347875</v>
      </c>
      <c r="Y29" s="48" t="s">
        <v>152</v>
      </c>
    </row>
    <row r="30" spans="1:25" s="38" customFormat="1" ht="29.25" customHeight="1" hidden="1">
      <c r="A30" s="116" t="s">
        <v>112</v>
      </c>
      <c r="B30" s="68"/>
      <c r="C30" s="68">
        <v>100000000</v>
      </c>
      <c r="D30" s="68"/>
      <c r="E30" s="68"/>
      <c r="F30" s="60"/>
      <c r="G30" s="117"/>
      <c r="H30" s="112">
        <f t="shared" si="2"/>
        <v>100000000</v>
      </c>
      <c r="I30" s="68"/>
      <c r="J30" s="67"/>
      <c r="K30" s="60">
        <v>300000000</v>
      </c>
      <c r="L30" s="68"/>
      <c r="M30" s="68"/>
      <c r="N30" s="68"/>
      <c r="O30" s="68"/>
      <c r="P30" s="60"/>
      <c r="Q30" s="68"/>
      <c r="R30" s="68"/>
      <c r="S30" s="68"/>
      <c r="T30" s="68"/>
      <c r="U30" s="60"/>
      <c r="V30" s="68"/>
      <c r="W30" s="68"/>
      <c r="X30" s="68"/>
      <c r="Y30" s="69"/>
    </row>
    <row r="31" spans="1:25" s="38" customFormat="1" ht="29.25" customHeight="1" hidden="1">
      <c r="A31" s="116" t="s">
        <v>113</v>
      </c>
      <c r="B31" s="68"/>
      <c r="C31" s="68">
        <v>43000000</v>
      </c>
      <c r="D31" s="68"/>
      <c r="E31" s="68"/>
      <c r="F31" s="60"/>
      <c r="G31" s="117"/>
      <c r="H31" s="112">
        <f t="shared" si="2"/>
        <v>43000000</v>
      </c>
      <c r="I31" s="68"/>
      <c r="J31" s="67"/>
      <c r="K31" s="60"/>
      <c r="L31" s="68"/>
      <c r="M31" s="68"/>
      <c r="N31" s="68"/>
      <c r="O31" s="68"/>
      <c r="P31" s="60"/>
      <c r="Q31" s="68"/>
      <c r="R31" s="68"/>
      <c r="S31" s="68"/>
      <c r="T31" s="68"/>
      <c r="U31" s="60"/>
      <c r="V31" s="68"/>
      <c r="W31" s="68"/>
      <c r="X31" s="68"/>
      <c r="Y31" s="69"/>
    </row>
    <row r="32" spans="1:25" s="38" customFormat="1" ht="29.25" customHeight="1" hidden="1">
      <c r="A32" s="116" t="s">
        <v>151</v>
      </c>
      <c r="B32" s="68"/>
      <c r="C32" s="68"/>
      <c r="D32" s="68"/>
      <c r="E32" s="68"/>
      <c r="F32" s="60"/>
      <c r="G32" s="117"/>
      <c r="H32" s="112">
        <f t="shared" si="2"/>
        <v>0</v>
      </c>
      <c r="I32" s="68"/>
      <c r="J32" s="67"/>
      <c r="K32" s="60">
        <v>500000000</v>
      </c>
      <c r="L32" s="68"/>
      <c r="M32" s="68"/>
      <c r="N32" s="68"/>
      <c r="O32" s="68"/>
      <c r="P32" s="60"/>
      <c r="Q32" s="68"/>
      <c r="R32" s="68"/>
      <c r="S32" s="68"/>
      <c r="T32" s="68"/>
      <c r="U32" s="60"/>
      <c r="V32" s="68"/>
      <c r="W32" s="68"/>
      <c r="X32" s="68"/>
      <c r="Y32" s="69"/>
    </row>
    <row r="33" spans="1:25" ht="33.75" customHeight="1">
      <c r="A33" s="70" t="s">
        <v>13</v>
      </c>
      <c r="B33" s="62">
        <f>+B34+B37</f>
        <v>0</v>
      </c>
      <c r="C33" s="62">
        <f>+C34+C37</f>
        <v>1672935243.0204067</v>
      </c>
      <c r="D33" s="62">
        <f>+D34+D37</f>
        <v>0</v>
      </c>
      <c r="E33" s="62">
        <f>+E34+E37</f>
        <v>0</v>
      </c>
      <c r="F33" s="60">
        <f>+F34+F37</f>
        <v>0</v>
      </c>
      <c r="G33" s="118">
        <f>+G34+G37</f>
        <v>1650671838.6372917</v>
      </c>
      <c r="H33" s="112">
        <f t="shared" si="2"/>
        <v>3323607081.6576986</v>
      </c>
      <c r="I33" s="62">
        <f aca="true" t="shared" si="3" ref="I33:W33">+I34+I37</f>
        <v>0</v>
      </c>
      <c r="J33" s="62">
        <f t="shared" si="3"/>
        <v>1767663568.6298492</v>
      </c>
      <c r="K33" s="60">
        <f t="shared" si="3"/>
        <v>0</v>
      </c>
      <c r="L33" s="61">
        <f t="shared" si="3"/>
        <v>1605768418.206874</v>
      </c>
      <c r="M33" s="62">
        <f t="shared" si="3"/>
        <v>3373431986.8367233</v>
      </c>
      <c r="N33" s="62">
        <f t="shared" si="3"/>
        <v>0</v>
      </c>
      <c r="O33" s="62">
        <f t="shared" si="3"/>
        <v>1864904486.603756</v>
      </c>
      <c r="P33" s="60">
        <f t="shared" si="3"/>
        <v>0</v>
      </c>
      <c r="Q33" s="62">
        <f t="shared" si="3"/>
        <v>1669035581.0752716</v>
      </c>
      <c r="R33" s="62">
        <f t="shared" si="3"/>
        <v>3533940067.6790276</v>
      </c>
      <c r="S33" s="62">
        <f t="shared" si="3"/>
        <v>0</v>
      </c>
      <c r="T33" s="62">
        <f t="shared" si="3"/>
        <v>1966002452.0632927</v>
      </c>
      <c r="U33" s="60">
        <f t="shared" si="3"/>
        <v>0</v>
      </c>
      <c r="V33" s="62">
        <f t="shared" si="3"/>
        <v>1734274270.6372917</v>
      </c>
      <c r="W33" s="62">
        <f t="shared" si="3"/>
        <v>3700276722.7005844</v>
      </c>
      <c r="X33" s="63">
        <f>+W33+R33+M33+H33</f>
        <v>13931255858.874035</v>
      </c>
      <c r="Y33" s="48"/>
    </row>
    <row r="34" spans="1:25" ht="33.75" customHeight="1">
      <c r="A34" s="58" t="s">
        <v>155</v>
      </c>
      <c r="B34" s="59"/>
      <c r="C34" s="67">
        <v>1442704042.354754</v>
      </c>
      <c r="D34" s="67"/>
      <c r="E34" s="59"/>
      <c r="F34" s="60"/>
      <c r="G34" s="95">
        <f>+G1+G2+G3</f>
        <v>1650671838.6372917</v>
      </c>
      <c r="H34" s="112">
        <f t="shared" si="2"/>
        <v>3093375880.9920454</v>
      </c>
      <c r="I34" s="59"/>
      <c r="J34" s="67">
        <v>1527204318.684366</v>
      </c>
      <c r="K34" s="60"/>
      <c r="L34" s="95">
        <f>+L1+L2+L3</f>
        <v>1605768418.206874</v>
      </c>
      <c r="M34" s="62">
        <f>+L34+K34+J34+I34</f>
        <v>3132972736.89124</v>
      </c>
      <c r="N34" s="59"/>
      <c r="O34" s="67">
        <v>1613913867.880001</v>
      </c>
      <c r="P34" s="60"/>
      <c r="Q34" s="95">
        <f>+Q1+Q2+Q3</f>
        <v>1669035581.0752716</v>
      </c>
      <c r="R34" s="62">
        <f>+Q34+P34+O34+N34</f>
        <v>3282949448.9552727</v>
      </c>
      <c r="S34" s="59"/>
      <c r="T34" s="67">
        <v>1704161747.0856793</v>
      </c>
      <c r="U34" s="60"/>
      <c r="V34" s="95">
        <f>+V1+V2+V3</f>
        <v>1734274270.6372917</v>
      </c>
      <c r="W34" s="62">
        <f>+V34+U34+T34+S34</f>
        <v>3438436017.722971</v>
      </c>
      <c r="X34" s="63">
        <f>+W34+R34+M34+H34</f>
        <v>12947734084.561531</v>
      </c>
      <c r="Y34" s="48"/>
    </row>
    <row r="35" spans="1:25" ht="29.25" customHeight="1" hidden="1">
      <c r="A35" s="113" t="s">
        <v>114</v>
      </c>
      <c r="B35" s="59"/>
      <c r="C35" s="67"/>
      <c r="D35" s="67"/>
      <c r="E35" s="59"/>
      <c r="F35" s="60"/>
      <c r="G35" s="71"/>
      <c r="H35" s="112">
        <f t="shared" si="2"/>
        <v>0</v>
      </c>
      <c r="I35" s="59"/>
      <c r="J35" s="67"/>
      <c r="K35" s="60"/>
      <c r="L35" s="71"/>
      <c r="M35" s="62"/>
      <c r="N35" s="59"/>
      <c r="O35" s="67"/>
      <c r="P35" s="60"/>
      <c r="Q35" s="71"/>
      <c r="R35" s="62"/>
      <c r="S35" s="59"/>
      <c r="T35" s="67"/>
      <c r="U35" s="60"/>
      <c r="V35" s="71"/>
      <c r="W35" s="62"/>
      <c r="X35" s="63"/>
      <c r="Y35" s="48"/>
    </row>
    <row r="36" spans="1:25" ht="29.25" customHeight="1" hidden="1">
      <c r="A36" s="113" t="s">
        <v>115</v>
      </c>
      <c r="B36" s="59"/>
      <c r="C36" s="67"/>
      <c r="D36" s="67"/>
      <c r="E36" s="59"/>
      <c r="F36" s="60"/>
      <c r="G36" s="71"/>
      <c r="H36" s="112">
        <f t="shared" si="2"/>
        <v>0</v>
      </c>
      <c r="I36" s="59"/>
      <c r="J36" s="67"/>
      <c r="K36" s="60"/>
      <c r="L36" s="71"/>
      <c r="M36" s="62"/>
      <c r="N36" s="59"/>
      <c r="O36" s="67"/>
      <c r="P36" s="60"/>
      <c r="Q36" s="71"/>
      <c r="R36" s="62"/>
      <c r="S36" s="59"/>
      <c r="T36" s="67"/>
      <c r="U36" s="60"/>
      <c r="V36" s="71"/>
      <c r="W36" s="62"/>
      <c r="X36" s="63"/>
      <c r="Y36" s="48"/>
    </row>
    <row r="37" spans="1:25" ht="33.75" customHeight="1">
      <c r="A37" s="58" t="s">
        <v>14</v>
      </c>
      <c r="B37" s="59"/>
      <c r="C37" s="67">
        <v>230231200.66565287</v>
      </c>
      <c r="D37" s="67"/>
      <c r="E37" s="59"/>
      <c r="F37" s="60"/>
      <c r="G37" s="67"/>
      <c r="H37" s="112">
        <f t="shared" si="2"/>
        <v>230231200.66565287</v>
      </c>
      <c r="I37" s="59"/>
      <c r="J37" s="67">
        <v>240459249.94548315</v>
      </c>
      <c r="K37" s="60"/>
      <c r="L37" s="61"/>
      <c r="M37" s="62">
        <f>+L37+K37+J37+I37</f>
        <v>240459249.94548315</v>
      </c>
      <c r="N37" s="59"/>
      <c r="O37" s="67">
        <v>250990618.72375482</v>
      </c>
      <c r="P37" s="60"/>
      <c r="Q37" s="61"/>
      <c r="R37" s="62">
        <f>+Q37+P37+O37+N37</f>
        <v>250990618.72375482</v>
      </c>
      <c r="S37" s="59"/>
      <c r="T37" s="67">
        <v>261840704.9776135</v>
      </c>
      <c r="U37" s="60"/>
      <c r="V37" s="59"/>
      <c r="W37" s="62">
        <f>+V37+U37+T37+S37</f>
        <v>261840704.9776135</v>
      </c>
      <c r="X37" s="63">
        <f>+W37+R37+M37+H37</f>
        <v>983521774.3125044</v>
      </c>
      <c r="Y37" s="48"/>
    </row>
    <row r="38" spans="1:25" ht="29.25" customHeight="1" hidden="1">
      <c r="A38" s="58"/>
      <c r="B38" s="59"/>
      <c r="C38" s="67"/>
      <c r="D38" s="67"/>
      <c r="E38" s="59"/>
      <c r="F38" s="60"/>
      <c r="G38" s="67"/>
      <c r="H38" s="112">
        <f t="shared" si="2"/>
        <v>0</v>
      </c>
      <c r="I38" s="59"/>
      <c r="J38" s="67"/>
      <c r="K38" s="60"/>
      <c r="L38" s="61"/>
      <c r="M38" s="62"/>
      <c r="N38" s="59"/>
      <c r="O38" s="67"/>
      <c r="P38" s="60"/>
      <c r="Q38" s="61"/>
      <c r="R38" s="62"/>
      <c r="S38" s="59"/>
      <c r="T38" s="67"/>
      <c r="U38" s="60"/>
      <c r="V38" s="59"/>
      <c r="W38" s="62"/>
      <c r="X38" s="63"/>
      <c r="Y38" s="48"/>
    </row>
    <row r="39" spans="1:25" ht="47.25" customHeight="1">
      <c r="A39" s="70" t="s">
        <v>15</v>
      </c>
      <c r="B39" s="62">
        <f>+B40+B45+B48</f>
        <v>0</v>
      </c>
      <c r="C39" s="62">
        <f>+C40+C45+C48</f>
        <v>674597646</v>
      </c>
      <c r="D39" s="62">
        <f>+D40+D45+D48</f>
        <v>0</v>
      </c>
      <c r="E39" s="62">
        <f>+E40+E45+E48</f>
        <v>367500000</v>
      </c>
      <c r="F39" s="60">
        <f>+F40+F45+F48</f>
        <v>1900000000</v>
      </c>
      <c r="G39" s="118">
        <f>+G40+G45+G48</f>
        <v>0</v>
      </c>
      <c r="H39" s="112">
        <f t="shared" si="2"/>
        <v>2942097646</v>
      </c>
      <c r="I39" s="62">
        <f aca="true" t="shared" si="4" ref="I39:W39">+I40+I45+I48</f>
        <v>0</v>
      </c>
      <c r="J39" s="62">
        <f t="shared" si="4"/>
        <v>722536275</v>
      </c>
      <c r="K39" s="60">
        <f t="shared" si="4"/>
        <v>900000000</v>
      </c>
      <c r="L39" s="62">
        <f t="shared" si="4"/>
        <v>0</v>
      </c>
      <c r="M39" s="62">
        <f t="shared" si="4"/>
        <v>1622536275</v>
      </c>
      <c r="N39" s="62">
        <f t="shared" si="4"/>
        <v>0</v>
      </c>
      <c r="O39" s="62">
        <f t="shared" si="4"/>
        <v>773303547</v>
      </c>
      <c r="P39" s="60">
        <f>+P40+P45+P48</f>
        <v>1850000000</v>
      </c>
      <c r="Q39" s="62">
        <f>+Q40+Q45+Q48</f>
        <v>0</v>
      </c>
      <c r="R39" s="62">
        <f t="shared" si="4"/>
        <v>2623303547</v>
      </c>
      <c r="S39" s="62">
        <f t="shared" si="4"/>
        <v>0</v>
      </c>
      <c r="T39" s="62">
        <f t="shared" si="4"/>
        <v>827090525</v>
      </c>
      <c r="U39" s="60">
        <f t="shared" si="4"/>
        <v>1000000000</v>
      </c>
      <c r="V39" s="62">
        <f t="shared" si="4"/>
        <v>0</v>
      </c>
      <c r="W39" s="62">
        <f t="shared" si="4"/>
        <v>1827090525</v>
      </c>
      <c r="X39" s="63">
        <f>+W39+R39+M39+H39</f>
        <v>9015027993</v>
      </c>
      <c r="Y39" s="48"/>
    </row>
    <row r="40" spans="1:25" ht="33.75" customHeight="1">
      <c r="A40" s="58" t="s">
        <v>16</v>
      </c>
      <c r="B40" s="59"/>
      <c r="C40" s="67">
        <f>200000000+204597646</f>
        <v>404597646</v>
      </c>
      <c r="D40" s="67"/>
      <c r="E40" s="59">
        <v>367500000</v>
      </c>
      <c r="F40" s="60">
        <v>500000000</v>
      </c>
      <c r="G40" s="67"/>
      <c r="H40" s="112">
        <f t="shared" si="2"/>
        <v>1272097646</v>
      </c>
      <c r="I40" s="59"/>
      <c r="J40" s="67">
        <f>200000000+252536275</f>
        <v>452536275</v>
      </c>
      <c r="K40" s="60">
        <v>450000000</v>
      </c>
      <c r="L40" s="61"/>
      <c r="M40" s="62">
        <f>+I40+J40+K40+L40</f>
        <v>902536275</v>
      </c>
      <c r="N40" s="59"/>
      <c r="O40" s="67">
        <f>200000000+303303547</f>
        <v>503303547</v>
      </c>
      <c r="P40" s="61">
        <v>925000000</v>
      </c>
      <c r="Q40" s="61"/>
      <c r="R40" s="62">
        <f>+N40+O40+P40+Q40</f>
        <v>1428303547</v>
      </c>
      <c r="S40" s="59"/>
      <c r="T40" s="67">
        <f>200000000+357090525</f>
        <v>557090525</v>
      </c>
      <c r="U40" s="61">
        <v>500000000</v>
      </c>
      <c r="V40" s="61"/>
      <c r="W40" s="62">
        <f>+S40+T40+U40+V40</f>
        <v>1057090525</v>
      </c>
      <c r="X40" s="63">
        <f>+W40+R40+M40+H40</f>
        <v>4660027993</v>
      </c>
      <c r="Y40" s="48"/>
    </row>
    <row r="41" spans="1:25" ht="29.25" customHeight="1" hidden="1">
      <c r="A41" s="119" t="s">
        <v>116</v>
      </c>
      <c r="B41" s="59"/>
      <c r="C41" s="67"/>
      <c r="D41" s="67"/>
      <c r="E41" s="59"/>
      <c r="F41" s="60"/>
      <c r="G41" s="67"/>
      <c r="H41" s="112">
        <f t="shared" si="2"/>
        <v>0</v>
      </c>
      <c r="I41" s="59"/>
      <c r="J41" s="67"/>
      <c r="K41" s="60">
        <v>500000000</v>
      </c>
      <c r="L41" s="61"/>
      <c r="M41" s="62"/>
      <c r="N41" s="59"/>
      <c r="O41" s="67"/>
      <c r="P41" s="59"/>
      <c r="Q41" s="59"/>
      <c r="R41" s="62"/>
      <c r="S41" s="59"/>
      <c r="T41" s="67"/>
      <c r="U41" s="59"/>
      <c r="V41" s="59"/>
      <c r="W41" s="62"/>
      <c r="X41" s="63"/>
      <c r="Y41" s="48"/>
    </row>
    <row r="42" spans="1:25" ht="29.25" customHeight="1" hidden="1">
      <c r="A42" s="119" t="s">
        <v>117</v>
      </c>
      <c r="B42" s="59"/>
      <c r="C42" s="67"/>
      <c r="D42" s="67"/>
      <c r="E42" s="59"/>
      <c r="F42" s="60"/>
      <c r="G42" s="67"/>
      <c r="H42" s="112">
        <f t="shared" si="2"/>
        <v>0</v>
      </c>
      <c r="I42" s="59"/>
      <c r="J42" s="67"/>
      <c r="K42" s="60"/>
      <c r="L42" s="61"/>
      <c r="M42" s="62"/>
      <c r="N42" s="59"/>
      <c r="O42" s="67"/>
      <c r="P42" s="59"/>
      <c r="Q42" s="59"/>
      <c r="R42" s="62"/>
      <c r="S42" s="59"/>
      <c r="T42" s="67"/>
      <c r="U42" s="59"/>
      <c r="V42" s="59"/>
      <c r="W42" s="62"/>
      <c r="X42" s="63"/>
      <c r="Y42" s="48"/>
    </row>
    <row r="43" spans="1:25" ht="29.25" customHeight="1" hidden="1">
      <c r="A43" s="119" t="s">
        <v>118</v>
      </c>
      <c r="B43" s="59"/>
      <c r="C43" s="67"/>
      <c r="D43" s="67"/>
      <c r="E43" s="59"/>
      <c r="F43" s="60"/>
      <c r="G43" s="67"/>
      <c r="H43" s="112">
        <f t="shared" si="2"/>
        <v>0</v>
      </c>
      <c r="I43" s="59"/>
      <c r="J43" s="67"/>
      <c r="K43" s="60"/>
      <c r="L43" s="61"/>
      <c r="M43" s="62"/>
      <c r="N43" s="59"/>
      <c r="O43" s="67"/>
      <c r="P43" s="59"/>
      <c r="Q43" s="59"/>
      <c r="R43" s="62"/>
      <c r="S43" s="59"/>
      <c r="T43" s="67"/>
      <c r="U43" s="59"/>
      <c r="V43" s="59"/>
      <c r="W43" s="62"/>
      <c r="X43" s="63"/>
      <c r="Y43" s="48"/>
    </row>
    <row r="44" spans="1:25" ht="29.25" customHeight="1" hidden="1">
      <c r="A44" s="119" t="s">
        <v>119</v>
      </c>
      <c r="B44" s="59"/>
      <c r="C44" s="67"/>
      <c r="D44" s="67"/>
      <c r="E44" s="59"/>
      <c r="F44" s="60"/>
      <c r="G44" s="67"/>
      <c r="H44" s="112">
        <f t="shared" si="2"/>
        <v>0</v>
      </c>
      <c r="I44" s="59"/>
      <c r="J44" s="67"/>
      <c r="K44" s="60"/>
      <c r="L44" s="61"/>
      <c r="M44" s="62"/>
      <c r="N44" s="59"/>
      <c r="O44" s="67"/>
      <c r="P44" s="59"/>
      <c r="Q44" s="59"/>
      <c r="R44" s="62"/>
      <c r="S44" s="59"/>
      <c r="T44" s="67"/>
      <c r="U44" s="59"/>
      <c r="V44" s="59"/>
      <c r="W44" s="62"/>
      <c r="X44" s="63"/>
      <c r="Y44" s="48"/>
    </row>
    <row r="45" spans="1:25" ht="33.75" customHeight="1">
      <c r="A45" s="72" t="s">
        <v>17</v>
      </c>
      <c r="B45" s="59"/>
      <c r="C45" s="67">
        <v>100000000</v>
      </c>
      <c r="D45" s="67"/>
      <c r="E45" s="59"/>
      <c r="F45" s="60">
        <v>1400000000</v>
      </c>
      <c r="G45" s="67"/>
      <c r="H45" s="112">
        <f t="shared" si="2"/>
        <v>1500000000</v>
      </c>
      <c r="I45" s="59"/>
      <c r="J45" s="67">
        <v>100000000</v>
      </c>
      <c r="K45" s="60">
        <v>450000000</v>
      </c>
      <c r="L45" s="61"/>
      <c r="M45" s="62">
        <f>+I45+J45+K45+L45</f>
        <v>550000000</v>
      </c>
      <c r="N45" s="59"/>
      <c r="O45" s="67">
        <v>100000000</v>
      </c>
      <c r="P45" s="61">
        <v>925000000</v>
      </c>
      <c r="Q45" s="61"/>
      <c r="R45" s="62">
        <f>+N45+O45+P45+Q45</f>
        <v>1025000000</v>
      </c>
      <c r="S45" s="59"/>
      <c r="T45" s="67">
        <v>100000000</v>
      </c>
      <c r="U45" s="61">
        <v>500000000</v>
      </c>
      <c r="V45" s="61"/>
      <c r="W45" s="62">
        <f>+S45+T45+U45+V45</f>
        <v>600000000</v>
      </c>
      <c r="X45" s="63">
        <f>+W45+R45+M45+H45</f>
        <v>3675000000</v>
      </c>
      <c r="Y45" s="48"/>
    </row>
    <row r="46" spans="1:25" ht="29.25" customHeight="1" hidden="1">
      <c r="A46" s="119" t="s">
        <v>156</v>
      </c>
      <c r="B46" s="59"/>
      <c r="C46" s="67"/>
      <c r="D46" s="67"/>
      <c r="E46" s="59"/>
      <c r="F46" s="60">
        <v>1100000000</v>
      </c>
      <c r="G46" s="67"/>
      <c r="H46" s="112">
        <f t="shared" si="2"/>
        <v>1100000000</v>
      </c>
      <c r="I46" s="59"/>
      <c r="J46" s="67"/>
      <c r="K46" s="60"/>
      <c r="L46" s="61"/>
      <c r="M46" s="62"/>
      <c r="N46" s="59"/>
      <c r="O46" s="67"/>
      <c r="P46" s="60"/>
      <c r="Q46" s="61"/>
      <c r="R46" s="62"/>
      <c r="S46" s="59"/>
      <c r="T46" s="67"/>
      <c r="U46" s="60"/>
      <c r="V46" s="59"/>
      <c r="W46" s="62"/>
      <c r="X46" s="63"/>
      <c r="Y46" s="48"/>
    </row>
    <row r="47" spans="1:25" ht="29.25" customHeight="1" hidden="1">
      <c r="A47" s="119" t="s">
        <v>120</v>
      </c>
      <c r="B47" s="59"/>
      <c r="C47" s="67"/>
      <c r="D47" s="67"/>
      <c r="E47" s="59"/>
      <c r="F47" s="60"/>
      <c r="G47" s="67"/>
      <c r="H47" s="112">
        <f t="shared" si="2"/>
        <v>0</v>
      </c>
      <c r="I47" s="59"/>
      <c r="J47" s="67"/>
      <c r="K47" s="60"/>
      <c r="L47" s="61"/>
      <c r="M47" s="62"/>
      <c r="N47" s="59"/>
      <c r="O47" s="67"/>
      <c r="P47" s="60"/>
      <c r="Q47" s="61"/>
      <c r="R47" s="62"/>
      <c r="S47" s="59"/>
      <c r="T47" s="67"/>
      <c r="U47" s="60"/>
      <c r="V47" s="59"/>
      <c r="W47" s="62"/>
      <c r="X47" s="63"/>
      <c r="Y47" s="48"/>
    </row>
    <row r="48" spans="1:25" ht="33.75" customHeight="1">
      <c r="A48" s="72" t="s">
        <v>18</v>
      </c>
      <c r="B48" s="59"/>
      <c r="C48" s="67">
        <v>170000000</v>
      </c>
      <c r="D48" s="67"/>
      <c r="E48" s="59"/>
      <c r="F48" s="60"/>
      <c r="G48" s="67"/>
      <c r="H48" s="112">
        <f t="shared" si="2"/>
        <v>170000000</v>
      </c>
      <c r="I48" s="59"/>
      <c r="J48" s="67">
        <v>170000000</v>
      </c>
      <c r="K48" s="60"/>
      <c r="L48" s="61"/>
      <c r="M48" s="62">
        <f>+I48+J48+K48+L48</f>
        <v>170000000</v>
      </c>
      <c r="N48" s="59"/>
      <c r="O48" s="67">
        <v>170000000</v>
      </c>
      <c r="P48" s="60"/>
      <c r="Q48" s="61"/>
      <c r="R48" s="62">
        <f>+N48+O48+P48+Q48</f>
        <v>170000000</v>
      </c>
      <c r="S48" s="59"/>
      <c r="T48" s="67">
        <v>170000000</v>
      </c>
      <c r="U48" s="60"/>
      <c r="V48" s="59"/>
      <c r="W48" s="62">
        <f>+S48+T48+U48+V48</f>
        <v>170000000</v>
      </c>
      <c r="X48" s="63">
        <f>+W48+R48+M48+H48</f>
        <v>680000000</v>
      </c>
      <c r="Y48" s="48"/>
    </row>
    <row r="49" spans="1:25" ht="29.25" customHeight="1" hidden="1">
      <c r="A49" s="119" t="s">
        <v>121</v>
      </c>
      <c r="B49" s="59"/>
      <c r="C49" s="67"/>
      <c r="D49" s="67"/>
      <c r="E49" s="59"/>
      <c r="F49" s="60"/>
      <c r="G49" s="67"/>
      <c r="H49" s="112">
        <f t="shared" si="2"/>
        <v>0</v>
      </c>
      <c r="I49" s="59"/>
      <c r="J49" s="67"/>
      <c r="K49" s="60"/>
      <c r="L49" s="61"/>
      <c r="M49" s="62"/>
      <c r="N49" s="59"/>
      <c r="O49" s="67"/>
      <c r="P49" s="60"/>
      <c r="Q49" s="61"/>
      <c r="R49" s="62"/>
      <c r="S49" s="59"/>
      <c r="T49" s="67"/>
      <c r="U49" s="60"/>
      <c r="V49" s="59"/>
      <c r="W49" s="62"/>
      <c r="X49" s="63"/>
      <c r="Y49" s="48"/>
    </row>
    <row r="50" spans="1:25" ht="29.25" customHeight="1" hidden="1">
      <c r="A50" s="119" t="s">
        <v>122</v>
      </c>
      <c r="B50" s="59"/>
      <c r="C50" s="67"/>
      <c r="D50" s="67"/>
      <c r="E50" s="59"/>
      <c r="F50" s="60"/>
      <c r="G50" s="67"/>
      <c r="H50" s="112">
        <f t="shared" si="2"/>
        <v>0</v>
      </c>
      <c r="I50" s="59"/>
      <c r="J50" s="67"/>
      <c r="K50" s="60"/>
      <c r="L50" s="61"/>
      <c r="M50" s="62"/>
      <c r="N50" s="59"/>
      <c r="O50" s="67"/>
      <c r="P50" s="60"/>
      <c r="Q50" s="61"/>
      <c r="R50" s="62"/>
      <c r="S50" s="59"/>
      <c r="T50" s="67"/>
      <c r="U50" s="60"/>
      <c r="V50" s="59"/>
      <c r="W50" s="62"/>
      <c r="X50" s="63"/>
      <c r="Y50" s="48"/>
    </row>
    <row r="51" spans="1:25" s="35" customFormat="1" ht="33.75" customHeight="1">
      <c r="A51" s="73" t="s">
        <v>20</v>
      </c>
      <c r="B51" s="74">
        <f>+B52</f>
        <v>0</v>
      </c>
      <c r="C51" s="74">
        <f aca="true" t="shared" si="5" ref="C51:W51">+C52</f>
        <v>269063141</v>
      </c>
      <c r="D51" s="74">
        <f t="shared" si="5"/>
        <v>0</v>
      </c>
      <c r="E51" s="74">
        <f t="shared" si="5"/>
        <v>0</v>
      </c>
      <c r="F51" s="75">
        <f t="shared" si="5"/>
        <v>70000000</v>
      </c>
      <c r="G51" s="120">
        <f t="shared" si="5"/>
        <v>0</v>
      </c>
      <c r="H51" s="112">
        <f t="shared" si="2"/>
        <v>339063141</v>
      </c>
      <c r="I51" s="74">
        <f t="shared" si="5"/>
        <v>0</v>
      </c>
      <c r="J51" s="74">
        <f t="shared" si="5"/>
        <v>323398119.684</v>
      </c>
      <c r="K51" s="75">
        <f t="shared" si="5"/>
        <v>1100000000</v>
      </c>
      <c r="L51" s="74">
        <f t="shared" si="5"/>
        <v>0</v>
      </c>
      <c r="M51" s="74">
        <f t="shared" si="5"/>
        <v>1423398119.684</v>
      </c>
      <c r="N51" s="74">
        <f t="shared" si="5"/>
        <v>0</v>
      </c>
      <c r="O51" s="74">
        <f t="shared" si="5"/>
        <v>78926340.7354968</v>
      </c>
      <c r="P51" s="75">
        <f t="shared" si="5"/>
        <v>100000000</v>
      </c>
      <c r="Q51" s="74">
        <f t="shared" si="5"/>
        <v>0</v>
      </c>
      <c r="R51" s="74">
        <f t="shared" si="5"/>
        <v>178926340.73549682</v>
      </c>
      <c r="S51" s="74">
        <f t="shared" si="5"/>
        <v>0</v>
      </c>
      <c r="T51" s="74">
        <f t="shared" si="5"/>
        <v>82043931.19454893</v>
      </c>
      <c r="U51" s="75">
        <f t="shared" si="5"/>
        <v>100000000</v>
      </c>
      <c r="V51" s="74">
        <f t="shared" si="5"/>
        <v>0</v>
      </c>
      <c r="W51" s="74">
        <f t="shared" si="5"/>
        <v>182043931.19454893</v>
      </c>
      <c r="X51" s="63">
        <f>+W51+R51+M51+H51</f>
        <v>2123431532.6140456</v>
      </c>
      <c r="Y51" s="76"/>
    </row>
    <row r="52" spans="1:25" ht="33.75" customHeight="1">
      <c r="A52" s="72" t="s">
        <v>19</v>
      </c>
      <c r="B52" s="59"/>
      <c r="C52" s="114">
        <f>172887724+96175417</f>
        <v>269063141</v>
      </c>
      <c r="D52" s="115"/>
      <c r="E52" s="59"/>
      <c r="F52" s="60">
        <v>70000000</v>
      </c>
      <c r="G52" s="67"/>
      <c r="H52" s="112">
        <f t="shared" si="2"/>
        <v>339063141</v>
      </c>
      <c r="I52" s="59"/>
      <c r="J52" s="64">
        <f>75876120.684+247521999</f>
        <v>323398119.684</v>
      </c>
      <c r="K52" s="60">
        <v>1100000000</v>
      </c>
      <c r="L52" s="61"/>
      <c r="M52" s="62">
        <f>+L52+K52+J52+I52</f>
        <v>1423398119.684</v>
      </c>
      <c r="N52" s="59"/>
      <c r="O52" s="64">
        <v>78926340.7354968</v>
      </c>
      <c r="P52" s="60">
        <v>100000000</v>
      </c>
      <c r="Q52" s="61"/>
      <c r="R52" s="62">
        <f>+Q52+P52+O52+N52</f>
        <v>178926340.73549682</v>
      </c>
      <c r="S52" s="59"/>
      <c r="T52" s="64">
        <v>82043931.19454893</v>
      </c>
      <c r="U52" s="60">
        <v>100000000</v>
      </c>
      <c r="V52" s="59"/>
      <c r="W52" s="62">
        <f>+V52+U52+T52+S52</f>
        <v>182043931.19454893</v>
      </c>
      <c r="X52" s="63">
        <f>+W52+R52+M52+H52</f>
        <v>2123431532.6140456</v>
      </c>
      <c r="Y52" s="48"/>
    </row>
    <row r="53" spans="1:25" ht="29.25" customHeight="1" hidden="1">
      <c r="A53" s="119" t="s">
        <v>102</v>
      </c>
      <c r="B53" s="59"/>
      <c r="C53" s="67"/>
      <c r="D53" s="67"/>
      <c r="E53" s="59"/>
      <c r="F53" s="60"/>
      <c r="G53" s="67"/>
      <c r="H53" s="112">
        <f t="shared" si="2"/>
        <v>0</v>
      </c>
      <c r="I53" s="59"/>
      <c r="J53" s="67"/>
      <c r="K53" s="60"/>
      <c r="L53" s="61"/>
      <c r="M53" s="62"/>
      <c r="N53" s="59"/>
      <c r="O53" s="67"/>
      <c r="P53" s="60"/>
      <c r="Q53" s="61"/>
      <c r="R53" s="62"/>
      <c r="S53" s="59"/>
      <c r="T53" s="67"/>
      <c r="U53" s="60"/>
      <c r="V53" s="59"/>
      <c r="W53" s="62"/>
      <c r="X53" s="63"/>
      <c r="Y53" s="48"/>
    </row>
    <row r="54" spans="1:25" ht="29.25" customHeight="1" hidden="1">
      <c r="A54" s="119" t="s">
        <v>170</v>
      </c>
      <c r="B54" s="59"/>
      <c r="C54" s="67"/>
      <c r="D54" s="67"/>
      <c r="E54" s="59"/>
      <c r="F54" s="60"/>
      <c r="G54" s="67"/>
      <c r="H54" s="112">
        <f t="shared" si="2"/>
        <v>0</v>
      </c>
      <c r="I54" s="59"/>
      <c r="J54" s="67"/>
      <c r="K54" s="60"/>
      <c r="L54" s="61"/>
      <c r="M54" s="62"/>
      <c r="N54" s="59"/>
      <c r="O54" s="67"/>
      <c r="P54" s="60"/>
      <c r="Q54" s="61"/>
      <c r="R54" s="62"/>
      <c r="S54" s="59"/>
      <c r="T54" s="67"/>
      <c r="U54" s="60"/>
      <c r="V54" s="59"/>
      <c r="W54" s="62"/>
      <c r="X54" s="63"/>
      <c r="Y54" s="48"/>
    </row>
    <row r="55" spans="1:25" ht="29.25" customHeight="1" hidden="1">
      <c r="A55" s="119" t="s">
        <v>103</v>
      </c>
      <c r="B55" s="59"/>
      <c r="C55" s="67">
        <v>100000000</v>
      </c>
      <c r="D55" s="67"/>
      <c r="E55" s="59"/>
      <c r="F55" s="60"/>
      <c r="G55" s="67"/>
      <c r="H55" s="112">
        <f t="shared" si="2"/>
        <v>100000000</v>
      </c>
      <c r="I55" s="59"/>
      <c r="J55" s="67"/>
      <c r="K55" s="60">
        <v>1000000000</v>
      </c>
      <c r="L55" s="61"/>
      <c r="M55" s="62"/>
      <c r="N55" s="59"/>
      <c r="O55" s="67"/>
      <c r="P55" s="60"/>
      <c r="Q55" s="61"/>
      <c r="R55" s="62"/>
      <c r="S55" s="59"/>
      <c r="T55" s="67"/>
      <c r="U55" s="60"/>
      <c r="V55" s="59"/>
      <c r="W55" s="62"/>
      <c r="X55" s="63"/>
      <c r="Y55" s="48"/>
    </row>
    <row r="56" spans="1:25" ht="29.25" customHeight="1" hidden="1">
      <c r="A56" s="119" t="s">
        <v>123</v>
      </c>
      <c r="B56" s="59"/>
      <c r="C56" s="67"/>
      <c r="D56" s="67"/>
      <c r="E56" s="59"/>
      <c r="F56" s="60"/>
      <c r="G56" s="67"/>
      <c r="H56" s="112">
        <f t="shared" si="2"/>
        <v>0</v>
      </c>
      <c r="I56" s="59"/>
      <c r="J56" s="67"/>
      <c r="K56" s="60"/>
      <c r="L56" s="61"/>
      <c r="M56" s="62"/>
      <c r="N56" s="59"/>
      <c r="O56" s="67"/>
      <c r="P56" s="60"/>
      <c r="Q56" s="61"/>
      <c r="R56" s="62"/>
      <c r="S56" s="59"/>
      <c r="T56" s="67"/>
      <c r="U56" s="60"/>
      <c r="V56" s="59"/>
      <c r="W56" s="62"/>
      <c r="X56" s="63"/>
      <c r="Y56" s="48"/>
    </row>
    <row r="57" spans="1:25" ht="33.75" customHeight="1">
      <c r="A57" s="73" t="s">
        <v>21</v>
      </c>
      <c r="B57" s="74">
        <f>+B58</f>
        <v>200000000</v>
      </c>
      <c r="C57" s="74">
        <f aca="true" t="shared" si="6" ref="C57:W57">+C58</f>
        <v>54665793</v>
      </c>
      <c r="D57" s="74">
        <f t="shared" si="6"/>
        <v>0</v>
      </c>
      <c r="E57" s="74">
        <f t="shared" si="6"/>
        <v>0</v>
      </c>
      <c r="F57" s="75">
        <f t="shared" si="6"/>
        <v>130000000</v>
      </c>
      <c r="G57" s="120">
        <f t="shared" si="6"/>
        <v>163649128</v>
      </c>
      <c r="H57" s="112">
        <f t="shared" si="2"/>
        <v>548314921</v>
      </c>
      <c r="I57" s="74">
        <f t="shared" si="6"/>
        <v>0</v>
      </c>
      <c r="J57" s="74">
        <f t="shared" si="6"/>
        <v>56907090.513</v>
      </c>
      <c r="K57" s="75">
        <f t="shared" si="6"/>
        <v>100000000</v>
      </c>
      <c r="L57" s="74">
        <f t="shared" si="6"/>
        <v>166489509</v>
      </c>
      <c r="M57" s="74">
        <f t="shared" si="6"/>
        <v>323396599.513</v>
      </c>
      <c r="N57" s="74">
        <f t="shared" si="6"/>
        <v>0</v>
      </c>
      <c r="O57" s="74">
        <f t="shared" si="6"/>
        <v>59194755.5516226</v>
      </c>
      <c r="P57" s="75">
        <f t="shared" si="6"/>
        <v>100000000</v>
      </c>
      <c r="Q57" s="74">
        <f t="shared" si="6"/>
        <v>118710461</v>
      </c>
      <c r="R57" s="74">
        <f t="shared" si="6"/>
        <v>277905216.5516226</v>
      </c>
      <c r="S57" s="74">
        <f t="shared" si="6"/>
        <v>0</v>
      </c>
      <c r="T57" s="74">
        <f t="shared" si="6"/>
        <v>61532948.3959117</v>
      </c>
      <c r="U57" s="75">
        <f t="shared" si="6"/>
        <v>100000000</v>
      </c>
      <c r="V57" s="74">
        <f t="shared" si="6"/>
        <v>94968369</v>
      </c>
      <c r="W57" s="74">
        <f t="shared" si="6"/>
        <v>256501317.3959117</v>
      </c>
      <c r="X57" s="63">
        <f>+W57+R57+M57+H57</f>
        <v>1406118054.4605343</v>
      </c>
      <c r="Y57" s="48"/>
    </row>
    <row r="58" spans="1:25" ht="50.25" customHeight="1">
      <c r="A58" s="72" t="s">
        <v>22</v>
      </c>
      <c r="B58" s="59">
        <v>200000000</v>
      </c>
      <c r="C58" s="114">
        <v>54665793</v>
      </c>
      <c r="D58" s="115"/>
      <c r="E58" s="59"/>
      <c r="F58" s="60">
        <v>130000000</v>
      </c>
      <c r="G58" s="95">
        <f>+G4</f>
        <v>163649128</v>
      </c>
      <c r="H58" s="112">
        <f t="shared" si="2"/>
        <v>548314921</v>
      </c>
      <c r="I58" s="59"/>
      <c r="J58" s="64">
        <v>56907090.513</v>
      </c>
      <c r="K58" s="60">
        <v>100000000</v>
      </c>
      <c r="L58" s="95">
        <f>+L4</f>
        <v>166489509</v>
      </c>
      <c r="M58" s="62">
        <f>+L58+K58+J58+I58</f>
        <v>323396599.513</v>
      </c>
      <c r="N58" s="59"/>
      <c r="O58" s="64">
        <v>59194755.5516226</v>
      </c>
      <c r="P58" s="60">
        <v>100000000</v>
      </c>
      <c r="Q58" s="67">
        <f>+Q4</f>
        <v>118710461</v>
      </c>
      <c r="R58" s="62">
        <f>+Q58+P58+O58+N58</f>
        <v>277905216.5516226</v>
      </c>
      <c r="S58" s="59"/>
      <c r="T58" s="64">
        <v>61532948.3959117</v>
      </c>
      <c r="U58" s="60">
        <v>100000000</v>
      </c>
      <c r="V58" s="67">
        <f>+V4</f>
        <v>94968369</v>
      </c>
      <c r="W58" s="62">
        <f>+V58+U58+T58+S58</f>
        <v>256501317.3959117</v>
      </c>
      <c r="X58" s="63">
        <f>+W58+R58+M58+H58</f>
        <v>1406118054.4605343</v>
      </c>
      <c r="Y58" s="48"/>
    </row>
    <row r="59" spans="1:25" ht="29.25" customHeight="1" hidden="1">
      <c r="A59" s="119" t="s">
        <v>124</v>
      </c>
      <c r="B59" s="59">
        <v>200</v>
      </c>
      <c r="C59" s="67"/>
      <c r="D59" s="67"/>
      <c r="E59" s="59"/>
      <c r="F59" s="60"/>
      <c r="G59" s="77"/>
      <c r="H59" s="112">
        <f t="shared" si="2"/>
        <v>200</v>
      </c>
      <c r="I59" s="59"/>
      <c r="J59" s="67"/>
      <c r="K59" s="60"/>
      <c r="L59" s="77"/>
      <c r="M59" s="62"/>
      <c r="N59" s="59"/>
      <c r="O59" s="67"/>
      <c r="P59" s="60"/>
      <c r="Q59" s="67"/>
      <c r="R59" s="62"/>
      <c r="S59" s="59"/>
      <c r="T59" s="67"/>
      <c r="U59" s="60"/>
      <c r="V59" s="67"/>
      <c r="W59" s="62"/>
      <c r="X59" s="63"/>
      <c r="Y59" s="48"/>
    </row>
    <row r="60" spans="1:25" ht="29.25" customHeight="1" hidden="1">
      <c r="A60" s="119" t="s">
        <v>171</v>
      </c>
      <c r="B60" s="59"/>
      <c r="C60" s="67"/>
      <c r="D60" s="67"/>
      <c r="E60" s="59"/>
      <c r="F60" s="60"/>
      <c r="G60" s="77"/>
      <c r="H60" s="112">
        <f t="shared" si="2"/>
        <v>0</v>
      </c>
      <c r="I60" s="59"/>
      <c r="J60" s="67"/>
      <c r="K60" s="60"/>
      <c r="L60" s="77"/>
      <c r="M60" s="62"/>
      <c r="N60" s="59"/>
      <c r="O60" s="67"/>
      <c r="P60" s="60"/>
      <c r="Q60" s="67"/>
      <c r="R60" s="62"/>
      <c r="S60" s="59"/>
      <c r="T60" s="67"/>
      <c r="U60" s="60"/>
      <c r="V60" s="67"/>
      <c r="W60" s="62"/>
      <c r="X60" s="63"/>
      <c r="Y60" s="48"/>
    </row>
    <row r="61" spans="1:25" ht="29.25" customHeight="1" hidden="1">
      <c r="A61" s="119" t="s">
        <v>157</v>
      </c>
      <c r="B61" s="59"/>
      <c r="C61" s="67"/>
      <c r="D61" s="67"/>
      <c r="E61" s="59"/>
      <c r="F61" s="60"/>
      <c r="G61" s="77"/>
      <c r="H61" s="112">
        <f t="shared" si="2"/>
        <v>0</v>
      </c>
      <c r="I61" s="59"/>
      <c r="J61" s="67"/>
      <c r="K61" s="60"/>
      <c r="L61" s="77"/>
      <c r="M61" s="62"/>
      <c r="N61" s="59"/>
      <c r="O61" s="67"/>
      <c r="P61" s="60"/>
      <c r="Q61" s="67"/>
      <c r="R61" s="62"/>
      <c r="S61" s="59"/>
      <c r="T61" s="67"/>
      <c r="U61" s="60"/>
      <c r="V61" s="67"/>
      <c r="W61" s="62"/>
      <c r="X61" s="63"/>
      <c r="Y61" s="48"/>
    </row>
    <row r="62" spans="1:25" ht="29.25" customHeight="1" hidden="1">
      <c r="A62" s="119" t="s">
        <v>158</v>
      </c>
      <c r="B62" s="59"/>
      <c r="C62" s="67"/>
      <c r="D62" s="67"/>
      <c r="E62" s="59"/>
      <c r="F62" s="60"/>
      <c r="G62" s="77"/>
      <c r="H62" s="112">
        <f t="shared" si="2"/>
        <v>0</v>
      </c>
      <c r="I62" s="59"/>
      <c r="J62" s="67"/>
      <c r="K62" s="60"/>
      <c r="L62" s="77"/>
      <c r="M62" s="62"/>
      <c r="N62" s="59"/>
      <c r="O62" s="67"/>
      <c r="P62" s="60"/>
      <c r="Q62" s="67"/>
      <c r="R62" s="62"/>
      <c r="S62" s="59"/>
      <c r="T62" s="67"/>
      <c r="U62" s="60"/>
      <c r="V62" s="67"/>
      <c r="W62" s="62"/>
      <c r="X62" s="63"/>
      <c r="Y62" s="48"/>
    </row>
    <row r="63" spans="1:25" ht="45.75" customHeight="1">
      <c r="A63" s="73" t="s">
        <v>23</v>
      </c>
      <c r="B63" s="74">
        <f aca="true" t="shared" si="7" ref="B63:G63">+B64+B68</f>
        <v>0</v>
      </c>
      <c r="C63" s="74">
        <f t="shared" si="7"/>
        <v>0</v>
      </c>
      <c r="D63" s="74">
        <f t="shared" si="7"/>
        <v>906732989</v>
      </c>
      <c r="E63" s="74">
        <f t="shared" si="7"/>
        <v>4752509373</v>
      </c>
      <c r="F63" s="75">
        <f t="shared" si="7"/>
        <v>3000701678</v>
      </c>
      <c r="G63" s="120">
        <f t="shared" si="7"/>
        <v>0</v>
      </c>
      <c r="H63" s="112">
        <f t="shared" si="2"/>
        <v>8659944040</v>
      </c>
      <c r="I63" s="74">
        <f aca="true" t="shared" si="8" ref="I63:W63">+I64+I68</f>
        <v>0</v>
      </c>
      <c r="J63" s="74">
        <f t="shared" si="8"/>
        <v>0</v>
      </c>
      <c r="K63" s="75">
        <f t="shared" si="8"/>
        <v>500000000</v>
      </c>
      <c r="L63" s="74">
        <f t="shared" si="8"/>
        <v>0</v>
      </c>
      <c r="M63" s="74">
        <f t="shared" si="8"/>
        <v>500000000</v>
      </c>
      <c r="N63" s="74">
        <f t="shared" si="8"/>
        <v>0</v>
      </c>
      <c r="O63" s="74">
        <f t="shared" si="8"/>
        <v>0</v>
      </c>
      <c r="P63" s="75">
        <f t="shared" si="8"/>
        <v>0</v>
      </c>
      <c r="Q63" s="74">
        <f t="shared" si="8"/>
        <v>0</v>
      </c>
      <c r="R63" s="74">
        <f t="shared" si="8"/>
        <v>0</v>
      </c>
      <c r="S63" s="74">
        <f t="shared" si="8"/>
        <v>0</v>
      </c>
      <c r="T63" s="74">
        <f t="shared" si="8"/>
        <v>0</v>
      </c>
      <c r="U63" s="75">
        <f t="shared" si="8"/>
        <v>1000000000</v>
      </c>
      <c r="V63" s="74">
        <f t="shared" si="8"/>
        <v>0</v>
      </c>
      <c r="W63" s="74">
        <f t="shared" si="8"/>
        <v>1000000000</v>
      </c>
      <c r="X63" s="63">
        <f>+W63+R63+M63+H63</f>
        <v>10159944040</v>
      </c>
      <c r="Y63" s="48"/>
    </row>
    <row r="64" spans="1:25" ht="33.75" customHeight="1">
      <c r="A64" s="72" t="s">
        <v>24</v>
      </c>
      <c r="B64" s="59"/>
      <c r="C64" s="59"/>
      <c r="D64" s="59">
        <v>450000000</v>
      </c>
      <c r="E64" s="59">
        <v>800000000</v>
      </c>
      <c r="F64" s="60">
        <v>1100000000</v>
      </c>
      <c r="G64" s="67"/>
      <c r="H64" s="112">
        <f t="shared" si="2"/>
        <v>2350000000</v>
      </c>
      <c r="I64" s="59"/>
      <c r="J64" s="59"/>
      <c r="K64" s="60"/>
      <c r="L64" s="61"/>
      <c r="M64" s="62">
        <f>+L64+K64+J64+I64</f>
        <v>0</v>
      </c>
      <c r="N64" s="59"/>
      <c r="O64" s="59"/>
      <c r="P64" s="60"/>
      <c r="Q64" s="61"/>
      <c r="R64" s="62">
        <f>+Q64+P64+O64+N64</f>
        <v>0</v>
      </c>
      <c r="S64" s="59"/>
      <c r="T64" s="59"/>
      <c r="U64" s="60"/>
      <c r="V64" s="59"/>
      <c r="W64" s="62">
        <f>+V64+U64+T64+S64</f>
        <v>0</v>
      </c>
      <c r="X64" s="63">
        <f>+W64+R64+M64+H64</f>
        <v>2350000000</v>
      </c>
      <c r="Y64" s="48"/>
    </row>
    <row r="65" spans="1:25" ht="29.25" customHeight="1" hidden="1">
      <c r="A65" s="119" t="s">
        <v>125</v>
      </c>
      <c r="B65" s="59"/>
      <c r="C65" s="59"/>
      <c r="D65" s="59"/>
      <c r="E65" s="59"/>
      <c r="F65" s="60">
        <v>300000000</v>
      </c>
      <c r="G65" s="67"/>
      <c r="H65" s="112">
        <f t="shared" si="2"/>
        <v>300000000</v>
      </c>
      <c r="I65" s="59"/>
      <c r="J65" s="59"/>
      <c r="K65" s="60"/>
      <c r="L65" s="61"/>
      <c r="M65" s="62"/>
      <c r="N65" s="59"/>
      <c r="O65" s="59"/>
      <c r="P65" s="60"/>
      <c r="Q65" s="61"/>
      <c r="R65" s="62"/>
      <c r="S65" s="59"/>
      <c r="T65" s="59"/>
      <c r="U65" s="60"/>
      <c r="V65" s="59"/>
      <c r="W65" s="62"/>
      <c r="X65" s="63"/>
      <c r="Y65" s="48"/>
    </row>
    <row r="66" spans="1:25" ht="29.25" customHeight="1" hidden="1">
      <c r="A66" s="119" t="s">
        <v>126</v>
      </c>
      <c r="B66" s="59"/>
      <c r="C66" s="59"/>
      <c r="D66" s="59"/>
      <c r="E66" s="59"/>
      <c r="F66" s="60"/>
      <c r="G66" s="67"/>
      <c r="H66" s="112">
        <f t="shared" si="2"/>
        <v>0</v>
      </c>
      <c r="I66" s="59"/>
      <c r="J66" s="59"/>
      <c r="K66" s="60"/>
      <c r="L66" s="61"/>
      <c r="M66" s="62"/>
      <c r="N66" s="59"/>
      <c r="O66" s="59"/>
      <c r="P66" s="60"/>
      <c r="Q66" s="61"/>
      <c r="R66" s="62"/>
      <c r="S66" s="59"/>
      <c r="T66" s="59"/>
      <c r="U66" s="60"/>
      <c r="V66" s="59"/>
      <c r="W66" s="62"/>
      <c r="X66" s="63"/>
      <c r="Y66" s="48"/>
    </row>
    <row r="67" spans="1:25" ht="29.25" customHeight="1" hidden="1">
      <c r="A67" s="119" t="s">
        <v>127</v>
      </c>
      <c r="B67" s="59"/>
      <c r="C67" s="59"/>
      <c r="D67" s="59"/>
      <c r="E67" s="59"/>
      <c r="F67" s="60">
        <v>500000000</v>
      </c>
      <c r="G67" s="67"/>
      <c r="H67" s="112">
        <f t="shared" si="2"/>
        <v>500000000</v>
      </c>
      <c r="I67" s="59"/>
      <c r="J67" s="59"/>
      <c r="K67" s="60"/>
      <c r="L67" s="61"/>
      <c r="M67" s="62"/>
      <c r="N67" s="59"/>
      <c r="O67" s="59"/>
      <c r="P67" s="60"/>
      <c r="Q67" s="61"/>
      <c r="R67" s="62"/>
      <c r="S67" s="59"/>
      <c r="T67" s="59"/>
      <c r="U67" s="60"/>
      <c r="V67" s="59"/>
      <c r="W67" s="62"/>
      <c r="X67" s="63"/>
      <c r="Y67" s="48"/>
    </row>
    <row r="68" spans="1:25" ht="33.75" customHeight="1">
      <c r="A68" s="72" t="s">
        <v>25</v>
      </c>
      <c r="B68" s="59"/>
      <c r="C68" s="59"/>
      <c r="D68" s="59">
        <f>1000000000-543267011</f>
        <v>456732989</v>
      </c>
      <c r="E68" s="59">
        <f>3418800000+533709373</f>
        <v>3952509373</v>
      </c>
      <c r="F68" s="60">
        <f>1600000000-99298322-100000000+500000000</f>
        <v>1900701678</v>
      </c>
      <c r="G68" s="67"/>
      <c r="H68" s="112">
        <f t="shared" si="2"/>
        <v>6309944040</v>
      </c>
      <c r="I68" s="59"/>
      <c r="J68" s="59"/>
      <c r="K68" s="60">
        <v>500000000</v>
      </c>
      <c r="L68" s="61"/>
      <c r="M68" s="62">
        <f>+L68+K68+J68+I68</f>
        <v>500000000</v>
      </c>
      <c r="N68" s="59"/>
      <c r="O68" s="59"/>
      <c r="P68" s="60"/>
      <c r="Q68" s="61"/>
      <c r="R68" s="62">
        <f>+Q68+P68+O68+N68</f>
        <v>0</v>
      </c>
      <c r="S68" s="59"/>
      <c r="T68" s="59"/>
      <c r="U68" s="60">
        <v>1000000000</v>
      </c>
      <c r="V68" s="59"/>
      <c r="W68" s="62">
        <f>+V68+U68+T68+S68</f>
        <v>1000000000</v>
      </c>
      <c r="X68" s="63">
        <f>+W68+R68+M68+H68</f>
        <v>7809944040</v>
      </c>
      <c r="Y68" s="48"/>
    </row>
    <row r="69" spans="1:25" ht="29.25" customHeight="1" hidden="1">
      <c r="A69" s="119" t="s">
        <v>129</v>
      </c>
      <c r="B69" s="59"/>
      <c r="C69" s="59"/>
      <c r="D69" s="59"/>
      <c r="E69" s="59"/>
      <c r="F69" s="60"/>
      <c r="G69" s="67"/>
      <c r="H69" s="112">
        <f t="shared" si="2"/>
        <v>0</v>
      </c>
      <c r="I69" s="59"/>
      <c r="J69" s="59"/>
      <c r="K69" s="60"/>
      <c r="L69" s="61"/>
      <c r="M69" s="62"/>
      <c r="N69" s="59"/>
      <c r="O69" s="59"/>
      <c r="P69" s="60">
        <v>800</v>
      </c>
      <c r="Q69" s="61"/>
      <c r="R69" s="62"/>
      <c r="S69" s="59"/>
      <c r="T69" s="59"/>
      <c r="U69" s="60">
        <v>800</v>
      </c>
      <c r="V69" s="59"/>
      <c r="W69" s="62"/>
      <c r="X69" s="63"/>
      <c r="Y69" s="48"/>
    </row>
    <row r="70" spans="1:25" ht="29.25" customHeight="1" hidden="1">
      <c r="A70" s="119" t="s">
        <v>128</v>
      </c>
      <c r="B70" s="59"/>
      <c r="C70" s="59"/>
      <c r="D70" s="59"/>
      <c r="E70" s="59"/>
      <c r="F70" s="60"/>
      <c r="G70" s="67"/>
      <c r="H70" s="112">
        <f t="shared" si="2"/>
        <v>0</v>
      </c>
      <c r="I70" s="59"/>
      <c r="J70" s="59"/>
      <c r="K70" s="60">
        <v>500000000</v>
      </c>
      <c r="L70" s="61"/>
      <c r="M70" s="62"/>
      <c r="N70" s="59"/>
      <c r="O70" s="59"/>
      <c r="P70" s="60">
        <v>200</v>
      </c>
      <c r="Q70" s="61"/>
      <c r="R70" s="62"/>
      <c r="S70" s="59"/>
      <c r="T70" s="59"/>
      <c r="U70" s="60">
        <v>200</v>
      </c>
      <c r="V70" s="59"/>
      <c r="W70" s="62"/>
      <c r="X70" s="63"/>
      <c r="Y70" s="48"/>
    </row>
    <row r="71" spans="1:25" s="35" customFormat="1" ht="45.75" customHeight="1">
      <c r="A71" s="73" t="s">
        <v>26</v>
      </c>
      <c r="B71" s="74">
        <f>+B72</f>
        <v>50000000</v>
      </c>
      <c r="C71" s="74">
        <f aca="true" t="shared" si="9" ref="C71:W71">+C72</f>
        <v>0</v>
      </c>
      <c r="D71" s="74">
        <f t="shared" si="9"/>
        <v>1100000000</v>
      </c>
      <c r="E71" s="74">
        <f t="shared" si="9"/>
        <v>3058650000</v>
      </c>
      <c r="F71" s="75">
        <f t="shared" si="9"/>
        <v>0</v>
      </c>
      <c r="G71" s="120">
        <f t="shared" si="9"/>
        <v>0</v>
      </c>
      <c r="H71" s="112">
        <f t="shared" si="2"/>
        <v>4208650000</v>
      </c>
      <c r="I71" s="74">
        <f t="shared" si="9"/>
        <v>52500000</v>
      </c>
      <c r="J71" s="74">
        <f t="shared" si="9"/>
        <v>0</v>
      </c>
      <c r="K71" s="75">
        <f t="shared" si="9"/>
        <v>950000000</v>
      </c>
      <c r="L71" s="74">
        <f t="shared" si="9"/>
        <v>0</v>
      </c>
      <c r="M71" s="74">
        <f t="shared" si="9"/>
        <v>1002500000</v>
      </c>
      <c r="N71" s="74">
        <f t="shared" si="9"/>
        <v>55125000</v>
      </c>
      <c r="O71" s="74">
        <f t="shared" si="9"/>
        <v>0</v>
      </c>
      <c r="P71" s="75">
        <f t="shared" si="9"/>
        <v>1000000000</v>
      </c>
      <c r="Q71" s="74">
        <f t="shared" si="9"/>
        <v>0</v>
      </c>
      <c r="R71" s="74">
        <f t="shared" si="9"/>
        <v>1055125000</v>
      </c>
      <c r="S71" s="74">
        <f t="shared" si="9"/>
        <v>57881250</v>
      </c>
      <c r="T71" s="74">
        <f t="shared" si="9"/>
        <v>0</v>
      </c>
      <c r="U71" s="75">
        <f t="shared" si="9"/>
        <v>1000000000</v>
      </c>
      <c r="V71" s="74">
        <f t="shared" si="9"/>
        <v>0</v>
      </c>
      <c r="W71" s="74">
        <f t="shared" si="9"/>
        <v>1057881250</v>
      </c>
      <c r="X71" s="63">
        <f>+W71+R71+M71+H71</f>
        <v>7324156250</v>
      </c>
      <c r="Y71" s="76"/>
    </row>
    <row r="72" spans="1:25" ht="33.75" customHeight="1">
      <c r="A72" s="72" t="s">
        <v>27</v>
      </c>
      <c r="B72" s="59">
        <v>50000000</v>
      </c>
      <c r="C72" s="59"/>
      <c r="D72" s="59">
        <v>1100000000</v>
      </c>
      <c r="E72" s="59">
        <v>3058650000</v>
      </c>
      <c r="F72" s="60"/>
      <c r="G72" s="67"/>
      <c r="H72" s="112">
        <f t="shared" si="2"/>
        <v>4208650000</v>
      </c>
      <c r="I72" s="59">
        <f>+B72*1.05</f>
        <v>52500000</v>
      </c>
      <c r="J72" s="59"/>
      <c r="K72" s="60">
        <v>950000000</v>
      </c>
      <c r="L72" s="61"/>
      <c r="M72" s="62">
        <f>+L72+K72+J72+I72</f>
        <v>1002500000</v>
      </c>
      <c r="N72" s="59">
        <f>+I72*1.05</f>
        <v>55125000</v>
      </c>
      <c r="O72" s="59"/>
      <c r="P72" s="60">
        <v>1000000000</v>
      </c>
      <c r="Q72" s="61"/>
      <c r="R72" s="62">
        <f>+Q72+P72+O72+N72</f>
        <v>1055125000</v>
      </c>
      <c r="S72" s="59">
        <f>+N72*1.05</f>
        <v>57881250</v>
      </c>
      <c r="T72" s="59"/>
      <c r="U72" s="60">
        <v>1000000000</v>
      </c>
      <c r="V72" s="59"/>
      <c r="W72" s="62">
        <f>+V72+U72+T72+S72</f>
        <v>1057881250</v>
      </c>
      <c r="X72" s="63">
        <f>+W72+R72+M72+H72</f>
        <v>7324156250</v>
      </c>
      <c r="Y72" s="48"/>
    </row>
    <row r="73" spans="1:25" ht="29.25" customHeight="1" hidden="1">
      <c r="A73" s="119" t="s">
        <v>130</v>
      </c>
      <c r="B73" s="59"/>
      <c r="C73" s="59"/>
      <c r="D73" s="59"/>
      <c r="E73" s="59"/>
      <c r="F73" s="60"/>
      <c r="G73" s="67"/>
      <c r="H73" s="112">
        <f t="shared" si="2"/>
        <v>0</v>
      </c>
      <c r="I73" s="59"/>
      <c r="J73" s="59"/>
      <c r="K73" s="60"/>
      <c r="L73" s="61"/>
      <c r="M73" s="62"/>
      <c r="N73" s="59"/>
      <c r="O73" s="59"/>
      <c r="P73" s="60"/>
      <c r="Q73" s="61"/>
      <c r="R73" s="62"/>
      <c r="S73" s="59"/>
      <c r="T73" s="59"/>
      <c r="U73" s="60"/>
      <c r="V73" s="59"/>
      <c r="W73" s="62"/>
      <c r="X73" s="63"/>
      <c r="Y73" s="48"/>
    </row>
    <row r="74" spans="1:25" ht="29.25" customHeight="1" hidden="1">
      <c r="A74" s="119" t="s">
        <v>131</v>
      </c>
      <c r="B74" s="59"/>
      <c r="C74" s="59"/>
      <c r="D74" s="59"/>
      <c r="E74" s="59"/>
      <c r="F74" s="60"/>
      <c r="G74" s="67"/>
      <c r="H74" s="112">
        <f t="shared" si="2"/>
        <v>0</v>
      </c>
      <c r="I74" s="59"/>
      <c r="J74" s="59"/>
      <c r="K74" s="60"/>
      <c r="L74" s="61"/>
      <c r="M74" s="62"/>
      <c r="N74" s="59"/>
      <c r="O74" s="59"/>
      <c r="P74" s="60"/>
      <c r="Q74" s="61"/>
      <c r="R74" s="62"/>
      <c r="S74" s="59"/>
      <c r="T74" s="59"/>
      <c r="U74" s="60"/>
      <c r="V74" s="59"/>
      <c r="W74" s="62"/>
      <c r="X74" s="63"/>
      <c r="Y74" s="48"/>
    </row>
    <row r="75" spans="1:25" ht="29.25" customHeight="1" hidden="1">
      <c r="A75" s="119" t="s">
        <v>132</v>
      </c>
      <c r="B75" s="59">
        <v>50</v>
      </c>
      <c r="C75" s="59"/>
      <c r="D75" s="59"/>
      <c r="E75" s="59"/>
      <c r="F75" s="60"/>
      <c r="G75" s="67"/>
      <c r="H75" s="112">
        <f t="shared" si="2"/>
        <v>50</v>
      </c>
      <c r="I75" s="59"/>
      <c r="J75" s="59"/>
      <c r="K75" s="60"/>
      <c r="L75" s="61"/>
      <c r="M75" s="62"/>
      <c r="N75" s="59"/>
      <c r="O75" s="59"/>
      <c r="P75" s="60"/>
      <c r="Q75" s="61"/>
      <c r="R75" s="62"/>
      <c r="S75" s="59"/>
      <c r="T75" s="59"/>
      <c r="U75" s="60"/>
      <c r="V75" s="59"/>
      <c r="W75" s="62"/>
      <c r="X75" s="63"/>
      <c r="Y75" s="48"/>
    </row>
    <row r="76" spans="1:25" ht="33.75" customHeight="1">
      <c r="A76" s="73" t="s">
        <v>28</v>
      </c>
      <c r="B76" s="74">
        <f>+B77</f>
        <v>0</v>
      </c>
      <c r="C76" s="74">
        <f aca="true" t="shared" si="10" ref="C76:W76">+C77</f>
        <v>60000000</v>
      </c>
      <c r="D76" s="74">
        <f t="shared" si="10"/>
        <v>0</v>
      </c>
      <c r="E76" s="74">
        <f t="shared" si="10"/>
        <v>0</v>
      </c>
      <c r="F76" s="75">
        <f t="shared" si="10"/>
        <v>0</v>
      </c>
      <c r="G76" s="120">
        <f t="shared" si="10"/>
        <v>47077760</v>
      </c>
      <c r="H76" s="112">
        <f t="shared" si="2"/>
        <v>107077760</v>
      </c>
      <c r="I76" s="74">
        <f t="shared" si="10"/>
        <v>0</v>
      </c>
      <c r="J76" s="74">
        <f t="shared" si="10"/>
        <v>63000000</v>
      </c>
      <c r="K76" s="75">
        <f t="shared" si="10"/>
        <v>0</v>
      </c>
      <c r="L76" s="74">
        <f t="shared" si="10"/>
        <v>48383853</v>
      </c>
      <c r="M76" s="74">
        <f t="shared" si="10"/>
        <v>111383853</v>
      </c>
      <c r="N76" s="74">
        <f t="shared" si="10"/>
        <v>0</v>
      </c>
      <c r="O76" s="74">
        <f t="shared" si="10"/>
        <v>66150000</v>
      </c>
      <c r="P76" s="75">
        <f t="shared" si="10"/>
        <v>0</v>
      </c>
      <c r="Q76" s="74">
        <f t="shared" si="10"/>
        <v>47125655</v>
      </c>
      <c r="R76" s="74">
        <f t="shared" si="10"/>
        <v>113275655</v>
      </c>
      <c r="S76" s="74">
        <f t="shared" si="10"/>
        <v>0</v>
      </c>
      <c r="T76" s="74">
        <f t="shared" si="10"/>
        <v>69457500</v>
      </c>
      <c r="U76" s="75">
        <f t="shared" si="10"/>
        <v>0</v>
      </c>
      <c r="V76" s="74">
        <f t="shared" si="10"/>
        <v>47137507</v>
      </c>
      <c r="W76" s="74">
        <f t="shared" si="10"/>
        <v>116595007</v>
      </c>
      <c r="X76" s="63">
        <f>+W76+R76+M76+H76</f>
        <v>448332275</v>
      </c>
      <c r="Y76" s="48"/>
    </row>
    <row r="77" spans="1:25" ht="33.75" customHeight="1">
      <c r="A77" s="72" t="s">
        <v>29</v>
      </c>
      <c r="B77" s="59"/>
      <c r="C77" s="59">
        <v>60000000</v>
      </c>
      <c r="D77" s="59"/>
      <c r="E77" s="59"/>
      <c r="F77" s="60"/>
      <c r="G77" s="95">
        <v>47077760</v>
      </c>
      <c r="H77" s="112">
        <f t="shared" si="2"/>
        <v>107077760</v>
      </c>
      <c r="I77" s="59"/>
      <c r="J77" s="59">
        <f>+C77*1.05</f>
        <v>63000000</v>
      </c>
      <c r="K77" s="60"/>
      <c r="L77" s="67">
        <v>48383853</v>
      </c>
      <c r="M77" s="62">
        <f>+L77+K77+J77+I77</f>
        <v>111383853</v>
      </c>
      <c r="N77" s="59"/>
      <c r="O77" s="59">
        <f>+J77*1.05</f>
        <v>66150000</v>
      </c>
      <c r="P77" s="60"/>
      <c r="Q77" s="67">
        <v>47125655</v>
      </c>
      <c r="R77" s="62">
        <f>+Q77+P77+O77+N77</f>
        <v>113275655</v>
      </c>
      <c r="S77" s="59"/>
      <c r="T77" s="59">
        <f>+O77*1.05</f>
        <v>69457500</v>
      </c>
      <c r="U77" s="60"/>
      <c r="V77" s="67">
        <v>47137507</v>
      </c>
      <c r="W77" s="62">
        <f>+V77+U77+T77+S77</f>
        <v>116595007</v>
      </c>
      <c r="X77" s="63">
        <f>+W77+R77+M77+H77</f>
        <v>448332275</v>
      </c>
      <c r="Y77" s="48"/>
    </row>
    <row r="78" spans="1:25" ht="29.25" customHeight="1" hidden="1">
      <c r="A78" s="119" t="s">
        <v>133</v>
      </c>
      <c r="B78" s="59"/>
      <c r="C78" s="59"/>
      <c r="D78" s="59"/>
      <c r="E78" s="59"/>
      <c r="F78" s="60"/>
      <c r="G78" s="121"/>
      <c r="H78" s="112">
        <f t="shared" si="2"/>
        <v>0</v>
      </c>
      <c r="I78" s="59"/>
      <c r="J78" s="59"/>
      <c r="K78" s="60"/>
      <c r="L78" s="67"/>
      <c r="M78" s="62"/>
      <c r="N78" s="59"/>
      <c r="O78" s="59"/>
      <c r="P78" s="60"/>
      <c r="Q78" s="67"/>
      <c r="R78" s="62"/>
      <c r="S78" s="59"/>
      <c r="T78" s="59"/>
      <c r="U78" s="60"/>
      <c r="V78" s="67"/>
      <c r="W78" s="62"/>
      <c r="X78" s="63"/>
      <c r="Y78" s="48"/>
    </row>
    <row r="79" spans="1:25" ht="29.25" customHeight="1" hidden="1">
      <c r="A79" s="119" t="s">
        <v>134</v>
      </c>
      <c r="B79" s="59"/>
      <c r="C79" s="59"/>
      <c r="D79" s="59"/>
      <c r="E79" s="59"/>
      <c r="F79" s="60"/>
      <c r="G79" s="121"/>
      <c r="H79" s="112">
        <f t="shared" si="2"/>
        <v>0</v>
      </c>
      <c r="I79" s="59"/>
      <c r="J79" s="59"/>
      <c r="K79" s="60"/>
      <c r="L79" s="67"/>
      <c r="M79" s="62"/>
      <c r="N79" s="59"/>
      <c r="O79" s="59"/>
      <c r="P79" s="60"/>
      <c r="Q79" s="67"/>
      <c r="R79" s="62"/>
      <c r="S79" s="59"/>
      <c r="T79" s="59"/>
      <c r="U79" s="60"/>
      <c r="V79" s="67"/>
      <c r="W79" s="62"/>
      <c r="X79" s="63"/>
      <c r="Y79" s="48"/>
    </row>
    <row r="80" spans="1:25" ht="29.25" customHeight="1" hidden="1">
      <c r="A80" s="119" t="s">
        <v>172</v>
      </c>
      <c r="B80" s="59"/>
      <c r="C80" s="59"/>
      <c r="D80" s="59"/>
      <c r="E80" s="59"/>
      <c r="F80" s="60"/>
      <c r="G80" s="121"/>
      <c r="H80" s="112">
        <f t="shared" si="2"/>
        <v>0</v>
      </c>
      <c r="I80" s="59"/>
      <c r="J80" s="59"/>
      <c r="K80" s="60"/>
      <c r="L80" s="67"/>
      <c r="M80" s="62"/>
      <c r="N80" s="59"/>
      <c r="O80" s="59"/>
      <c r="P80" s="60"/>
      <c r="Q80" s="67"/>
      <c r="R80" s="62"/>
      <c r="S80" s="59"/>
      <c r="T80" s="59"/>
      <c r="U80" s="60"/>
      <c r="V80" s="67"/>
      <c r="W80" s="62"/>
      <c r="X80" s="63"/>
      <c r="Y80" s="48"/>
    </row>
    <row r="81" spans="1:25" ht="39.75" customHeight="1">
      <c r="A81" s="73" t="s">
        <v>30</v>
      </c>
      <c r="B81" s="74">
        <f>+B82</f>
        <v>0</v>
      </c>
      <c r="C81" s="74">
        <f aca="true" t="shared" si="11" ref="C81:W81">+C82</f>
        <v>225000000</v>
      </c>
      <c r="D81" s="74">
        <f t="shared" si="11"/>
        <v>0</v>
      </c>
      <c r="E81" s="74">
        <f t="shared" si="11"/>
        <v>0</v>
      </c>
      <c r="F81" s="75">
        <f t="shared" si="11"/>
        <v>0</v>
      </c>
      <c r="G81" s="120">
        <f t="shared" si="11"/>
        <v>799383505</v>
      </c>
      <c r="H81" s="112">
        <f t="shared" si="2"/>
        <v>1024383505</v>
      </c>
      <c r="I81" s="74">
        <f t="shared" si="11"/>
        <v>0</v>
      </c>
      <c r="J81" s="74">
        <f t="shared" si="11"/>
        <v>236250000</v>
      </c>
      <c r="K81" s="75">
        <f t="shared" si="11"/>
        <v>0</v>
      </c>
      <c r="L81" s="74">
        <f t="shared" si="11"/>
        <v>813258030</v>
      </c>
      <c r="M81" s="74">
        <f t="shared" si="11"/>
        <v>1049508030</v>
      </c>
      <c r="N81" s="74">
        <f t="shared" si="11"/>
        <v>0</v>
      </c>
      <c r="O81" s="74">
        <f t="shared" si="11"/>
        <v>248062500</v>
      </c>
      <c r="P81" s="75">
        <f t="shared" si="11"/>
        <v>0</v>
      </c>
      <c r="Q81" s="74">
        <f t="shared" si="11"/>
        <v>579869784</v>
      </c>
      <c r="R81" s="74">
        <f t="shared" si="11"/>
        <v>827932284</v>
      </c>
      <c r="S81" s="74">
        <f t="shared" si="11"/>
        <v>0</v>
      </c>
      <c r="T81" s="74">
        <f t="shared" si="11"/>
        <v>260465625</v>
      </c>
      <c r="U81" s="75">
        <f t="shared" si="11"/>
        <v>0</v>
      </c>
      <c r="V81" s="74">
        <f t="shared" si="11"/>
        <v>463895827</v>
      </c>
      <c r="W81" s="74">
        <f t="shared" si="11"/>
        <v>724361452</v>
      </c>
      <c r="X81" s="63">
        <f>+W81+R81+M81+H81</f>
        <v>3626185271</v>
      </c>
      <c r="Y81" s="48"/>
    </row>
    <row r="82" spans="1:25" ht="33.75" customHeight="1">
      <c r="A82" s="72" t="s">
        <v>31</v>
      </c>
      <c r="B82" s="59"/>
      <c r="C82" s="67">
        <v>225000000</v>
      </c>
      <c r="D82" s="67"/>
      <c r="E82" s="59"/>
      <c r="F82" s="60"/>
      <c r="G82" s="95">
        <v>799383505</v>
      </c>
      <c r="H82" s="112">
        <f aca="true" t="shared" si="12" ref="H82:H122">+G82+F82+E82+C82+B82+D82</f>
        <v>1024383505</v>
      </c>
      <c r="I82" s="59"/>
      <c r="J82" s="59">
        <f>+C82*1.05</f>
        <v>236250000</v>
      </c>
      <c r="K82" s="60"/>
      <c r="L82" s="61">
        <v>813258030</v>
      </c>
      <c r="M82" s="62">
        <f>+L82+K82+J82+I82</f>
        <v>1049508030</v>
      </c>
      <c r="N82" s="59"/>
      <c r="O82" s="59">
        <f>+J82*1.05</f>
        <v>248062500</v>
      </c>
      <c r="P82" s="60"/>
      <c r="Q82" s="61">
        <v>579869784</v>
      </c>
      <c r="R82" s="62">
        <f>+Q82+P82+O82+N82</f>
        <v>827932284</v>
      </c>
      <c r="S82" s="59"/>
      <c r="T82" s="59">
        <f>+O82*1.05</f>
        <v>260465625</v>
      </c>
      <c r="U82" s="60"/>
      <c r="V82" s="59">
        <v>463895827</v>
      </c>
      <c r="W82" s="62">
        <f>+V82+U82+T82+S82</f>
        <v>724361452</v>
      </c>
      <c r="X82" s="63">
        <f>+W82+R82+M82+H82</f>
        <v>3626185271</v>
      </c>
      <c r="Y82" s="48"/>
    </row>
    <row r="83" spans="1:25" ht="29.25" customHeight="1" hidden="1">
      <c r="A83" s="72" t="s">
        <v>159</v>
      </c>
      <c r="B83" s="59"/>
      <c r="C83" s="67">
        <v>225000000</v>
      </c>
      <c r="D83" s="67"/>
      <c r="E83" s="59"/>
      <c r="F83" s="60"/>
      <c r="G83" s="117"/>
      <c r="H83" s="112">
        <f t="shared" si="12"/>
        <v>225000000</v>
      </c>
      <c r="I83" s="59"/>
      <c r="J83" s="59"/>
      <c r="K83" s="60"/>
      <c r="L83" s="61"/>
      <c r="M83" s="62"/>
      <c r="N83" s="59"/>
      <c r="O83" s="59"/>
      <c r="P83" s="60"/>
      <c r="Q83" s="61"/>
      <c r="R83" s="62"/>
      <c r="S83" s="59"/>
      <c r="T83" s="59"/>
      <c r="U83" s="60"/>
      <c r="V83" s="59"/>
      <c r="W83" s="62"/>
      <c r="X83" s="63"/>
      <c r="Y83" s="48"/>
    </row>
    <row r="84" spans="1:25" ht="29.25" customHeight="1" hidden="1">
      <c r="A84" s="72" t="s">
        <v>135</v>
      </c>
      <c r="B84" s="59"/>
      <c r="C84" s="67"/>
      <c r="D84" s="67"/>
      <c r="E84" s="59"/>
      <c r="F84" s="60"/>
      <c r="G84" s="117"/>
      <c r="H84" s="112">
        <f t="shared" si="12"/>
        <v>0</v>
      </c>
      <c r="I84" s="59"/>
      <c r="J84" s="59"/>
      <c r="K84" s="60"/>
      <c r="L84" s="61"/>
      <c r="M84" s="62"/>
      <c r="N84" s="59"/>
      <c r="O84" s="59"/>
      <c r="P84" s="60"/>
      <c r="Q84" s="61"/>
      <c r="R84" s="62"/>
      <c r="S84" s="59"/>
      <c r="T84" s="59"/>
      <c r="U84" s="60"/>
      <c r="V84" s="59"/>
      <c r="W84" s="62"/>
      <c r="X84" s="63"/>
      <c r="Y84" s="48"/>
    </row>
    <row r="85" spans="1:25" ht="29.25" customHeight="1" hidden="1">
      <c r="A85" s="72" t="s">
        <v>160</v>
      </c>
      <c r="B85" s="59"/>
      <c r="C85" s="67"/>
      <c r="D85" s="67"/>
      <c r="E85" s="59"/>
      <c r="F85" s="60"/>
      <c r="G85" s="117"/>
      <c r="H85" s="112">
        <f t="shared" si="12"/>
        <v>0</v>
      </c>
      <c r="I85" s="59"/>
      <c r="J85" s="59"/>
      <c r="K85" s="60"/>
      <c r="L85" s="61"/>
      <c r="M85" s="62"/>
      <c r="N85" s="59"/>
      <c r="O85" s="59"/>
      <c r="P85" s="60"/>
      <c r="Q85" s="61"/>
      <c r="R85" s="62"/>
      <c r="S85" s="59"/>
      <c r="T85" s="59"/>
      <c r="U85" s="60"/>
      <c r="V85" s="59"/>
      <c r="W85" s="62"/>
      <c r="X85" s="63"/>
      <c r="Y85" s="48"/>
    </row>
    <row r="86" spans="1:25" ht="39.75" customHeight="1">
      <c r="A86" s="73" t="s">
        <v>32</v>
      </c>
      <c r="B86" s="74">
        <f aca="true" t="shared" si="13" ref="B86:G86">+B87+B89</f>
        <v>0</v>
      </c>
      <c r="C86" s="74">
        <f t="shared" si="13"/>
        <v>520000000</v>
      </c>
      <c r="D86" s="74">
        <f t="shared" si="13"/>
        <v>0</v>
      </c>
      <c r="E86" s="74">
        <f t="shared" si="13"/>
        <v>0</v>
      </c>
      <c r="F86" s="75">
        <f t="shared" si="13"/>
        <v>0</v>
      </c>
      <c r="G86" s="120">
        <f t="shared" si="13"/>
        <v>654596513</v>
      </c>
      <c r="H86" s="112">
        <f t="shared" si="12"/>
        <v>1174596513</v>
      </c>
      <c r="I86" s="74">
        <f aca="true" t="shared" si="14" ref="I86:W86">+I87+I89</f>
        <v>0</v>
      </c>
      <c r="J86" s="74">
        <f t="shared" si="14"/>
        <v>546000000</v>
      </c>
      <c r="K86" s="75">
        <f t="shared" si="14"/>
        <v>0</v>
      </c>
      <c r="L86" s="74">
        <f t="shared" si="14"/>
        <v>665958039</v>
      </c>
      <c r="M86" s="74">
        <f t="shared" si="14"/>
        <v>1211958039</v>
      </c>
      <c r="N86" s="74">
        <f t="shared" si="14"/>
        <v>0</v>
      </c>
      <c r="O86" s="74">
        <f t="shared" si="14"/>
        <v>573300000</v>
      </c>
      <c r="P86" s="75">
        <f t="shared" si="14"/>
        <v>0</v>
      </c>
      <c r="Q86" s="74">
        <f t="shared" si="14"/>
        <v>474841846</v>
      </c>
      <c r="R86" s="74">
        <f t="shared" si="14"/>
        <v>1048141846</v>
      </c>
      <c r="S86" s="74">
        <f t="shared" si="14"/>
        <v>0</v>
      </c>
      <c r="T86" s="74">
        <f t="shared" si="14"/>
        <v>601965000</v>
      </c>
      <c r="U86" s="75">
        <f t="shared" si="14"/>
        <v>0</v>
      </c>
      <c r="V86" s="74">
        <f t="shared" si="14"/>
        <v>379873477</v>
      </c>
      <c r="W86" s="74">
        <f t="shared" si="14"/>
        <v>981838477</v>
      </c>
      <c r="X86" s="63">
        <f>+W86+R86+M86+H86</f>
        <v>4416534875</v>
      </c>
      <c r="Y86" s="48"/>
    </row>
    <row r="87" spans="1:25" ht="33.75" customHeight="1">
      <c r="A87" s="72" t="s">
        <v>33</v>
      </c>
      <c r="B87" s="59"/>
      <c r="C87" s="67">
        <v>340000000</v>
      </c>
      <c r="D87" s="67"/>
      <c r="E87" s="59"/>
      <c r="F87" s="60"/>
      <c r="G87" s="67"/>
      <c r="H87" s="112">
        <f t="shared" si="12"/>
        <v>340000000</v>
      </c>
      <c r="I87" s="59"/>
      <c r="J87" s="59">
        <f>+C87*1.05</f>
        <v>357000000</v>
      </c>
      <c r="K87" s="60"/>
      <c r="L87" s="61"/>
      <c r="M87" s="62">
        <f>+L87+K87+J87+I87</f>
        <v>357000000</v>
      </c>
      <c r="N87" s="59"/>
      <c r="O87" s="59">
        <f>+J87*1.05</f>
        <v>374850000</v>
      </c>
      <c r="P87" s="60"/>
      <c r="Q87" s="61"/>
      <c r="R87" s="62">
        <f>+Q87+P87+O87+N87</f>
        <v>374850000</v>
      </c>
      <c r="S87" s="59"/>
      <c r="T87" s="59">
        <f>+O87*1.05</f>
        <v>393592500</v>
      </c>
      <c r="U87" s="60"/>
      <c r="V87" s="59"/>
      <c r="W87" s="62">
        <f>+V87+U87+T87+S87</f>
        <v>393592500</v>
      </c>
      <c r="X87" s="63">
        <f>+W87+R87+M87+H87</f>
        <v>1465442500</v>
      </c>
      <c r="Y87" s="48"/>
    </row>
    <row r="88" spans="1:25" ht="29.25" customHeight="1" hidden="1">
      <c r="A88" s="119" t="s">
        <v>161</v>
      </c>
      <c r="B88" s="59"/>
      <c r="C88" s="67"/>
      <c r="D88" s="67"/>
      <c r="E88" s="59"/>
      <c r="F88" s="60"/>
      <c r="G88" s="67"/>
      <c r="H88" s="112">
        <f t="shared" si="12"/>
        <v>0</v>
      </c>
      <c r="I88" s="59"/>
      <c r="J88" s="59"/>
      <c r="K88" s="60"/>
      <c r="L88" s="61"/>
      <c r="M88" s="62"/>
      <c r="N88" s="59"/>
      <c r="O88" s="59"/>
      <c r="P88" s="60"/>
      <c r="Q88" s="61"/>
      <c r="R88" s="62"/>
      <c r="S88" s="59"/>
      <c r="T88" s="59"/>
      <c r="U88" s="60"/>
      <c r="V88" s="59"/>
      <c r="W88" s="62"/>
      <c r="X88" s="63"/>
      <c r="Y88" s="48"/>
    </row>
    <row r="89" spans="1:25" ht="57.75" customHeight="1" thickBot="1">
      <c r="A89" s="72" t="s">
        <v>34</v>
      </c>
      <c r="B89" s="59"/>
      <c r="C89" s="67">
        <f>40000000+20000000+120000000</f>
        <v>180000000</v>
      </c>
      <c r="D89" s="67"/>
      <c r="E89" s="59"/>
      <c r="F89" s="60"/>
      <c r="G89" s="95">
        <v>654596513</v>
      </c>
      <c r="H89" s="112">
        <f t="shared" si="12"/>
        <v>834596513</v>
      </c>
      <c r="I89" s="59"/>
      <c r="J89" s="59">
        <f>+C89*1.05</f>
        <v>189000000</v>
      </c>
      <c r="K89" s="60"/>
      <c r="L89" s="67">
        <v>665958039</v>
      </c>
      <c r="M89" s="62">
        <f>+L89+K89+J89+I89</f>
        <v>854958039</v>
      </c>
      <c r="N89" s="59"/>
      <c r="O89" s="59">
        <f>+J89*1.05</f>
        <v>198450000</v>
      </c>
      <c r="P89" s="60"/>
      <c r="Q89" s="67">
        <v>474841846</v>
      </c>
      <c r="R89" s="62">
        <f>+Q89+P89+O89+N89</f>
        <v>673291846</v>
      </c>
      <c r="S89" s="59"/>
      <c r="T89" s="59">
        <f>+O89*1.05</f>
        <v>208372500</v>
      </c>
      <c r="U89" s="60"/>
      <c r="V89" s="67">
        <v>379873477</v>
      </c>
      <c r="W89" s="62">
        <f>+V89+U89+T89+S89</f>
        <v>588245977</v>
      </c>
      <c r="X89" s="63">
        <f>+W89+R89+M89+H89</f>
        <v>2951092375</v>
      </c>
      <c r="Y89" s="48"/>
    </row>
    <row r="90" spans="1:25" ht="29.25" customHeight="1" hidden="1">
      <c r="A90" s="122" t="s">
        <v>173</v>
      </c>
      <c r="B90" s="59"/>
      <c r="C90" s="67"/>
      <c r="D90" s="67"/>
      <c r="E90" s="59"/>
      <c r="F90" s="60"/>
      <c r="G90" s="123"/>
      <c r="H90" s="112">
        <f t="shared" si="12"/>
        <v>0</v>
      </c>
      <c r="I90" s="59"/>
      <c r="J90" s="59"/>
      <c r="K90" s="60"/>
      <c r="L90" s="67"/>
      <c r="M90" s="62"/>
      <c r="N90" s="59"/>
      <c r="O90" s="59"/>
      <c r="P90" s="60"/>
      <c r="Q90" s="67"/>
      <c r="R90" s="62"/>
      <c r="S90" s="59"/>
      <c r="T90" s="59"/>
      <c r="U90" s="60"/>
      <c r="V90" s="67"/>
      <c r="W90" s="62"/>
      <c r="X90" s="63"/>
      <c r="Y90" s="48"/>
    </row>
    <row r="91" spans="1:25" ht="29.25" customHeight="1" hidden="1">
      <c r="A91" s="122" t="s">
        <v>162</v>
      </c>
      <c r="B91" s="59"/>
      <c r="C91" s="67"/>
      <c r="D91" s="67"/>
      <c r="E91" s="59"/>
      <c r="F91" s="60"/>
      <c r="G91" s="123"/>
      <c r="H91" s="112">
        <f t="shared" si="12"/>
        <v>0</v>
      </c>
      <c r="I91" s="59"/>
      <c r="J91" s="59"/>
      <c r="K91" s="60"/>
      <c r="L91" s="67"/>
      <c r="M91" s="62"/>
      <c r="N91" s="59"/>
      <c r="O91" s="59"/>
      <c r="P91" s="60"/>
      <c r="Q91" s="67"/>
      <c r="R91" s="62"/>
      <c r="S91" s="59"/>
      <c r="T91" s="59"/>
      <c r="U91" s="60"/>
      <c r="V91" s="67"/>
      <c r="W91" s="62"/>
      <c r="X91" s="63"/>
      <c r="Y91" s="48"/>
    </row>
    <row r="92" spans="1:25" ht="29.25" customHeight="1" hidden="1">
      <c r="A92" s="122" t="s">
        <v>163</v>
      </c>
      <c r="B92" s="59"/>
      <c r="C92" s="67"/>
      <c r="D92" s="67"/>
      <c r="E92" s="59"/>
      <c r="F92" s="60"/>
      <c r="G92" s="123"/>
      <c r="H92" s="112">
        <f t="shared" si="12"/>
        <v>0</v>
      </c>
      <c r="I92" s="59"/>
      <c r="J92" s="59"/>
      <c r="K92" s="60"/>
      <c r="L92" s="67"/>
      <c r="M92" s="62"/>
      <c r="N92" s="59"/>
      <c r="O92" s="59"/>
      <c r="P92" s="60"/>
      <c r="Q92" s="67"/>
      <c r="R92" s="62"/>
      <c r="S92" s="59"/>
      <c r="T92" s="59"/>
      <c r="U92" s="60"/>
      <c r="V92" s="67"/>
      <c r="W92" s="62"/>
      <c r="X92" s="63"/>
      <c r="Y92" s="48"/>
    </row>
    <row r="93" spans="1:25" ht="29.25" customHeight="1" hidden="1" thickBot="1">
      <c r="A93" s="122" t="s">
        <v>164</v>
      </c>
      <c r="B93" s="59"/>
      <c r="C93" s="67"/>
      <c r="D93" s="67"/>
      <c r="E93" s="59"/>
      <c r="F93" s="60"/>
      <c r="G93" s="123"/>
      <c r="H93" s="112">
        <f t="shared" si="12"/>
        <v>0</v>
      </c>
      <c r="I93" s="59"/>
      <c r="J93" s="59"/>
      <c r="K93" s="60"/>
      <c r="L93" s="67"/>
      <c r="M93" s="62"/>
      <c r="N93" s="59"/>
      <c r="O93" s="59"/>
      <c r="P93" s="60"/>
      <c r="Q93" s="67"/>
      <c r="R93" s="62"/>
      <c r="S93" s="59"/>
      <c r="T93" s="59"/>
      <c r="U93" s="60"/>
      <c r="V93" s="67"/>
      <c r="W93" s="62"/>
      <c r="X93" s="63"/>
      <c r="Y93" s="48"/>
    </row>
    <row r="94" spans="1:25" ht="47.25" customHeight="1">
      <c r="A94" s="78" t="s">
        <v>48</v>
      </c>
      <c r="B94" s="63">
        <f>+B95+B99+B106+B110</f>
        <v>530000000</v>
      </c>
      <c r="C94" s="63">
        <f aca="true" t="shared" si="15" ref="C94:H94">+C95+C99+C106+C110</f>
        <v>150000000</v>
      </c>
      <c r="D94" s="63">
        <f t="shared" si="15"/>
        <v>3550000000</v>
      </c>
      <c r="E94" s="63">
        <f t="shared" si="15"/>
        <v>5824879621.5</v>
      </c>
      <c r="F94" s="63">
        <f t="shared" si="15"/>
        <v>6343983961</v>
      </c>
      <c r="G94" s="63">
        <f t="shared" si="15"/>
        <v>22440000</v>
      </c>
      <c r="H94" s="63">
        <f t="shared" si="15"/>
        <v>16421303582.5</v>
      </c>
      <c r="I94" s="63">
        <f aca="true" t="shared" si="16" ref="I94:W94">+I95+I99+I106+I110</f>
        <v>539000000</v>
      </c>
      <c r="J94" s="63">
        <f t="shared" si="16"/>
        <v>157500000</v>
      </c>
      <c r="K94" s="60">
        <f t="shared" si="16"/>
        <v>3580000000</v>
      </c>
      <c r="L94" s="63">
        <f t="shared" si="16"/>
        <v>2288800</v>
      </c>
      <c r="M94" s="63">
        <f t="shared" si="16"/>
        <v>4098788800</v>
      </c>
      <c r="N94" s="63">
        <f t="shared" si="16"/>
        <v>548450000</v>
      </c>
      <c r="O94" s="63">
        <f t="shared" si="16"/>
        <v>465949029</v>
      </c>
      <c r="P94" s="60">
        <f t="shared" si="16"/>
        <v>3774502353</v>
      </c>
      <c r="Q94" s="63">
        <f t="shared" si="16"/>
        <v>23346576</v>
      </c>
      <c r="R94" s="63">
        <f t="shared" si="16"/>
        <v>3737745605</v>
      </c>
      <c r="S94" s="63">
        <f t="shared" si="16"/>
        <v>558372500</v>
      </c>
      <c r="T94" s="63">
        <f t="shared" si="16"/>
        <v>489246480.45000005</v>
      </c>
      <c r="U94" s="60">
        <f t="shared" si="16"/>
        <v>1616991267</v>
      </c>
      <c r="V94" s="63">
        <f t="shared" si="16"/>
        <v>23813507</v>
      </c>
      <c r="W94" s="63">
        <f t="shared" si="16"/>
        <v>2508423754.45</v>
      </c>
      <c r="X94" s="63">
        <f>+X95+X99+X106+X110</f>
        <v>26766261741.95</v>
      </c>
      <c r="Y94" s="48"/>
    </row>
    <row r="95" spans="1:25" ht="63" customHeight="1">
      <c r="A95" s="70" t="s">
        <v>35</v>
      </c>
      <c r="B95" s="62">
        <f>+B96</f>
        <v>300000000</v>
      </c>
      <c r="C95" s="62">
        <f aca="true" t="shared" si="17" ref="C95:W95">+C96</f>
        <v>0</v>
      </c>
      <c r="D95" s="62">
        <f t="shared" si="17"/>
        <v>400000000</v>
      </c>
      <c r="E95" s="62">
        <f>+E96</f>
        <v>4324879621.5</v>
      </c>
      <c r="F95" s="60">
        <f t="shared" si="17"/>
        <v>1100000000</v>
      </c>
      <c r="G95" s="118">
        <f t="shared" si="17"/>
        <v>0</v>
      </c>
      <c r="H95" s="112">
        <f t="shared" si="12"/>
        <v>6124879621.5</v>
      </c>
      <c r="I95" s="62">
        <f t="shared" si="17"/>
        <v>300000000</v>
      </c>
      <c r="J95" s="62">
        <f t="shared" si="17"/>
        <v>0</v>
      </c>
      <c r="K95" s="60">
        <f t="shared" si="17"/>
        <v>2250000000</v>
      </c>
      <c r="L95" s="62">
        <f t="shared" si="17"/>
        <v>0</v>
      </c>
      <c r="M95" s="62">
        <f t="shared" si="17"/>
        <v>2550000000</v>
      </c>
      <c r="N95" s="62">
        <f t="shared" si="17"/>
        <v>300000000</v>
      </c>
      <c r="O95" s="62">
        <f t="shared" si="17"/>
        <v>0</v>
      </c>
      <c r="P95" s="60">
        <f>+P96+P98</f>
        <v>2694502353</v>
      </c>
      <c r="Q95" s="62">
        <f t="shared" si="17"/>
        <v>0</v>
      </c>
      <c r="R95" s="62">
        <f t="shared" si="17"/>
        <v>2100000000</v>
      </c>
      <c r="S95" s="62">
        <f t="shared" si="17"/>
        <v>300000000</v>
      </c>
      <c r="T95" s="62">
        <f t="shared" si="17"/>
        <v>0</v>
      </c>
      <c r="U95" s="60">
        <f t="shared" si="17"/>
        <v>936991267</v>
      </c>
      <c r="V95" s="62">
        <f t="shared" si="17"/>
        <v>0</v>
      </c>
      <c r="W95" s="62">
        <f t="shared" si="17"/>
        <v>1236991267</v>
      </c>
      <c r="X95" s="63">
        <f>+W95+R95+M95+H95</f>
        <v>12011870888.5</v>
      </c>
      <c r="Y95" s="48"/>
    </row>
    <row r="96" spans="1:25" ht="47.25" customHeight="1">
      <c r="A96" s="58" t="s">
        <v>36</v>
      </c>
      <c r="B96" s="67">
        <v>300000000</v>
      </c>
      <c r="C96" s="59"/>
      <c r="D96" s="59">
        <v>400000000</v>
      </c>
      <c r="E96" s="59">
        <v>4324879621.5</v>
      </c>
      <c r="F96" s="60">
        <f>+F97+F98</f>
        <v>1100000000</v>
      </c>
      <c r="G96" s="67"/>
      <c r="H96" s="112">
        <f t="shared" si="12"/>
        <v>6124879621.5</v>
      </c>
      <c r="I96" s="67">
        <v>300000000</v>
      </c>
      <c r="J96" s="59"/>
      <c r="K96" s="60">
        <f>+K97+K98</f>
        <v>2250000000</v>
      </c>
      <c r="L96" s="61"/>
      <c r="M96" s="62">
        <f>+L96+K96+J96+I96</f>
        <v>2550000000</v>
      </c>
      <c r="N96" s="67">
        <v>300000000</v>
      </c>
      <c r="O96" s="59"/>
      <c r="P96" s="60">
        <v>1800000000</v>
      </c>
      <c r="Q96" s="59"/>
      <c r="R96" s="62">
        <f>+Q96+P96+O96+N96</f>
        <v>2100000000</v>
      </c>
      <c r="S96" s="67">
        <v>300000000</v>
      </c>
      <c r="T96" s="59"/>
      <c r="U96" s="60">
        <f>500000000+436991267</f>
        <v>936991267</v>
      </c>
      <c r="V96" s="59"/>
      <c r="W96" s="62">
        <f>+V96+U96+T96+S96</f>
        <v>1236991267</v>
      </c>
      <c r="X96" s="63">
        <f>+W96+R96+M96+H96</f>
        <v>12011870888.5</v>
      </c>
      <c r="Y96" s="48"/>
    </row>
    <row r="97" spans="1:25" ht="63" hidden="1">
      <c r="A97" s="113" t="s">
        <v>136</v>
      </c>
      <c r="B97" s="67"/>
      <c r="C97" s="59"/>
      <c r="D97" s="59"/>
      <c r="E97" s="59"/>
      <c r="F97" s="60">
        <v>1100000000</v>
      </c>
      <c r="G97" s="67"/>
      <c r="H97" s="112">
        <f t="shared" si="12"/>
        <v>1100000000</v>
      </c>
      <c r="I97" s="67"/>
      <c r="J97" s="59"/>
      <c r="K97" s="60">
        <v>1350000000</v>
      </c>
      <c r="L97" s="61"/>
      <c r="M97" s="62"/>
      <c r="N97" s="67"/>
      <c r="O97" s="59"/>
      <c r="P97" s="60"/>
      <c r="Q97" s="59"/>
      <c r="R97" s="62"/>
      <c r="S97" s="67"/>
      <c r="T97" s="59"/>
      <c r="U97" s="60"/>
      <c r="V97" s="59"/>
      <c r="W97" s="62"/>
      <c r="X97" s="63"/>
      <c r="Y97" s="48"/>
    </row>
    <row r="98" spans="1:25" ht="29.25" customHeight="1" hidden="1">
      <c r="A98" s="113" t="s">
        <v>137</v>
      </c>
      <c r="B98" s="67"/>
      <c r="C98" s="59"/>
      <c r="D98" s="59"/>
      <c r="E98" s="59">
        <v>4324879621.5</v>
      </c>
      <c r="F98" s="60"/>
      <c r="G98" s="67"/>
      <c r="H98" s="112">
        <f t="shared" si="12"/>
        <v>4324879621.5</v>
      </c>
      <c r="I98" s="67"/>
      <c r="J98" s="59"/>
      <c r="K98" s="60">
        <v>900000000</v>
      </c>
      <c r="L98" s="61"/>
      <c r="M98" s="62"/>
      <c r="N98" s="67"/>
      <c r="O98" s="59"/>
      <c r="P98" s="60">
        <f>1014502353-120000000</f>
        <v>894502353</v>
      </c>
      <c r="Q98" s="59"/>
      <c r="R98" s="62"/>
      <c r="S98" s="67"/>
      <c r="T98" s="59"/>
      <c r="U98" s="60"/>
      <c r="V98" s="59"/>
      <c r="W98" s="62"/>
      <c r="X98" s="63"/>
      <c r="Y98" s="48"/>
    </row>
    <row r="99" spans="1:25" ht="47.25" customHeight="1">
      <c r="A99" s="70" t="s">
        <v>37</v>
      </c>
      <c r="B99" s="74">
        <f aca="true" t="shared" si="18" ref="B99:G99">+B100+B104</f>
        <v>100000000</v>
      </c>
      <c r="C99" s="74">
        <f t="shared" si="18"/>
        <v>150000000</v>
      </c>
      <c r="D99" s="74">
        <f t="shared" si="18"/>
        <v>850000000</v>
      </c>
      <c r="E99" s="74">
        <f t="shared" si="18"/>
        <v>1500000000</v>
      </c>
      <c r="F99" s="75">
        <f t="shared" si="18"/>
        <v>300000000</v>
      </c>
      <c r="G99" s="120">
        <f t="shared" si="18"/>
        <v>22440000</v>
      </c>
      <c r="H99" s="112">
        <f t="shared" si="12"/>
        <v>2922440000</v>
      </c>
      <c r="I99" s="74">
        <f aca="true" t="shared" si="19" ref="I99:W99">+I100+I104</f>
        <v>102500000</v>
      </c>
      <c r="J99" s="74">
        <f t="shared" si="19"/>
        <v>157500000</v>
      </c>
      <c r="K99" s="75">
        <f t="shared" si="19"/>
        <v>650000000</v>
      </c>
      <c r="L99" s="74">
        <f t="shared" si="19"/>
        <v>2288800</v>
      </c>
      <c r="M99" s="74">
        <f t="shared" si="19"/>
        <v>912288800</v>
      </c>
      <c r="N99" s="74">
        <f t="shared" si="19"/>
        <v>105125000</v>
      </c>
      <c r="O99" s="74">
        <f t="shared" si="19"/>
        <v>465949029</v>
      </c>
      <c r="P99" s="75">
        <f t="shared" si="19"/>
        <v>400000000</v>
      </c>
      <c r="Q99" s="74">
        <f t="shared" si="19"/>
        <v>23346576</v>
      </c>
      <c r="R99" s="74">
        <f t="shared" si="19"/>
        <v>994420605</v>
      </c>
      <c r="S99" s="74">
        <f t="shared" si="19"/>
        <v>107881250</v>
      </c>
      <c r="T99" s="74">
        <f t="shared" si="19"/>
        <v>489246480.45000005</v>
      </c>
      <c r="U99" s="75">
        <f t="shared" si="19"/>
        <v>500000000</v>
      </c>
      <c r="V99" s="74">
        <f t="shared" si="19"/>
        <v>23813507</v>
      </c>
      <c r="W99" s="74">
        <f t="shared" si="19"/>
        <v>1120941237.45</v>
      </c>
      <c r="X99" s="63">
        <f>+W99+R99+M99+H99</f>
        <v>5950090642.45</v>
      </c>
      <c r="Y99" s="48"/>
    </row>
    <row r="100" spans="1:25" ht="35.25" customHeight="1">
      <c r="A100" s="58" t="s">
        <v>38</v>
      </c>
      <c r="B100" s="59">
        <v>50000000</v>
      </c>
      <c r="C100" s="59">
        <v>150000000</v>
      </c>
      <c r="D100" s="59">
        <v>850000000</v>
      </c>
      <c r="E100" s="59">
        <v>1500000000</v>
      </c>
      <c r="F100" s="60">
        <v>300000000</v>
      </c>
      <c r="G100" s="95">
        <v>22440000</v>
      </c>
      <c r="H100" s="112">
        <f t="shared" si="12"/>
        <v>2872440000</v>
      </c>
      <c r="I100" s="59">
        <f>+B100*1.05</f>
        <v>52500000</v>
      </c>
      <c r="J100" s="59">
        <f>+C100*1.05</f>
        <v>157500000</v>
      </c>
      <c r="K100" s="60">
        <v>650000000</v>
      </c>
      <c r="L100" s="67">
        <v>2288800</v>
      </c>
      <c r="M100" s="62">
        <f>+L100+K100+J100+I100</f>
        <v>862288800</v>
      </c>
      <c r="N100" s="59">
        <f>+I100*1.05</f>
        <v>55125000</v>
      </c>
      <c r="O100" s="59">
        <f>+(J100*1.05)+300574029</f>
        <v>465949029</v>
      </c>
      <c r="P100" s="60">
        <v>400000000</v>
      </c>
      <c r="Q100" s="67">
        <v>23346576</v>
      </c>
      <c r="R100" s="62">
        <f>+Q100+P100+O100+N100</f>
        <v>944420605</v>
      </c>
      <c r="S100" s="59">
        <f>+N100*1.05</f>
        <v>57881250</v>
      </c>
      <c r="T100" s="59">
        <f>+O100*1.05</f>
        <v>489246480.45000005</v>
      </c>
      <c r="U100" s="60">
        <f>300000000+200000000</f>
        <v>500000000</v>
      </c>
      <c r="V100" s="67">
        <v>23813507</v>
      </c>
      <c r="W100" s="62">
        <f>+V100+U100+T100+S100</f>
        <v>1070941237.45</v>
      </c>
      <c r="X100" s="63">
        <f>+W100+R100+M100+H100</f>
        <v>5750090642.45</v>
      </c>
      <c r="Y100" s="48"/>
    </row>
    <row r="101" spans="1:25" ht="29.25" customHeight="1" hidden="1">
      <c r="A101" s="113" t="s">
        <v>138</v>
      </c>
      <c r="B101" s="59"/>
      <c r="C101" s="59"/>
      <c r="D101" s="59"/>
      <c r="E101" s="59"/>
      <c r="F101" s="60"/>
      <c r="G101" s="124"/>
      <c r="H101" s="112">
        <f t="shared" si="12"/>
        <v>0</v>
      </c>
      <c r="I101" s="59"/>
      <c r="J101" s="59"/>
      <c r="K101" s="60"/>
      <c r="L101" s="67"/>
      <c r="M101" s="62"/>
      <c r="N101" s="59"/>
      <c r="O101" s="59"/>
      <c r="P101" s="60"/>
      <c r="Q101" s="67"/>
      <c r="R101" s="62"/>
      <c r="S101" s="59"/>
      <c r="T101" s="59"/>
      <c r="U101" s="60"/>
      <c r="V101" s="67"/>
      <c r="W101" s="62"/>
      <c r="X101" s="63"/>
      <c r="Y101" s="48"/>
    </row>
    <row r="102" spans="1:25" ht="29.25" customHeight="1" hidden="1">
      <c r="A102" s="113" t="s">
        <v>165</v>
      </c>
      <c r="B102" s="59"/>
      <c r="C102" s="59">
        <v>150</v>
      </c>
      <c r="D102" s="59"/>
      <c r="E102" s="59"/>
      <c r="F102" s="60"/>
      <c r="G102" s="124"/>
      <c r="H102" s="112">
        <f t="shared" si="12"/>
        <v>150</v>
      </c>
      <c r="I102" s="59"/>
      <c r="J102" s="59"/>
      <c r="K102" s="60"/>
      <c r="L102" s="67"/>
      <c r="M102" s="62"/>
      <c r="N102" s="59"/>
      <c r="O102" s="59"/>
      <c r="P102" s="60"/>
      <c r="Q102" s="67"/>
      <c r="R102" s="62"/>
      <c r="S102" s="59"/>
      <c r="T102" s="59"/>
      <c r="U102" s="60"/>
      <c r="V102" s="67"/>
      <c r="W102" s="62"/>
      <c r="X102" s="63"/>
      <c r="Y102" s="48"/>
    </row>
    <row r="103" spans="1:25" ht="29.25" customHeight="1" hidden="1">
      <c r="A103" s="113" t="s">
        <v>166</v>
      </c>
      <c r="B103" s="59"/>
      <c r="C103" s="59"/>
      <c r="D103" s="59"/>
      <c r="E103" s="59"/>
      <c r="F103" s="60"/>
      <c r="G103" s="124"/>
      <c r="H103" s="112">
        <f t="shared" si="12"/>
        <v>0</v>
      </c>
      <c r="I103" s="59"/>
      <c r="J103" s="59"/>
      <c r="K103" s="60"/>
      <c r="L103" s="67"/>
      <c r="M103" s="62"/>
      <c r="N103" s="59"/>
      <c r="O103" s="59"/>
      <c r="P103" s="60"/>
      <c r="Q103" s="67"/>
      <c r="R103" s="62"/>
      <c r="S103" s="59"/>
      <c r="T103" s="59"/>
      <c r="U103" s="60"/>
      <c r="V103" s="67"/>
      <c r="W103" s="62"/>
      <c r="X103" s="63"/>
      <c r="Y103" s="48"/>
    </row>
    <row r="104" spans="1:25" ht="33.75" customHeight="1">
      <c r="A104" s="58" t="s">
        <v>39</v>
      </c>
      <c r="B104" s="59">
        <v>50000000</v>
      </c>
      <c r="C104" s="59"/>
      <c r="D104" s="59"/>
      <c r="E104" s="59"/>
      <c r="F104" s="60"/>
      <c r="G104" s="67"/>
      <c r="H104" s="112">
        <f t="shared" si="12"/>
        <v>50000000</v>
      </c>
      <c r="I104" s="59">
        <v>50000000</v>
      </c>
      <c r="J104" s="59"/>
      <c r="K104" s="60"/>
      <c r="L104" s="61"/>
      <c r="M104" s="62">
        <f>+L104+K104+J104+I104</f>
        <v>50000000</v>
      </c>
      <c r="N104" s="59">
        <v>50000000</v>
      </c>
      <c r="O104" s="59"/>
      <c r="P104" s="60"/>
      <c r="Q104" s="59"/>
      <c r="R104" s="62">
        <f>+Q104+P104+O104+N104</f>
        <v>50000000</v>
      </c>
      <c r="S104" s="59">
        <v>50000000</v>
      </c>
      <c r="T104" s="59"/>
      <c r="U104" s="60"/>
      <c r="V104" s="59"/>
      <c r="W104" s="62">
        <f>+V104+U104+T104+S104</f>
        <v>50000000</v>
      </c>
      <c r="X104" s="63">
        <f>+W104+R104+M104+H104</f>
        <v>200000000</v>
      </c>
      <c r="Y104" s="48"/>
    </row>
    <row r="105" spans="1:25" ht="29.25" customHeight="1" hidden="1">
      <c r="A105" s="113" t="s">
        <v>139</v>
      </c>
      <c r="B105" s="59"/>
      <c r="C105" s="59"/>
      <c r="D105" s="59"/>
      <c r="E105" s="59"/>
      <c r="F105" s="60"/>
      <c r="G105" s="67"/>
      <c r="H105" s="112">
        <f t="shared" si="12"/>
        <v>0</v>
      </c>
      <c r="I105" s="59"/>
      <c r="J105" s="59"/>
      <c r="K105" s="60"/>
      <c r="L105" s="61"/>
      <c r="M105" s="62"/>
      <c r="N105" s="59"/>
      <c r="O105" s="59"/>
      <c r="P105" s="60"/>
      <c r="Q105" s="59"/>
      <c r="R105" s="62"/>
      <c r="S105" s="59"/>
      <c r="T105" s="59"/>
      <c r="U105" s="60"/>
      <c r="V105" s="59"/>
      <c r="W105" s="62"/>
      <c r="X105" s="63"/>
      <c r="Y105" s="48"/>
    </row>
    <row r="106" spans="1:25" s="39" customFormat="1" ht="36" customHeight="1">
      <c r="A106" s="91" t="s">
        <v>40</v>
      </c>
      <c r="B106" s="92">
        <f>+B107</f>
        <v>30000000</v>
      </c>
      <c r="C106" s="92">
        <f aca="true" t="shared" si="20" ref="C106:W106">+C107</f>
        <v>0</v>
      </c>
      <c r="D106" s="92">
        <f t="shared" si="20"/>
        <v>0</v>
      </c>
      <c r="E106" s="92">
        <f t="shared" si="20"/>
        <v>0</v>
      </c>
      <c r="F106" s="92">
        <v>350000000</v>
      </c>
      <c r="G106" s="125">
        <f t="shared" si="20"/>
        <v>0</v>
      </c>
      <c r="H106" s="126">
        <f t="shared" si="12"/>
        <v>380000000</v>
      </c>
      <c r="I106" s="92">
        <f t="shared" si="20"/>
        <v>31500000</v>
      </c>
      <c r="J106" s="92">
        <f t="shared" si="20"/>
        <v>0</v>
      </c>
      <c r="K106" s="92">
        <v>180000000</v>
      </c>
      <c r="L106" s="92">
        <f t="shared" si="20"/>
        <v>0</v>
      </c>
      <c r="M106" s="92">
        <f t="shared" si="20"/>
        <v>31500000</v>
      </c>
      <c r="N106" s="92">
        <f t="shared" si="20"/>
        <v>33075000</v>
      </c>
      <c r="O106" s="92">
        <f t="shared" si="20"/>
        <v>0</v>
      </c>
      <c r="P106" s="92">
        <v>180000000</v>
      </c>
      <c r="Q106" s="92">
        <f t="shared" si="20"/>
        <v>0</v>
      </c>
      <c r="R106" s="92">
        <f t="shared" si="20"/>
        <v>33075000</v>
      </c>
      <c r="S106" s="92">
        <f t="shared" si="20"/>
        <v>34728750</v>
      </c>
      <c r="T106" s="92">
        <f t="shared" si="20"/>
        <v>0</v>
      </c>
      <c r="U106" s="92">
        <v>180000000</v>
      </c>
      <c r="V106" s="92">
        <f t="shared" si="20"/>
        <v>0</v>
      </c>
      <c r="W106" s="92">
        <f t="shared" si="20"/>
        <v>34728750</v>
      </c>
      <c r="X106" s="63">
        <f>+W106+R106+M106+H106</f>
        <v>479303750</v>
      </c>
      <c r="Y106" s="80"/>
    </row>
    <row r="107" spans="1:25" s="39" customFormat="1" ht="35.25" customHeight="1">
      <c r="A107" s="93" t="s">
        <v>41</v>
      </c>
      <c r="B107" s="94">
        <v>30000000</v>
      </c>
      <c r="C107" s="94"/>
      <c r="D107" s="94"/>
      <c r="E107" s="94"/>
      <c r="F107" s="94">
        <v>350000000</v>
      </c>
      <c r="G107" s="127"/>
      <c r="H107" s="128">
        <f t="shared" si="12"/>
        <v>380000000</v>
      </c>
      <c r="I107" s="94">
        <f>+B107*1.05</f>
        <v>31500000</v>
      </c>
      <c r="J107" s="94"/>
      <c r="K107" s="94"/>
      <c r="L107" s="94"/>
      <c r="M107" s="94">
        <f>+L107+K107+J107+I107</f>
        <v>31500000</v>
      </c>
      <c r="N107" s="94">
        <f>+I107*1.05</f>
        <v>33075000</v>
      </c>
      <c r="O107" s="94"/>
      <c r="P107" s="94"/>
      <c r="Q107" s="94"/>
      <c r="R107" s="94">
        <f>+Q107+P107+O107+N107</f>
        <v>33075000</v>
      </c>
      <c r="S107" s="94">
        <f>+N107*1.05</f>
        <v>34728750</v>
      </c>
      <c r="T107" s="94"/>
      <c r="U107" s="94"/>
      <c r="V107" s="94"/>
      <c r="W107" s="94">
        <f>+V107+U107+T107+S107</f>
        <v>34728750</v>
      </c>
      <c r="X107" s="63">
        <f>+W107+R107+M107+H107</f>
        <v>479303750</v>
      </c>
      <c r="Y107" s="80"/>
    </row>
    <row r="108" spans="1:25" s="39" customFormat="1" ht="29.25" customHeight="1" hidden="1">
      <c r="A108" s="129" t="s">
        <v>140</v>
      </c>
      <c r="B108" s="79">
        <v>30</v>
      </c>
      <c r="C108" s="79"/>
      <c r="D108" s="79"/>
      <c r="E108" s="79"/>
      <c r="F108" s="60"/>
      <c r="G108" s="121"/>
      <c r="H108" s="112">
        <f t="shared" si="12"/>
        <v>30</v>
      </c>
      <c r="I108" s="79"/>
      <c r="J108" s="79"/>
      <c r="K108" s="60"/>
      <c r="L108" s="79"/>
      <c r="M108" s="79"/>
      <c r="N108" s="79"/>
      <c r="O108" s="79"/>
      <c r="P108" s="60"/>
      <c r="Q108" s="79"/>
      <c r="R108" s="79"/>
      <c r="S108" s="79"/>
      <c r="T108" s="79"/>
      <c r="U108" s="60"/>
      <c r="V108" s="79"/>
      <c r="W108" s="79"/>
      <c r="X108" s="79"/>
      <c r="Y108" s="80"/>
    </row>
    <row r="109" spans="1:25" ht="29.25" customHeight="1" hidden="1">
      <c r="A109" s="119" t="s">
        <v>141</v>
      </c>
      <c r="B109" s="59"/>
      <c r="C109" s="59"/>
      <c r="D109" s="59"/>
      <c r="E109" s="59"/>
      <c r="F109" s="60">
        <v>350000000</v>
      </c>
      <c r="G109" s="67"/>
      <c r="H109" s="112">
        <f t="shared" si="12"/>
        <v>350000000</v>
      </c>
      <c r="I109" s="59"/>
      <c r="J109" s="59"/>
      <c r="K109" s="60"/>
      <c r="L109" s="61"/>
      <c r="M109" s="62"/>
      <c r="N109" s="59"/>
      <c r="O109" s="59"/>
      <c r="P109" s="60"/>
      <c r="Q109" s="59"/>
      <c r="R109" s="62"/>
      <c r="S109" s="59"/>
      <c r="T109" s="59"/>
      <c r="U109" s="60"/>
      <c r="V109" s="59"/>
      <c r="W109" s="62"/>
      <c r="X109" s="63"/>
      <c r="Y109" s="48"/>
    </row>
    <row r="110" spans="1:25" ht="35.25" customHeight="1">
      <c r="A110" s="73" t="s">
        <v>42</v>
      </c>
      <c r="B110" s="74">
        <f>+B111</f>
        <v>100000000</v>
      </c>
      <c r="C110" s="74">
        <f aca="true" t="shared" si="21" ref="C110:W110">+C111</f>
        <v>0</v>
      </c>
      <c r="D110" s="74">
        <f t="shared" si="21"/>
        <v>2300000000</v>
      </c>
      <c r="E110" s="74">
        <f t="shared" si="21"/>
        <v>0</v>
      </c>
      <c r="F110" s="75">
        <f>+F111+F112</f>
        <v>4593983961</v>
      </c>
      <c r="G110" s="120">
        <f t="shared" si="21"/>
        <v>0</v>
      </c>
      <c r="H110" s="112">
        <f t="shared" si="12"/>
        <v>6993983961</v>
      </c>
      <c r="I110" s="74">
        <f t="shared" si="21"/>
        <v>105000000</v>
      </c>
      <c r="J110" s="74">
        <f t="shared" si="21"/>
        <v>0</v>
      </c>
      <c r="K110" s="75">
        <f t="shared" si="21"/>
        <v>500000000</v>
      </c>
      <c r="L110" s="74">
        <f t="shared" si="21"/>
        <v>0</v>
      </c>
      <c r="M110" s="74">
        <f t="shared" si="21"/>
        <v>605000000</v>
      </c>
      <c r="N110" s="74">
        <f t="shared" si="21"/>
        <v>110250000</v>
      </c>
      <c r="O110" s="74">
        <f t="shared" si="21"/>
        <v>0</v>
      </c>
      <c r="P110" s="75">
        <f t="shared" si="21"/>
        <v>500000000</v>
      </c>
      <c r="Q110" s="74">
        <f t="shared" si="21"/>
        <v>0</v>
      </c>
      <c r="R110" s="74">
        <f t="shared" si="21"/>
        <v>610250000</v>
      </c>
      <c r="S110" s="74">
        <f t="shared" si="21"/>
        <v>115762500</v>
      </c>
      <c r="T110" s="74">
        <f t="shared" si="21"/>
        <v>0</v>
      </c>
      <c r="U110" s="75">
        <f t="shared" si="21"/>
        <v>0</v>
      </c>
      <c r="V110" s="74">
        <f t="shared" si="21"/>
        <v>0</v>
      </c>
      <c r="W110" s="74">
        <f t="shared" si="21"/>
        <v>115762500</v>
      </c>
      <c r="X110" s="63">
        <f>+W110+R110+M110+H110</f>
        <v>8324996461</v>
      </c>
      <c r="Y110" s="48"/>
    </row>
    <row r="111" spans="1:25" ht="35.25" customHeight="1" thickBot="1">
      <c r="A111" s="81" t="s">
        <v>43</v>
      </c>
      <c r="B111" s="67">
        <v>100000000</v>
      </c>
      <c r="C111" s="59"/>
      <c r="D111" s="59">
        <v>2300000000</v>
      </c>
      <c r="E111" s="130"/>
      <c r="F111" s="60">
        <f>3800000000+500000000</f>
        <v>4300000000</v>
      </c>
      <c r="G111" s="67"/>
      <c r="H111" s="112">
        <f t="shared" si="12"/>
        <v>6700000000</v>
      </c>
      <c r="I111" s="67">
        <f>+B111*1.05</f>
        <v>105000000</v>
      </c>
      <c r="J111" s="59"/>
      <c r="K111" s="60">
        <v>500000000</v>
      </c>
      <c r="L111" s="61"/>
      <c r="M111" s="62">
        <f>+L111+K111+J111+I111</f>
        <v>605000000</v>
      </c>
      <c r="N111" s="67">
        <f>+I111*1.05</f>
        <v>110250000</v>
      </c>
      <c r="O111" s="59"/>
      <c r="P111" s="60">
        <v>500000000</v>
      </c>
      <c r="Q111" s="59"/>
      <c r="R111" s="62">
        <f>+Q111+P111+O111+N111</f>
        <v>610250000</v>
      </c>
      <c r="S111" s="67">
        <f>+N111*1.05</f>
        <v>115762500</v>
      </c>
      <c r="T111" s="59"/>
      <c r="U111" s="60"/>
      <c r="V111" s="59"/>
      <c r="W111" s="62">
        <f>+V111+U111+T111+S111</f>
        <v>115762500</v>
      </c>
      <c r="X111" s="63">
        <f>+W111+R111+M111+H111</f>
        <v>8031012500</v>
      </c>
      <c r="Y111" s="48"/>
    </row>
    <row r="112" spans="1:25" ht="29.25" customHeight="1" hidden="1">
      <c r="A112" s="131" t="s">
        <v>142</v>
      </c>
      <c r="B112" s="59"/>
      <c r="C112" s="59"/>
      <c r="D112" s="59">
        <v>500000000</v>
      </c>
      <c r="E112" s="59"/>
      <c r="F112" s="60">
        <f>125000000+168983961</f>
        <v>293983961</v>
      </c>
      <c r="G112" s="67"/>
      <c r="H112" s="112">
        <f t="shared" si="12"/>
        <v>793983961</v>
      </c>
      <c r="I112" s="59"/>
      <c r="J112" s="59"/>
      <c r="K112" s="60"/>
      <c r="L112" s="59"/>
      <c r="M112" s="59"/>
      <c r="N112" s="59"/>
      <c r="O112" s="59"/>
      <c r="P112" s="60"/>
      <c r="Q112" s="59"/>
      <c r="R112" s="59"/>
      <c r="S112" s="59"/>
      <c r="T112" s="59"/>
      <c r="U112" s="60"/>
      <c r="V112" s="59"/>
      <c r="W112" s="59"/>
      <c r="X112" s="63">
        <f>+W112+R112+M112+H112</f>
        <v>793983961</v>
      </c>
      <c r="Y112" s="48"/>
    </row>
    <row r="113" spans="1:25" ht="35.25" customHeight="1">
      <c r="A113" s="82" t="s">
        <v>49</v>
      </c>
      <c r="B113" s="63">
        <f>+B114+B118</f>
        <v>502000000</v>
      </c>
      <c r="C113" s="63">
        <f aca="true" t="shared" si="22" ref="C113:H113">+C114+C118</f>
        <v>0</v>
      </c>
      <c r="D113" s="63">
        <f t="shared" si="22"/>
        <v>0</v>
      </c>
      <c r="E113" s="63">
        <f t="shared" si="22"/>
        <v>533370363</v>
      </c>
      <c r="F113" s="63">
        <f t="shared" si="22"/>
        <v>708000000</v>
      </c>
      <c r="G113" s="63">
        <f t="shared" si="22"/>
        <v>0</v>
      </c>
      <c r="H113" s="63">
        <f t="shared" si="22"/>
        <v>1743370363</v>
      </c>
      <c r="I113" s="63">
        <f aca="true" t="shared" si="23" ref="I113:W113">+I114+I118</f>
        <v>410000000</v>
      </c>
      <c r="J113" s="63">
        <f t="shared" si="23"/>
        <v>0</v>
      </c>
      <c r="K113" s="60">
        <f t="shared" si="23"/>
        <v>270000000</v>
      </c>
      <c r="L113" s="63">
        <f t="shared" si="23"/>
        <v>0</v>
      </c>
      <c r="M113" s="63">
        <f t="shared" si="23"/>
        <v>680000000</v>
      </c>
      <c r="N113" s="63">
        <f t="shared" si="23"/>
        <v>412500000</v>
      </c>
      <c r="O113" s="63">
        <f t="shared" si="23"/>
        <v>0</v>
      </c>
      <c r="P113" s="60">
        <f t="shared" si="23"/>
        <v>250000000</v>
      </c>
      <c r="Q113" s="63">
        <f t="shared" si="23"/>
        <v>0</v>
      </c>
      <c r="R113" s="63">
        <f t="shared" si="23"/>
        <v>610000000</v>
      </c>
      <c r="S113" s="63">
        <f t="shared" si="23"/>
        <v>415125000</v>
      </c>
      <c r="T113" s="63">
        <f t="shared" si="23"/>
        <v>0</v>
      </c>
      <c r="U113" s="60">
        <f t="shared" si="23"/>
        <v>200000000</v>
      </c>
      <c r="V113" s="63">
        <f t="shared" si="23"/>
        <v>0</v>
      </c>
      <c r="W113" s="63">
        <f t="shared" si="23"/>
        <v>615125000</v>
      </c>
      <c r="X113" s="63">
        <f>+X114+X118</f>
        <v>3648495363</v>
      </c>
      <c r="Y113" s="48"/>
    </row>
    <row r="114" spans="1:25" ht="35.25" customHeight="1">
      <c r="A114" s="83" t="s">
        <v>44</v>
      </c>
      <c r="B114" s="62">
        <f>+B115</f>
        <v>452000000</v>
      </c>
      <c r="C114" s="62">
        <f aca="true" t="shared" si="24" ref="C114:W114">+C115</f>
        <v>0</v>
      </c>
      <c r="D114" s="62">
        <f t="shared" si="24"/>
        <v>0</v>
      </c>
      <c r="E114" s="62">
        <f t="shared" si="24"/>
        <v>533370363</v>
      </c>
      <c r="F114" s="60">
        <f t="shared" si="24"/>
        <v>708000000</v>
      </c>
      <c r="G114" s="118">
        <f t="shared" si="24"/>
        <v>0</v>
      </c>
      <c r="H114" s="112">
        <f>+G114+F114+E114+C114+B114+D114</f>
        <v>1693370363</v>
      </c>
      <c r="I114" s="62">
        <f t="shared" si="24"/>
        <v>360000000</v>
      </c>
      <c r="J114" s="62">
        <f t="shared" si="24"/>
        <v>0</v>
      </c>
      <c r="K114" s="60">
        <f t="shared" si="24"/>
        <v>270000000</v>
      </c>
      <c r="L114" s="62">
        <f t="shared" si="24"/>
        <v>0</v>
      </c>
      <c r="M114" s="62">
        <f t="shared" si="24"/>
        <v>630000000</v>
      </c>
      <c r="N114" s="62">
        <f t="shared" si="24"/>
        <v>360000000</v>
      </c>
      <c r="O114" s="62">
        <f t="shared" si="24"/>
        <v>0</v>
      </c>
      <c r="P114" s="60">
        <f t="shared" si="24"/>
        <v>250000000</v>
      </c>
      <c r="Q114" s="62">
        <f t="shared" si="24"/>
        <v>0</v>
      </c>
      <c r="R114" s="62">
        <f t="shared" si="24"/>
        <v>610000000</v>
      </c>
      <c r="S114" s="62">
        <f t="shared" si="24"/>
        <v>360000000</v>
      </c>
      <c r="T114" s="62">
        <f t="shared" si="24"/>
        <v>0</v>
      </c>
      <c r="U114" s="60">
        <f t="shared" si="24"/>
        <v>200000000</v>
      </c>
      <c r="V114" s="62">
        <f t="shared" si="24"/>
        <v>0</v>
      </c>
      <c r="W114" s="62">
        <f t="shared" si="24"/>
        <v>560000000</v>
      </c>
      <c r="X114" s="63">
        <f>+W114+R114+M114+H114</f>
        <v>3493370363</v>
      </c>
      <c r="Y114" s="48"/>
    </row>
    <row r="115" spans="1:25" ht="35.25" customHeight="1">
      <c r="A115" s="58" t="s">
        <v>45</v>
      </c>
      <c r="B115" s="59">
        <f>360000000+92000000</f>
        <v>452000000</v>
      </c>
      <c r="C115" s="59"/>
      <c r="D115" s="59"/>
      <c r="E115" s="59">
        <v>533370363</v>
      </c>
      <c r="F115" s="60">
        <v>708000000</v>
      </c>
      <c r="G115" s="67"/>
      <c r="H115" s="112">
        <f t="shared" si="12"/>
        <v>1693370363</v>
      </c>
      <c r="I115" s="59">
        <v>360000000</v>
      </c>
      <c r="J115" s="59"/>
      <c r="K115" s="60">
        <v>270000000</v>
      </c>
      <c r="L115" s="61"/>
      <c r="M115" s="62">
        <f>+L115+K115+J115+I115</f>
        <v>630000000</v>
      </c>
      <c r="N115" s="59">
        <v>360000000</v>
      </c>
      <c r="O115" s="59"/>
      <c r="P115" s="60">
        <v>250000000</v>
      </c>
      <c r="Q115" s="59"/>
      <c r="R115" s="62">
        <f>+Q115+P115+O115+N115</f>
        <v>610000000</v>
      </c>
      <c r="S115" s="59">
        <v>360000000</v>
      </c>
      <c r="T115" s="59"/>
      <c r="U115" s="60">
        <v>200000000</v>
      </c>
      <c r="V115" s="59"/>
      <c r="W115" s="62">
        <f>+V115+U115+T115+S115</f>
        <v>560000000</v>
      </c>
      <c r="X115" s="63">
        <f>+W115+R115+M115+H115</f>
        <v>3493370363</v>
      </c>
      <c r="Y115" s="48"/>
    </row>
    <row r="116" spans="1:25" ht="29.25" customHeight="1" hidden="1">
      <c r="A116" s="58" t="s">
        <v>143</v>
      </c>
      <c r="B116" s="59"/>
      <c r="C116" s="59"/>
      <c r="D116" s="59"/>
      <c r="E116" s="59"/>
      <c r="F116" s="60"/>
      <c r="G116" s="67"/>
      <c r="H116" s="112">
        <f t="shared" si="12"/>
        <v>0</v>
      </c>
      <c r="I116" s="59"/>
      <c r="J116" s="59"/>
      <c r="K116" s="60"/>
      <c r="L116" s="61"/>
      <c r="M116" s="62"/>
      <c r="N116" s="59"/>
      <c r="O116" s="59"/>
      <c r="P116" s="60"/>
      <c r="Q116" s="59"/>
      <c r="R116" s="62"/>
      <c r="S116" s="59"/>
      <c r="T116" s="59"/>
      <c r="U116" s="60"/>
      <c r="V116" s="59"/>
      <c r="W116" s="62"/>
      <c r="X116" s="63"/>
      <c r="Y116" s="48"/>
    </row>
    <row r="117" spans="1:25" ht="29.25" customHeight="1" hidden="1">
      <c r="A117" s="58" t="s">
        <v>144</v>
      </c>
      <c r="B117" s="59">
        <v>92</v>
      </c>
      <c r="C117" s="59"/>
      <c r="D117" s="59"/>
      <c r="E117" s="59"/>
      <c r="F117" s="60"/>
      <c r="G117" s="67"/>
      <c r="H117" s="112">
        <f t="shared" si="12"/>
        <v>92</v>
      </c>
      <c r="I117" s="59"/>
      <c r="J117" s="59"/>
      <c r="K117" s="60"/>
      <c r="L117" s="61"/>
      <c r="M117" s="62"/>
      <c r="N117" s="59"/>
      <c r="O117" s="59"/>
      <c r="P117" s="60"/>
      <c r="Q117" s="59"/>
      <c r="R117" s="62"/>
      <c r="S117" s="59"/>
      <c r="T117" s="59"/>
      <c r="U117" s="60"/>
      <c r="V117" s="59"/>
      <c r="W117" s="62"/>
      <c r="X117" s="63"/>
      <c r="Y117" s="48"/>
    </row>
    <row r="118" spans="1:25" ht="35.25" customHeight="1">
      <c r="A118" s="70" t="s">
        <v>46</v>
      </c>
      <c r="B118" s="74">
        <f>+B119</f>
        <v>50000000</v>
      </c>
      <c r="C118" s="74">
        <f aca="true" t="shared" si="25" ref="C118:W118">+C119</f>
        <v>0</v>
      </c>
      <c r="D118" s="74">
        <f t="shared" si="25"/>
        <v>0</v>
      </c>
      <c r="E118" s="74">
        <f t="shared" si="25"/>
        <v>0</v>
      </c>
      <c r="F118" s="75">
        <f t="shared" si="25"/>
        <v>0</v>
      </c>
      <c r="G118" s="120">
        <f t="shared" si="25"/>
        <v>0</v>
      </c>
      <c r="H118" s="112">
        <f t="shared" si="12"/>
        <v>50000000</v>
      </c>
      <c r="I118" s="74">
        <f t="shared" si="25"/>
        <v>50000000</v>
      </c>
      <c r="J118" s="74">
        <f t="shared" si="25"/>
        <v>0</v>
      </c>
      <c r="K118" s="75">
        <f t="shared" si="25"/>
        <v>0</v>
      </c>
      <c r="L118" s="74">
        <f t="shared" si="25"/>
        <v>0</v>
      </c>
      <c r="M118" s="74">
        <f t="shared" si="25"/>
        <v>50000000</v>
      </c>
      <c r="N118" s="74">
        <f t="shared" si="25"/>
        <v>52500000</v>
      </c>
      <c r="O118" s="74">
        <f t="shared" si="25"/>
        <v>0</v>
      </c>
      <c r="P118" s="75">
        <f t="shared" si="25"/>
        <v>0</v>
      </c>
      <c r="Q118" s="74">
        <f t="shared" si="25"/>
        <v>0</v>
      </c>
      <c r="R118" s="74">
        <f t="shared" si="25"/>
        <v>0</v>
      </c>
      <c r="S118" s="74">
        <f t="shared" si="25"/>
        <v>55125000</v>
      </c>
      <c r="T118" s="74">
        <f t="shared" si="25"/>
        <v>0</v>
      </c>
      <c r="U118" s="75">
        <f t="shared" si="25"/>
        <v>0</v>
      </c>
      <c r="V118" s="74">
        <f t="shared" si="25"/>
        <v>0</v>
      </c>
      <c r="W118" s="74">
        <f t="shared" si="25"/>
        <v>55125000</v>
      </c>
      <c r="X118" s="63">
        <f>+W118+R118+M118+H118</f>
        <v>155125000</v>
      </c>
      <c r="Y118" s="48"/>
    </row>
    <row r="119" spans="1:25" ht="42" customHeight="1">
      <c r="A119" s="58" t="s">
        <v>47</v>
      </c>
      <c r="B119" s="59">
        <v>50000000</v>
      </c>
      <c r="C119" s="59"/>
      <c r="D119" s="59"/>
      <c r="E119" s="59"/>
      <c r="F119" s="60"/>
      <c r="G119" s="67"/>
      <c r="H119" s="112">
        <f t="shared" si="12"/>
        <v>50000000</v>
      </c>
      <c r="I119" s="59">
        <v>50000000</v>
      </c>
      <c r="J119" s="59"/>
      <c r="K119" s="60"/>
      <c r="L119" s="61"/>
      <c r="M119" s="62">
        <f>+L119+K119+J119+I119</f>
        <v>50000000</v>
      </c>
      <c r="N119" s="59">
        <f>+I119*1.05</f>
        <v>52500000</v>
      </c>
      <c r="O119" s="59"/>
      <c r="P119" s="60"/>
      <c r="Q119" s="59"/>
      <c r="R119" s="62"/>
      <c r="S119" s="59">
        <f>+N119*1.05</f>
        <v>55125000</v>
      </c>
      <c r="T119" s="59"/>
      <c r="U119" s="60"/>
      <c r="V119" s="59"/>
      <c r="W119" s="62">
        <f>+V119+U119+T119+S119</f>
        <v>55125000</v>
      </c>
      <c r="X119" s="63">
        <f>+W119+R119+M119+H119</f>
        <v>155125000</v>
      </c>
      <c r="Y119" s="48"/>
    </row>
    <row r="120" spans="1:25" ht="29.25" customHeight="1" hidden="1">
      <c r="A120" s="132" t="s">
        <v>167</v>
      </c>
      <c r="B120" s="59" t="s">
        <v>150</v>
      </c>
      <c r="C120" s="59"/>
      <c r="D120" s="59"/>
      <c r="E120" s="59"/>
      <c r="F120" s="60"/>
      <c r="G120" s="67"/>
      <c r="H120" s="112" t="e">
        <f t="shared" si="12"/>
        <v>#VALUE!</v>
      </c>
      <c r="I120" s="59"/>
      <c r="J120" s="59"/>
      <c r="K120" s="60"/>
      <c r="L120" s="61"/>
      <c r="M120" s="62"/>
      <c r="N120" s="59"/>
      <c r="O120" s="59"/>
      <c r="P120" s="60"/>
      <c r="Q120" s="59"/>
      <c r="R120" s="62"/>
      <c r="S120" s="59"/>
      <c r="T120" s="59"/>
      <c r="U120" s="60"/>
      <c r="V120" s="59"/>
      <c r="W120" s="62"/>
      <c r="X120" s="63"/>
      <c r="Y120" s="48"/>
    </row>
    <row r="121" spans="1:25" ht="16.5" thickBot="1">
      <c r="A121" s="84"/>
      <c r="B121" s="59"/>
      <c r="C121" s="59"/>
      <c r="D121" s="59"/>
      <c r="E121" s="59"/>
      <c r="F121" s="60"/>
      <c r="G121" s="67"/>
      <c r="H121" s="112">
        <f t="shared" si="12"/>
        <v>0</v>
      </c>
      <c r="I121" s="59"/>
      <c r="J121" s="59"/>
      <c r="K121" s="60"/>
      <c r="L121" s="61"/>
      <c r="M121" s="62"/>
      <c r="N121" s="59"/>
      <c r="O121" s="59"/>
      <c r="P121" s="60"/>
      <c r="Q121" s="59"/>
      <c r="R121" s="62"/>
      <c r="S121" s="59"/>
      <c r="T121" s="59"/>
      <c r="U121" s="60"/>
      <c r="V121" s="59"/>
      <c r="W121" s="62"/>
      <c r="X121" s="63"/>
      <c r="Y121" s="48"/>
    </row>
    <row r="122" spans="1:25" s="35" customFormat="1" ht="36" customHeight="1" thickBot="1">
      <c r="A122" s="85" t="s">
        <v>6</v>
      </c>
      <c r="B122" s="133">
        <f>+B16+B94+B113</f>
        <v>1432000000</v>
      </c>
      <c r="C122" s="133">
        <f>+C16+C94+C113</f>
        <v>4320904489.24554</v>
      </c>
      <c r="D122" s="133">
        <f>+D16+D94+D113</f>
        <v>5556732989</v>
      </c>
      <c r="E122" s="133">
        <f>+E16+E94+E113</f>
        <v>15036909357.5</v>
      </c>
      <c r="F122" s="133">
        <f>+F16+F94+F113</f>
        <v>13432685639</v>
      </c>
      <c r="G122" s="133">
        <f>+G16+G94+G113</f>
        <v>3337818744.637292</v>
      </c>
      <c r="H122" s="112">
        <f t="shared" si="12"/>
        <v>43117051219.38283</v>
      </c>
      <c r="I122" s="86">
        <f aca="true" t="shared" si="26" ref="I122:W122">+I16+I94+I113</f>
        <v>1159000000</v>
      </c>
      <c r="J122" s="86">
        <f t="shared" si="26"/>
        <v>4606771563.279175</v>
      </c>
      <c r="K122" s="87">
        <f t="shared" si="26"/>
        <v>8797017513</v>
      </c>
      <c r="L122" s="88">
        <f t="shared" si="26"/>
        <v>3302146649.206874</v>
      </c>
      <c r="M122" s="86">
        <f t="shared" si="26"/>
        <v>17684935725.48605</v>
      </c>
      <c r="N122" s="86">
        <f t="shared" si="26"/>
        <v>1071200000</v>
      </c>
      <c r="O122" s="86">
        <f t="shared" si="26"/>
        <v>4905772877.207527</v>
      </c>
      <c r="P122" s="87">
        <f t="shared" si="26"/>
        <v>8224502353</v>
      </c>
      <c r="Q122" s="86">
        <f t="shared" si="26"/>
        <v>2912929903.0752716</v>
      </c>
      <c r="R122" s="89">
        <f t="shared" si="26"/>
        <v>16097652780.282799</v>
      </c>
      <c r="S122" s="86">
        <f t="shared" si="26"/>
        <v>1205022500</v>
      </c>
      <c r="T122" s="86">
        <f t="shared" si="26"/>
        <v>5218098820.777098</v>
      </c>
      <c r="U122" s="87">
        <f t="shared" si="26"/>
        <v>6596991267</v>
      </c>
      <c r="V122" s="86">
        <f t="shared" si="26"/>
        <v>2743962957.637292</v>
      </c>
      <c r="W122" s="89">
        <f t="shared" si="26"/>
        <v>15584075545.41439</v>
      </c>
      <c r="X122" s="90">
        <f>+W122+R122+M122+H122</f>
        <v>92483715270.56607</v>
      </c>
      <c r="Y122" s="76"/>
    </row>
    <row r="123" ht="15.75">
      <c r="A123" s="37"/>
    </row>
    <row r="124" spans="1:24" ht="15.75">
      <c r="A124" s="37"/>
      <c r="X124" s="34">
        <f>+X122+E12</f>
        <v>92483715270.56607</v>
      </c>
    </row>
    <row r="125" spans="1:5" ht="30" customHeight="1">
      <c r="A125" s="141" t="s">
        <v>169</v>
      </c>
      <c r="B125" s="141"/>
      <c r="C125" s="141"/>
      <c r="D125" s="141"/>
      <c r="E125" s="141"/>
    </row>
    <row r="126" ht="15.75">
      <c r="A126" s="134"/>
    </row>
    <row r="127" ht="15.75">
      <c r="A127" s="134"/>
    </row>
    <row r="128" ht="15.75">
      <c r="A128" s="134"/>
    </row>
    <row r="129" ht="15.75">
      <c r="A129" s="134"/>
    </row>
    <row r="130" ht="15.75">
      <c r="A130" s="134"/>
    </row>
    <row r="131" ht="15.75">
      <c r="A131" s="134"/>
    </row>
    <row r="132" ht="15.75">
      <c r="A132" s="134"/>
    </row>
    <row r="133" ht="15.75">
      <c r="A133" s="134"/>
    </row>
    <row r="134" ht="15.75">
      <c r="A134" s="134"/>
    </row>
    <row r="135" ht="15.75">
      <c r="A135" s="134"/>
    </row>
    <row r="136" ht="15.75">
      <c r="A136" s="134"/>
    </row>
    <row r="137" ht="15.75">
      <c r="A137" s="134"/>
    </row>
    <row r="138" ht="15.75">
      <c r="A138" s="134"/>
    </row>
    <row r="139" ht="15.75">
      <c r="A139" s="134"/>
    </row>
    <row r="140" ht="15.75">
      <c r="A140" s="134"/>
    </row>
    <row r="141" ht="15.75">
      <c r="A141" s="134"/>
    </row>
    <row r="142" ht="15.75">
      <c r="A142" s="134"/>
    </row>
    <row r="143" ht="15.75">
      <c r="A143" s="134"/>
    </row>
    <row r="144" ht="15.75">
      <c r="A144" s="134"/>
    </row>
    <row r="145" ht="15.75">
      <c r="A145" s="134"/>
    </row>
    <row r="146" ht="15.75">
      <c r="A146" s="134"/>
    </row>
    <row r="147" ht="15.75">
      <c r="A147" s="134"/>
    </row>
    <row r="148" ht="15.75">
      <c r="A148" s="134"/>
    </row>
    <row r="149" ht="15.75">
      <c r="A149" s="134"/>
    </row>
    <row r="150" ht="15.75">
      <c r="A150" s="134"/>
    </row>
    <row r="151" ht="15.75">
      <c r="A151" s="134"/>
    </row>
    <row r="152" ht="15.75">
      <c r="A152" s="134"/>
    </row>
    <row r="153" ht="15.75">
      <c r="A153" s="134"/>
    </row>
    <row r="154" ht="15.75">
      <c r="A154" s="134"/>
    </row>
    <row r="155" ht="15.75">
      <c r="A155" s="134"/>
    </row>
    <row r="156" ht="15.75">
      <c r="A156" s="134"/>
    </row>
    <row r="157" ht="15.75">
      <c r="A157" s="134"/>
    </row>
    <row r="158" ht="15.75">
      <c r="A158" s="134"/>
    </row>
    <row r="159" ht="15.75">
      <c r="A159" s="134"/>
    </row>
    <row r="160" ht="15.75">
      <c r="A160" s="134"/>
    </row>
    <row r="161" ht="15.75">
      <c r="A161" s="134"/>
    </row>
    <row r="162" ht="15.75">
      <c r="A162" s="134"/>
    </row>
    <row r="163" ht="15.75">
      <c r="A163" s="134"/>
    </row>
    <row r="164" ht="15.75">
      <c r="A164" s="134"/>
    </row>
    <row r="165" ht="15.75">
      <c r="A165" s="134"/>
    </row>
    <row r="166" ht="15.75">
      <c r="A166" s="134"/>
    </row>
    <row r="167" ht="15.75">
      <c r="A167" s="134"/>
    </row>
    <row r="168" ht="15.75">
      <c r="A168" s="134"/>
    </row>
    <row r="169" ht="15.75">
      <c r="A169" s="134"/>
    </row>
    <row r="170" ht="15.75">
      <c r="A170" s="134"/>
    </row>
    <row r="171" ht="15.75">
      <c r="A171" s="134"/>
    </row>
    <row r="172" ht="15.75">
      <c r="A172" s="134"/>
    </row>
    <row r="173" ht="15.75">
      <c r="A173" s="134"/>
    </row>
    <row r="174" ht="15.75">
      <c r="A174" s="134"/>
    </row>
    <row r="175" ht="15.75">
      <c r="A175" s="134"/>
    </row>
    <row r="176" ht="15.75">
      <c r="A176" s="134"/>
    </row>
  </sheetData>
  <sheetProtection/>
  <mergeCells count="6">
    <mergeCell ref="X14:X15"/>
    <mergeCell ref="I14:M14"/>
    <mergeCell ref="N14:R14"/>
    <mergeCell ref="S14:W14"/>
    <mergeCell ref="A125:E125"/>
    <mergeCell ref="B14:H14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200" verticalDpi="200" orientation="landscape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2014-01-24T16:42:42Z</dcterms:modified>
  <cp:category/>
  <cp:version/>
  <cp:contentType/>
  <cp:contentStatus/>
</cp:coreProperties>
</file>