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2" activeTab="2"/>
  </bookViews>
  <sheets>
    <sheet name="PLAN FINANCIERO" sheetId="1" r:id="rId1"/>
    <sheet name="POAI" sheetId="2" r:id="rId2"/>
    <sheet name="PLURIANUAL" sheetId="3" r:id="rId3"/>
  </sheets>
  <externalReferences>
    <externalReference r:id="rId6"/>
    <externalReference r:id="rId7"/>
  </externalReferences>
  <definedNames>
    <definedName name="_xlnm.Print_Area" localSheetId="2">'PLURIANUAL'!$H$4:$AF$93</definedName>
    <definedName name="_xlnm.Print_Titles" localSheetId="2">'PLURIANUAL'!$4:$7</definedName>
  </definedNames>
  <calcPr fullCalcOnLoad="1"/>
</workbook>
</file>

<file path=xl/sharedStrings.xml><?xml version="1.0" encoding="utf-8"?>
<sst xmlns="http://schemas.openxmlformats.org/spreadsheetml/2006/main" count="319" uniqueCount="164">
  <si>
    <t>FUENTES DE FINANCIACION</t>
  </si>
  <si>
    <t>RECURSOS PROPIOS</t>
  </si>
  <si>
    <t>REGALIAS</t>
  </si>
  <si>
    <t>S.G.P.</t>
  </si>
  <si>
    <t>1.1 EDUCACION</t>
  </si>
  <si>
    <t>1.2 SALUD</t>
  </si>
  <si>
    <t>PLAN PLURIANUAL DE INVERSIONES</t>
  </si>
  <si>
    <t>TOTAL 2012</t>
  </si>
  <si>
    <t>TOTAL 2013</t>
  </si>
  <si>
    <t>TOTAL 2014</t>
  </si>
  <si>
    <t>TOTAL 2015</t>
  </si>
  <si>
    <t>ALCALDÍA MUNICIPAL DE LERIDA TOLIMA</t>
  </si>
  <si>
    <t>PLAN DE DESARROLLO "LERIDA NOS UNE" 2012-2015</t>
  </si>
  <si>
    <t>1.21. TODOS ASEGURADOS</t>
  </si>
  <si>
    <t>1.3 CULTURA</t>
  </si>
  <si>
    <t>1.4 DEPORTE</t>
  </si>
  <si>
    <t>1.3.1  ME APRECIO…  ME EXPRESO</t>
  </si>
  <si>
    <t>1.3.2 FOMENTO Y RECUPERACIÓN DEL ARRAIGO Y LA TRADICIÓN LERIDENSE</t>
  </si>
  <si>
    <t>1.3.3 FORTALECIMIENTO DE LA INFRAESTRUCTURA Y DE ORGANIZACIONES CULTURALES</t>
  </si>
  <si>
    <t>1.4.1 EL JUEGO Y EL DEPORTE ME FORTALECEN</t>
  </si>
  <si>
    <t>1.4.2 FORTALECIMIENTO AL DEPORTE FORMATIVO EDUCATIVO</t>
  </si>
  <si>
    <t>1.4.3 DEPORTE, RECREACIÓN Y ACTIVIDAD FÍSICA PARA TODOS</t>
  </si>
  <si>
    <t>1.4.4 DEPORTE PARA  DISCAPACITADOS  Y TERCERA EDAD</t>
  </si>
  <si>
    <t>1.4.5 APOYO PARA EL DEPORTE ASOCIADO</t>
  </si>
  <si>
    <t>1.4.6 ADECUACIÓN Y CONSTRUCCIÓN DE ESCENARIOS DEPORTIVOS Y RECREATIVOS</t>
  </si>
  <si>
    <t>1.4.7 APOYO AL DEPORTISTAS LERIDENSE</t>
  </si>
  <si>
    <t>1.5 SEGURIDAD Y CONVIVIENCIA CIUDADANA</t>
  </si>
  <si>
    <t>1.5.1 TODOS PARTICIPANDO</t>
  </si>
  <si>
    <t>1.5.2 GENERACIÓN DE CULTURA DE CIUDADANA</t>
  </si>
  <si>
    <t>1.5.3 PAZ Y CONVIVENCIA CIUDADANA</t>
  </si>
  <si>
    <t>1.5.4 RECUPERACIÓN Y OPTIMIZACIÓN DEL USO DEL ESPACIO PÚBLICO.</t>
  </si>
  <si>
    <t>1.5.4 FORTALECIMIENTO DE LOS ESPACIOS COMUNITARIOS Y VEEDURÍAS CIUDADANAS</t>
  </si>
  <si>
    <t>2.1 TURISMO.</t>
  </si>
  <si>
    <t>2.1.1 PROMOCIÓN Y FORTALECIMIENTO DEL SECTOR TURÍSTICO</t>
  </si>
  <si>
    <t>3.1 SERVICIOS PUBLICOS</t>
  </si>
  <si>
    <t>3.1.1 MÁS Y MEJORES SERVICIOS PÚBLICOS.</t>
  </si>
  <si>
    <t>3.5. VIVIENDA</t>
  </si>
  <si>
    <t xml:space="preserve">3.5.1 VIVIENDA NUEVA Y MEJORADA.
</t>
  </si>
  <si>
    <t>3.5.2 LERIDA MUNICIPIO DE PROPIETARIOS</t>
  </si>
  <si>
    <t>2.2 COMERCIO, INDUSTRIA Y AGROINDUSTRIA</t>
  </si>
  <si>
    <t>4. DIMENSIÓN POBLACIONAL</t>
  </si>
  <si>
    <t>4.1 POLÍTICA PÚBLICA MUNICIPAL DE INFANCIA Y ADOLESCENCIA</t>
  </si>
  <si>
    <t>4.1.1 PRIMERO LA FAMILIA</t>
  </si>
  <si>
    <t>4.2 VICTIMAS DEL CONFLICTO</t>
  </si>
  <si>
    <t xml:space="preserve"> 4.2.1 IMPLEMENTACIÓN Y EJECUCIÓN DE PLANES Y PROGRAMAS PARA LA ATENCIÓN Y REPARACIÓN DE VICTIMAS</t>
  </si>
  <si>
    <t>4.3 POR LA PREVENCIÓN Y PROTECCIÓN HUMANITARIA DEL  DESPLAZAMIENTO FORZADO</t>
  </si>
  <si>
    <t>4.4 ADULTO MAYOR</t>
  </si>
  <si>
    <t>4.5 AFRO DESCENDIENTES E INDÍGENAS</t>
  </si>
  <si>
    <t>4.6 POBLACIÓN DISCAPACITADA</t>
  </si>
  <si>
    <t>4.6.1 UNA OPORTUNIDAD PARA LAS PERSONAS CON DISCAPACIDAD</t>
  </si>
  <si>
    <t>4.7 MUJER Y EQUIDAD DE GÉNERO</t>
  </si>
  <si>
    <t>4.7.1 LIDERANDO LA DEFENSA DE LOS DERECHO DE LAS MUJERES</t>
  </si>
  <si>
    <t>5. DIMENSIÓN: CON UN BUEN GOBIERNO</t>
  </si>
  <si>
    <t>5.1 RECURSOS FÍSICOS Y HUMANOS</t>
  </si>
  <si>
    <t>5.1.2 LERIDA UNIDO HACIA LA GESTIÓN DE LA CALIDAD “Q”</t>
  </si>
  <si>
    <t>5.1.3 TODOS COMUNICADOS E INFORMADOS</t>
  </si>
  <si>
    <t>5.1.1 POTENCIALIZACION DEL TALENTO HUMANO Y DESARROLLO INSTITUCIONAL</t>
  </si>
  <si>
    <t>TOTAL</t>
  </si>
  <si>
    <t>FOSYGA Y OTROS</t>
  </si>
  <si>
    <t>FONDOS ESPECIALES</t>
  </si>
  <si>
    <t>1.2.3.      FORTALECIMIENTO INSTITUCIONAL.</t>
  </si>
  <si>
    <t>MUNICIPIO DE LERIDA TOLIMA - PLAN PLURIANUAL DE  INVERSIONES 2012 - 2015</t>
  </si>
  <si>
    <t>1.2.2  MÁS PREVENCIÓN MÁS SALUD</t>
  </si>
  <si>
    <t>2.2.1. FORMALIZACIÓN DEL SECTOR COMERCIAL</t>
  </si>
  <si>
    <t xml:space="preserve">2.2.2 UNIDOS POR EL EMPRENDIMIENTO Y EL FORTALECIMIENTO EMPRESARIAL </t>
  </si>
  <si>
    <t>2.3 SECTOR AGROPECUARIO</t>
  </si>
  <si>
    <t>2.3.1 ASISTENCIA TÉCNICA</t>
  </si>
  <si>
    <t>2.3.4 BUENOS PRÁCTICAS AGROPECUARIAS – BPA.</t>
  </si>
  <si>
    <t>1.1.1.2 CONSTRUCCION, MANTENIMIENTO Y ADECUACION DE INSTITUCIONES EDUCATIVAS.</t>
  </si>
  <si>
    <t>1.1.1.3 ALIMENTACION ESCOLAR.</t>
  </si>
  <si>
    <t>1.1.1.4 TRANSPORTE ESCOLAR</t>
  </si>
  <si>
    <t>1.1.1.5 DOTACION.</t>
  </si>
  <si>
    <t>1.1.1.6 GRATUIDAD ESCOLAR</t>
  </si>
  <si>
    <t>4.3.1 UNIDOS GARANTIZAMOS ACCIONES DE RESTITUCIÓN DE LOS DESPOJADOS Y SUS DERECHOS FUNDAMENTALES</t>
  </si>
  <si>
    <t>4.3.2 GENERACIÓN DE PROYECTOS PRODUCTIVOS</t>
  </si>
  <si>
    <t>4.4.1 FORTALECIMIENTO A APOYO A LOS PROGRAMAS DEL ADULTO MAYOR</t>
  </si>
  <si>
    <t>5.1.4 FORTALECIMIENTO FINANCIERO</t>
  </si>
  <si>
    <t>MUNICIPIO DE LERIDA TOLIMA - POAI 2012 - 2015</t>
  </si>
  <si>
    <t>4.1.7 POLITICA JUVENTUD</t>
  </si>
  <si>
    <t>MUNICIPIO DE LERIDA TOLIMA</t>
  </si>
  <si>
    <t>TOTAL  RECURSOS  POR  FUENTES  DE  FINANCIAMIENTO  VIGENCIA 2012</t>
  </si>
  <si>
    <t>PLAN FINANCIERO</t>
  </si>
  <si>
    <t>PROYECCIONES VIGENCIAS 2012 - 2013 - 2104 - 2015</t>
  </si>
  <si>
    <t>FUENTE</t>
  </si>
  <si>
    <t>TOTALES</t>
  </si>
  <si>
    <t>%</t>
  </si>
  <si>
    <t>MILLONES DE PESOS</t>
  </si>
  <si>
    <t>Regalías</t>
  </si>
  <si>
    <t>FUENTES DE FINANCIACION PLAN DE DESARROLLO 2012 - 2015</t>
  </si>
  <si>
    <t>SGP</t>
  </si>
  <si>
    <t>CONCEPTO</t>
  </si>
  <si>
    <t>FOSYGA</t>
  </si>
  <si>
    <t>Recursos Propios</t>
  </si>
  <si>
    <t>SGP (SISTEMA GENERAL DE PARTICIPACIONES)</t>
  </si>
  <si>
    <t>Fondos Especiales</t>
  </si>
  <si>
    <t>Educacion</t>
  </si>
  <si>
    <t>TOTAL PRESUPUESTO 2012</t>
  </si>
  <si>
    <t>Calida</t>
  </si>
  <si>
    <t>Gratuidad</t>
  </si>
  <si>
    <t>Salud</t>
  </si>
  <si>
    <t>Regimen Subsidiado</t>
  </si>
  <si>
    <t>Salud Publica</t>
  </si>
  <si>
    <t>Prestacion Servicios</t>
  </si>
  <si>
    <t>Otros Gastos en Salud</t>
  </si>
  <si>
    <t>Agua Potable</t>
  </si>
  <si>
    <t xml:space="preserve"> Sector Agua Potable</t>
  </si>
  <si>
    <t>PROPOSITOS GENERALES</t>
  </si>
  <si>
    <t>Deporte</t>
  </si>
  <si>
    <t>Cultura</t>
  </si>
  <si>
    <t>Libre Inversion</t>
  </si>
  <si>
    <t>ALIMENTACION ESCOLAR</t>
  </si>
  <si>
    <t>OTROS (Fosyga, Etesa, Rentas Cedidas Y CCF)</t>
  </si>
  <si>
    <t>RECURSOS DE CAPITAL</t>
  </si>
  <si>
    <t>Recuperacion Cartera</t>
  </si>
  <si>
    <t>REGALIAS - COMPENSANCIONES</t>
  </si>
  <si>
    <t>(MENOS) RECURSOS QUE NO ATIENDEN EL PLAN DE DESARROLLO POR SU NATURALEZA, DESTINACION Y/O REORIENTACION</t>
  </si>
  <si>
    <t>TOTAL  RECURSOS  POR  FUENTES  DE  FINANCIAMIENTO  VIGENCIA 2013</t>
  </si>
  <si>
    <t>OTROS (Fosyga, Etesa, Rentas Cedidas)</t>
  </si>
  <si>
    <t>TOTAL FUENTES DE FINANCIACION DEL PLAN DE DESARROLLO</t>
  </si>
  <si>
    <t>TOTAL  RECURSOS  POR  FUENTES  DE  FINANCIAMIENTO  VIGENCIA 2014</t>
  </si>
  <si>
    <t>TOTALES 2014</t>
  </si>
  <si>
    <t>TOTAL FUENTES A FINANCIAR PLAN DE DESARROLLO</t>
  </si>
  <si>
    <t>TOTAL  RECURSOS  POR  FUENTES  DE  FINANCIAMIENTO  VIGENCIA 2015</t>
  </si>
  <si>
    <t>TOTALES  2015</t>
  </si>
  <si>
    <t>1.1.1.7 JÓVENES Y ADULTOS  CON MAYORES OPORTUNIDADES EDUCATIVAS</t>
  </si>
  <si>
    <t>DIMENSIONES / SECTOR / PROGRAMA</t>
  </si>
  <si>
    <t>1.1.2 ALIMENTACION ESCOLAR.</t>
  </si>
  <si>
    <t>1.1.3 TRANSPORTE ESCOLAR</t>
  </si>
  <si>
    <t>1.1.4 DOTACION.</t>
  </si>
  <si>
    <t>1.1.5 GRATUIDAD ESCOLAR</t>
  </si>
  <si>
    <t>1.1.6 JÓVENES Y ADULTOS  CON MAYORES OPORTUNIDADES EDUCATIVAS</t>
  </si>
  <si>
    <t>1.1.1 PRIMARIA Y SECUNDARIA PARA TODOS</t>
  </si>
  <si>
    <t>1.5.2 GENERACIÓN DE CULTURA CIUDADANA</t>
  </si>
  <si>
    <t>1.5.5 FORTALECIMIENTO DE LOS ESPACIOS COMUNITARIOS Y VEEDURÍAS CIUDADANAS</t>
  </si>
  <si>
    <t>2.2.1  ASOCIATIVIDAD PARA EL DESARROLLO REGIONAL</t>
  </si>
  <si>
    <t>2.3.3 BUENOS PRÁCTICAS AGROPECUARIAS – BPA.</t>
  </si>
  <si>
    <t>3. DIMENSION DESARROLLO TERRITORIAL</t>
  </si>
  <si>
    <t>2. DIMENSION DESARROLLO ECONOMICO</t>
  </si>
  <si>
    <t>1. DIMENSION DESARROLLO SOCIAL</t>
  </si>
  <si>
    <t>2.2.2 FORMALIZACIÓN DEL SECTOR COMERCIAL</t>
  </si>
  <si>
    <t xml:space="preserve">2.2.3 UNIDOS POR EL EMPRENDIMIENTO Y EL FORTALECIMIENTO EMPRESARIAL </t>
  </si>
  <si>
    <t>2.3.2 APOYO A PROYECTOS PRODUCTIVOS, GRANJAS FAMILIARES Y FORTALECIMIENTO DE LA INFRAESTRUCTURA PARA LA PRODUCCION RURALY LA COMERCIALIZACION.</t>
  </si>
  <si>
    <t>3.2 AMBIENTE SOSTENIBLE Y GESTIÓN DEL RIESGO</t>
  </si>
  <si>
    <t>3.2.1 UNIDOS  POR LA CONSERVACION Y EL RESPETO CON  LA NATURALEZA.</t>
  </si>
  <si>
    <t>3.2.2 GESTION Y ATENCION AL RIESGO</t>
  </si>
  <si>
    <t>3.3 SECTOR VIAL</t>
  </si>
  <si>
    <t xml:space="preserve">3.3.1 RED VIAL EJE DEL DESARROLLO MUNICIPAL.
</t>
  </si>
  <si>
    <t>3.4 ENTORNO URBANO Y EQUIPAMIENTO MUNICIPAL INFRAESTRUCTURA PARA EL DESARROLLO LOCAL</t>
  </si>
  <si>
    <t>3.4.1 INFRAESTRUCTURA PÚBLICA PARA UN MEJOR SERVICIO</t>
  </si>
  <si>
    <t xml:space="preserve">3.2 AMBIENTE SOSTENIBLE Y GESTIÓN DEL RIESGO </t>
  </si>
  <si>
    <t xml:space="preserve">3.2.2 GESTION Y ATENCION AL RIESGOS </t>
  </si>
  <si>
    <t>4.1.2 LOS NIÑOS, NIÑAS, ADOLECENTES, JOVENES  EN LERIDA LIDERAN</t>
  </si>
  <si>
    <t>4.1.4 HAGAMOS UN PACTO POR EL BUEN TRATO</t>
  </si>
  <si>
    <t>4.1.5 COMISARIA DE FAMILIA… MAS QUE UNA AMIGA</t>
  </si>
  <si>
    <t>4.1.6 DILE NO AL DELITO</t>
  </si>
  <si>
    <t>4.1.7 PORQUE SER NIÑO ES EL MEJOR TRABAJO</t>
  </si>
  <si>
    <t>4.1.8 POLITICA JUVENTUD</t>
  </si>
  <si>
    <t>4.1.3 POR QUE QUIERO IDENTIDAD</t>
  </si>
  <si>
    <t>4.4.1 FORTALECIMIENTO Y APOYO A LOS PROGRAMAS DEL ADULTO MAYOR</t>
  </si>
  <si>
    <t>4.5.1 ATENCIÓN INTEGRAL A LA POBLACION AFRO DESCENDIENTES E INDÍGENA PARA LA GARANTÍA DE SUS DERECHOS</t>
  </si>
  <si>
    <t>4.8 ESTRATEGIA PARA LA SUPERACION DE LA POBREZA EXTREMA</t>
  </si>
  <si>
    <t>4.8.1 PLAN PARA LA SUPERACION DE POBREZA EXTREMA EN LERIDA</t>
  </si>
  <si>
    <t>5.1.1 FORTALECIMIENTO DE LA PLANEACION Y LA GESTION</t>
  </si>
  <si>
    <t>5.1.2 LERIDA UNIDO HACIA LA GESTIÓN DE LA CALIDAD Y DESARROLLO INSTITUCIONAL“Q”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</si>
</sst>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</numFmts>
  <fonts count="63">
    <font>
      <sz val="8"/>
      <name val="Tahoma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8"/>
      <color indexed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sz val="9"/>
      <name val="Arial Narrow"/>
      <family val="2"/>
    </font>
    <font>
      <b/>
      <sz val="11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34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35" borderId="14" xfId="0" applyFont="1" applyFill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vertical="center" wrapText="1"/>
    </xf>
    <xf numFmtId="0" fontId="14" fillId="34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5" fontId="15" fillId="36" borderId="20" xfId="0" applyNumberFormat="1" applyFont="1" applyFill="1" applyBorder="1" applyAlignment="1">
      <alignment horizontal="center" vertical="center" wrapText="1"/>
    </xf>
    <xf numFmtId="165" fontId="15" fillId="36" borderId="2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6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7" fillId="0" borderId="23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13" fillId="0" borderId="17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3" fontId="7" fillId="0" borderId="27" xfId="0" applyNumberFormat="1" applyFont="1" applyBorder="1" applyAlignment="1">
      <alignment vertical="center"/>
    </xf>
    <xf numFmtId="0" fontId="12" fillId="14" borderId="13" xfId="0" applyFont="1" applyFill="1" applyBorder="1" applyAlignment="1">
      <alignment horizontal="left" vertical="center" wrapText="1"/>
    </xf>
    <xf numFmtId="3" fontId="6" fillId="37" borderId="13" xfId="0" applyNumberFormat="1" applyFont="1" applyFill="1" applyBorder="1" applyAlignment="1">
      <alignment vertical="center"/>
    </xf>
    <xf numFmtId="0" fontId="9" fillId="38" borderId="13" xfId="0" applyFont="1" applyFill="1" applyBorder="1" applyAlignment="1">
      <alignment vertical="center" wrapText="1"/>
    </xf>
    <xf numFmtId="3" fontId="6" fillId="34" borderId="28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 wrapText="1"/>
    </xf>
    <xf numFmtId="3" fontId="6" fillId="33" borderId="29" xfId="0" applyNumberFormat="1" applyFont="1" applyFill="1" applyBorder="1" applyAlignment="1">
      <alignment vertical="center" wrapText="1"/>
    </xf>
    <xf numFmtId="3" fontId="6" fillId="33" borderId="30" xfId="0" applyNumberFormat="1" applyFont="1" applyFill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7" fillId="35" borderId="35" xfId="0" applyNumberFormat="1" applyFont="1" applyFill="1" applyBorder="1" applyAlignment="1">
      <alignment vertical="center" wrapText="1"/>
    </xf>
    <xf numFmtId="3" fontId="7" fillId="35" borderId="36" xfId="0" applyNumberFormat="1" applyFont="1" applyFill="1" applyBorder="1" applyAlignment="1">
      <alignment vertical="center"/>
    </xf>
    <xf numFmtId="3" fontId="7" fillId="35" borderId="37" xfId="0" applyNumberFormat="1" applyFont="1" applyFill="1" applyBorder="1" applyAlignment="1">
      <alignment vertical="center"/>
    </xf>
    <xf numFmtId="3" fontId="7" fillId="35" borderId="25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1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17" fillId="0" borderId="41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44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7" fillId="14" borderId="28" xfId="0" applyNumberFormat="1" applyFont="1" applyFill="1" applyBorder="1" applyAlignment="1">
      <alignment vertical="center" wrapText="1"/>
    </xf>
    <xf numFmtId="3" fontId="6" fillId="14" borderId="13" xfId="0" applyNumberFormat="1" applyFont="1" applyFill="1" applyBorder="1" applyAlignment="1">
      <alignment vertical="center"/>
    </xf>
    <xf numFmtId="3" fontId="7" fillId="14" borderId="30" xfId="0" applyNumberFormat="1" applyFont="1" applyFill="1" applyBorder="1" applyAlignment="1">
      <alignment vertical="center"/>
    </xf>
    <xf numFmtId="3" fontId="7" fillId="14" borderId="46" xfId="0" applyNumberFormat="1" applyFont="1" applyFill="1" applyBorder="1" applyAlignment="1">
      <alignment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vertical="center" wrapText="1"/>
    </xf>
    <xf numFmtId="3" fontId="6" fillId="33" borderId="13" xfId="0" applyNumberFormat="1" applyFont="1" applyFill="1" applyBorder="1" applyAlignment="1">
      <alignment vertical="center" wrapText="1"/>
    </xf>
    <xf numFmtId="3" fontId="6" fillId="0" borderId="24" xfId="0" applyNumberFormat="1" applyFont="1" applyBorder="1" applyAlignment="1">
      <alignment vertical="center"/>
    </xf>
    <xf numFmtId="3" fontId="8" fillId="34" borderId="28" xfId="0" applyNumberFormat="1" applyFont="1" applyFill="1" applyBorder="1" applyAlignment="1">
      <alignment vertical="center" wrapText="1"/>
    </xf>
    <xf numFmtId="3" fontId="8" fillId="33" borderId="49" xfId="0" applyNumberFormat="1" applyFont="1" applyFill="1" applyBorder="1" applyAlignment="1">
      <alignment vertical="center" wrapText="1"/>
    </xf>
    <xf numFmtId="3" fontId="8" fillId="33" borderId="50" xfId="0" applyNumberFormat="1" applyFont="1" applyFill="1" applyBorder="1" applyAlignment="1">
      <alignment vertical="center" wrapText="1"/>
    </xf>
    <xf numFmtId="3" fontId="6" fillId="0" borderId="51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38" borderId="1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7" fillId="0" borderId="41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3" fontId="6" fillId="0" borderId="54" xfId="0" applyNumberFormat="1" applyFont="1" applyBorder="1" applyAlignment="1">
      <alignment vertical="center"/>
    </xf>
    <xf numFmtId="3" fontId="6" fillId="33" borderId="20" xfId="0" applyNumberFormat="1" applyFont="1" applyFill="1" applyBorder="1" applyAlignment="1">
      <alignment vertical="center" wrapText="1"/>
    </xf>
    <xf numFmtId="3" fontId="6" fillId="33" borderId="49" xfId="0" applyNumberFormat="1" applyFont="1" applyFill="1" applyBorder="1" applyAlignment="1">
      <alignment vertical="center" wrapText="1"/>
    </xf>
    <xf numFmtId="3" fontId="6" fillId="33" borderId="4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 wrapText="1"/>
    </xf>
    <xf numFmtId="3" fontId="6" fillId="34" borderId="20" xfId="0" applyNumberFormat="1" applyFont="1" applyFill="1" applyBorder="1" applyAlignment="1">
      <alignment vertical="center" wrapText="1"/>
    </xf>
    <xf numFmtId="3" fontId="7" fillId="14" borderId="20" xfId="0" applyNumberFormat="1" applyFont="1" applyFill="1" applyBorder="1" applyAlignment="1">
      <alignment vertical="center" wrapText="1"/>
    </xf>
    <xf numFmtId="0" fontId="11" fillId="0" borderId="55" xfId="0" applyFont="1" applyBorder="1" applyAlignment="1">
      <alignment horizontal="left" vertical="center" wrapText="1"/>
    </xf>
    <xf numFmtId="3" fontId="6" fillId="33" borderId="50" xfId="0" applyNumberFormat="1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6" fillId="33" borderId="42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3" fontId="6" fillId="33" borderId="60" xfId="0" applyNumberFormat="1" applyFont="1" applyFill="1" applyBorder="1" applyAlignment="1">
      <alignment vertical="center" wrapText="1"/>
    </xf>
    <xf numFmtId="3" fontId="6" fillId="33" borderId="61" xfId="0" applyNumberFormat="1" applyFont="1" applyFill="1" applyBorder="1" applyAlignment="1">
      <alignment vertical="center"/>
    </xf>
    <xf numFmtId="3" fontId="6" fillId="33" borderId="62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 wrapText="1"/>
    </xf>
    <xf numFmtId="3" fontId="8" fillId="34" borderId="20" xfId="0" applyNumberFormat="1" applyFont="1" applyFill="1" applyBorder="1" applyAlignment="1">
      <alignment vertical="center" wrapText="1"/>
    </xf>
    <xf numFmtId="3" fontId="6" fillId="38" borderId="62" xfId="0" applyNumberFormat="1" applyFont="1" applyFill="1" applyBorder="1" applyAlignment="1">
      <alignment vertical="center" wrapText="1"/>
    </xf>
    <xf numFmtId="3" fontId="6" fillId="34" borderId="60" xfId="0" applyNumberFormat="1" applyFont="1" applyFill="1" applyBorder="1" applyAlignment="1">
      <alignment vertical="center" wrapText="1"/>
    </xf>
    <xf numFmtId="3" fontId="6" fillId="33" borderId="46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6" fillId="33" borderId="64" xfId="0" applyNumberFormat="1" applyFont="1" applyFill="1" applyBorder="1" applyAlignment="1">
      <alignment vertical="center" wrapText="1"/>
    </xf>
    <xf numFmtId="3" fontId="7" fillId="0" borderId="65" xfId="0" applyNumberFormat="1" applyFont="1" applyFill="1" applyBorder="1" applyAlignment="1">
      <alignment vertical="center" wrapText="1"/>
    </xf>
    <xf numFmtId="3" fontId="6" fillId="33" borderId="66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vertical="center" wrapText="1"/>
    </xf>
    <xf numFmtId="3" fontId="7" fillId="0" borderId="48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63" xfId="0" applyNumberFormat="1" applyFont="1" applyFill="1" applyBorder="1" applyAlignment="1">
      <alignment vertical="center" wrapText="1"/>
    </xf>
    <xf numFmtId="3" fontId="7" fillId="14" borderId="64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65" xfId="0" applyNumberFormat="1" applyFont="1" applyBorder="1" applyAlignment="1">
      <alignment horizontal="right" vertical="center" wrapText="1"/>
    </xf>
    <xf numFmtId="3" fontId="6" fillId="33" borderId="67" xfId="0" applyNumberFormat="1" applyFont="1" applyFill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3" fontId="8" fillId="34" borderId="64" xfId="0" applyNumberFormat="1" applyFont="1" applyFill="1" applyBorder="1" applyAlignment="1">
      <alignment vertical="center" wrapText="1"/>
    </xf>
    <xf numFmtId="3" fontId="8" fillId="33" borderId="67" xfId="0" applyNumberFormat="1" applyFont="1" applyFill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3" fontId="7" fillId="0" borderId="48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35" borderId="63" xfId="0" applyNumberFormat="1" applyFont="1" applyFill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8" fillId="34" borderId="60" xfId="0" applyNumberFormat="1" applyFont="1" applyFill="1" applyBorder="1" applyAlignment="1">
      <alignment vertical="center" wrapText="1"/>
    </xf>
    <xf numFmtId="3" fontId="6" fillId="38" borderId="70" xfId="0" applyNumberFormat="1" applyFont="1" applyFill="1" applyBorder="1" applyAlignment="1">
      <alignment vertical="center" wrapText="1"/>
    </xf>
    <xf numFmtId="3" fontId="7" fillId="0" borderId="71" xfId="0" applyNumberFormat="1" applyFont="1" applyBorder="1" applyAlignment="1">
      <alignment vertical="center" wrapText="1"/>
    </xf>
    <xf numFmtId="3" fontId="7" fillId="0" borderId="39" xfId="0" applyNumberFormat="1" applyFont="1" applyFill="1" applyBorder="1" applyAlignment="1">
      <alignment vertical="center" wrapText="1"/>
    </xf>
    <xf numFmtId="3" fontId="7" fillId="35" borderId="72" xfId="0" applyNumberFormat="1" applyFont="1" applyFill="1" applyBorder="1" applyAlignment="1">
      <alignment vertical="center" wrapText="1"/>
    </xf>
    <xf numFmtId="3" fontId="7" fillId="0" borderId="72" xfId="0" applyNumberFormat="1" applyFont="1" applyBorder="1" applyAlignment="1">
      <alignment vertical="center" wrapText="1"/>
    </xf>
    <xf numFmtId="3" fontId="7" fillId="0" borderId="71" xfId="0" applyNumberFormat="1" applyFont="1" applyFill="1" applyBorder="1" applyAlignment="1">
      <alignment vertical="center" wrapText="1"/>
    </xf>
    <xf numFmtId="3" fontId="7" fillId="0" borderId="72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6" fillId="38" borderId="73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35" borderId="18" xfId="0" applyFont="1" applyFill="1" applyBorder="1" applyAlignment="1">
      <alignment horizontal="justify" vertical="center" wrapText="1"/>
    </xf>
    <xf numFmtId="165" fontId="15" fillId="36" borderId="5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19" fillId="15" borderId="13" xfId="0" applyFont="1" applyFill="1" applyBorder="1" applyAlignment="1">
      <alignment horizontal="center"/>
    </xf>
    <xf numFmtId="49" fontId="19" fillId="15" borderId="73" xfId="47" applyNumberFormat="1" applyFont="1" applyFill="1" applyBorder="1" applyAlignment="1">
      <alignment horizontal="center"/>
    </xf>
    <xf numFmtId="0" fontId="22" fillId="15" borderId="13" xfId="0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23" fillId="0" borderId="62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39" borderId="62" xfId="0" applyFont="1" applyFill="1" applyBorder="1" applyAlignment="1">
      <alignment/>
    </xf>
    <xf numFmtId="3" fontId="22" fillId="39" borderId="74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/>
    </xf>
    <xf numFmtId="0" fontId="22" fillId="38" borderId="62" xfId="0" applyFont="1" applyFill="1" applyBorder="1" applyAlignment="1">
      <alignment/>
    </xf>
    <xf numFmtId="3" fontId="22" fillId="38" borderId="74" xfId="0" applyNumberFormat="1" applyFont="1" applyFill="1" applyBorder="1" applyAlignment="1">
      <alignment horizontal="right"/>
    </xf>
    <xf numFmtId="0" fontId="22" fillId="40" borderId="62" xfId="0" applyFont="1" applyFill="1" applyBorder="1" applyAlignment="1">
      <alignment/>
    </xf>
    <xf numFmtId="3" fontId="22" fillId="40" borderId="74" xfId="0" applyNumberFormat="1" applyFont="1" applyFill="1" applyBorder="1" applyAlignment="1">
      <alignment horizontal="right"/>
    </xf>
    <xf numFmtId="0" fontId="22" fillId="0" borderId="62" xfId="0" applyFont="1" applyBorder="1" applyAlignment="1">
      <alignment/>
    </xf>
    <xf numFmtId="3" fontId="22" fillId="0" borderId="74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4" fillId="15" borderId="13" xfId="0" applyFont="1" applyFill="1" applyBorder="1" applyAlignment="1">
      <alignment/>
    </xf>
    <xf numFmtId="3" fontId="21" fillId="15" borderId="13" xfId="0" applyNumberFormat="1" applyFont="1" applyFill="1" applyBorder="1" applyAlignment="1">
      <alignment/>
    </xf>
    <xf numFmtId="0" fontId="21" fillId="0" borderId="62" xfId="0" applyFont="1" applyBorder="1" applyAlignment="1">
      <alignment/>
    </xf>
    <xf numFmtId="3" fontId="21" fillId="0" borderId="7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2" fillId="41" borderId="62" xfId="0" applyFont="1" applyFill="1" applyBorder="1" applyAlignment="1">
      <alignment/>
    </xf>
    <xf numFmtId="3" fontId="22" fillId="41" borderId="74" xfId="0" applyNumberFormat="1" applyFont="1" applyFill="1" applyBorder="1" applyAlignment="1">
      <alignment horizontal="right"/>
    </xf>
    <xf numFmtId="0" fontId="22" fillId="40" borderId="74" xfId="0" applyFont="1" applyFill="1" applyBorder="1" applyAlignment="1">
      <alignment horizontal="right"/>
    </xf>
    <xf numFmtId="0" fontId="21" fillId="0" borderId="74" xfId="0" applyFont="1" applyFill="1" applyBorder="1" applyAlignment="1">
      <alignment horizontal="right"/>
    </xf>
    <xf numFmtId="0" fontId="22" fillId="42" borderId="62" xfId="0" applyFont="1" applyFill="1" applyBorder="1" applyAlignment="1">
      <alignment/>
    </xf>
    <xf numFmtId="3" fontId="22" fillId="42" borderId="74" xfId="0" applyNumberFormat="1" applyFont="1" applyFill="1" applyBorder="1" applyAlignment="1">
      <alignment horizontal="right"/>
    </xf>
    <xf numFmtId="0" fontId="22" fillId="0" borderId="62" xfId="0" applyFont="1" applyBorder="1" applyAlignment="1">
      <alignment wrapText="1"/>
    </xf>
    <xf numFmtId="0" fontId="21" fillId="0" borderId="74" xfId="0" applyFont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1" fillId="41" borderId="7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6" fillId="33" borderId="75" xfId="0" applyNumberFormat="1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0" fontId="13" fillId="0" borderId="17" xfId="0" applyFont="1" applyBorder="1" applyAlignment="1">
      <alignment wrapText="1"/>
    </xf>
    <xf numFmtId="3" fontId="6" fillId="33" borderId="57" xfId="0" applyNumberFormat="1" applyFont="1" applyFill="1" applyBorder="1" applyAlignment="1">
      <alignment vertical="center" wrapText="1"/>
    </xf>
    <xf numFmtId="0" fontId="12" fillId="33" borderId="61" xfId="0" applyFont="1" applyFill="1" applyBorder="1" applyAlignment="1">
      <alignment horizontal="left" vertical="center" wrapText="1"/>
    </xf>
    <xf numFmtId="0" fontId="12" fillId="34" borderId="62" xfId="0" applyFont="1" applyFill="1" applyBorder="1" applyAlignment="1">
      <alignment horizontal="left" vertical="center" wrapText="1"/>
    </xf>
    <xf numFmtId="3" fontId="8" fillId="34" borderId="62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3" fontId="6" fillId="0" borderId="62" xfId="0" applyNumberFormat="1" applyFont="1" applyBorder="1" applyAlignment="1">
      <alignment vertical="center"/>
    </xf>
    <xf numFmtId="0" fontId="14" fillId="33" borderId="70" xfId="0" applyFont="1" applyFill="1" applyBorder="1" applyAlignment="1">
      <alignment vertical="center" wrapText="1"/>
    </xf>
    <xf numFmtId="3" fontId="6" fillId="33" borderId="73" xfId="0" applyNumberFormat="1" applyFont="1" applyFill="1" applyBorder="1" applyAlignment="1">
      <alignment vertical="center" wrapText="1"/>
    </xf>
    <xf numFmtId="3" fontId="6" fillId="34" borderId="66" xfId="0" applyNumberFormat="1" applyFont="1" applyFill="1" applyBorder="1" applyAlignment="1">
      <alignment vertical="center" wrapText="1"/>
    </xf>
    <xf numFmtId="3" fontId="6" fillId="34" borderId="61" xfId="0" applyNumberFormat="1" applyFont="1" applyFill="1" applyBorder="1" applyAlignment="1">
      <alignment vertical="center" wrapText="1"/>
    </xf>
    <xf numFmtId="10" fontId="26" fillId="0" borderId="13" xfId="0" applyNumberFormat="1" applyFont="1" applyBorder="1" applyAlignment="1">
      <alignment horizontal="center"/>
    </xf>
    <xf numFmtId="10" fontId="26" fillId="15" borderId="1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41" borderId="76" xfId="0" applyFont="1" applyFill="1" applyBorder="1" applyAlignment="1">
      <alignment horizontal="center"/>
    </xf>
    <xf numFmtId="0" fontId="18" fillId="41" borderId="66" xfId="0" applyFont="1" applyFill="1" applyBorder="1" applyAlignment="1">
      <alignment horizontal="center"/>
    </xf>
    <xf numFmtId="0" fontId="18" fillId="41" borderId="77" xfId="0" applyFont="1" applyFill="1" applyBorder="1" applyAlignment="1">
      <alignment horizontal="center"/>
    </xf>
    <xf numFmtId="0" fontId="18" fillId="41" borderId="55" xfId="0" applyFont="1" applyFill="1" applyBorder="1" applyAlignment="1">
      <alignment horizontal="center"/>
    </xf>
    <xf numFmtId="0" fontId="18" fillId="41" borderId="0" xfId="0" applyFont="1" applyFill="1" applyBorder="1" applyAlignment="1">
      <alignment horizontal="center"/>
    </xf>
    <xf numFmtId="0" fontId="18" fillId="41" borderId="78" xfId="0" applyFont="1" applyFill="1" applyBorder="1" applyAlignment="1">
      <alignment horizontal="center"/>
    </xf>
    <xf numFmtId="0" fontId="18" fillId="39" borderId="79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/>
    </xf>
    <xf numFmtId="0" fontId="18" fillId="39" borderId="74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3" fontId="6" fillId="36" borderId="60" xfId="0" applyNumberFormat="1" applyFont="1" applyFill="1" applyBorder="1" applyAlignment="1">
      <alignment horizontal="center" vertical="center" wrapText="1"/>
    </xf>
    <xf numFmtId="165" fontId="6" fillId="36" borderId="61" xfId="0" applyNumberFormat="1" applyFont="1" applyFill="1" applyBorder="1" applyAlignment="1">
      <alignment horizontal="center" vertical="center" wrapText="1"/>
    </xf>
    <xf numFmtId="165" fontId="6" fillId="36" borderId="62" xfId="0" applyNumberFormat="1" applyFont="1" applyFill="1" applyBorder="1" applyAlignment="1">
      <alignment horizontal="center" vertical="center" wrapText="1"/>
    </xf>
    <xf numFmtId="3" fontId="3" fillId="36" borderId="70" xfId="0" applyNumberFormat="1" applyFont="1" applyFill="1" applyBorder="1" applyAlignment="1">
      <alignment horizontal="center" vertical="center" wrapText="1"/>
    </xf>
    <xf numFmtId="3" fontId="3" fillId="36" borderId="60" xfId="0" applyNumberFormat="1" applyFont="1" applyFill="1" applyBorder="1" applyAlignment="1">
      <alignment horizontal="center" vertical="center" wrapText="1"/>
    </xf>
    <xf numFmtId="3" fontId="3" fillId="36" borderId="73" xfId="0" applyNumberFormat="1" applyFont="1" applyFill="1" applyBorder="1" applyAlignment="1">
      <alignment horizontal="center" vertical="center" wrapText="1"/>
    </xf>
    <xf numFmtId="0" fontId="5" fillId="43" borderId="70" xfId="0" applyFont="1" applyFill="1" applyBorder="1" applyAlignment="1">
      <alignment horizontal="center" vertical="center" wrapText="1"/>
    </xf>
    <xf numFmtId="0" fontId="5" fillId="43" borderId="60" xfId="0" applyFont="1" applyFill="1" applyBorder="1" applyAlignment="1">
      <alignment horizontal="center" vertical="center" wrapText="1"/>
    </xf>
    <xf numFmtId="0" fontId="5" fillId="43" borderId="73" xfId="0" applyFont="1" applyFill="1" applyBorder="1" applyAlignment="1">
      <alignment horizontal="center" vertical="center" wrapText="1"/>
    </xf>
    <xf numFmtId="3" fontId="3" fillId="36" borderId="79" xfId="0" applyNumberFormat="1" applyFont="1" applyFill="1" applyBorder="1" applyAlignment="1">
      <alignment horizontal="center" wrapText="1"/>
    </xf>
    <xf numFmtId="3" fontId="3" fillId="36" borderId="6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43" borderId="43" xfId="0" applyFont="1" applyFill="1" applyBorder="1" applyAlignment="1">
      <alignment horizontal="center" vertical="top" wrapText="1"/>
    </xf>
    <xf numFmtId="0" fontId="5" fillId="43" borderId="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TOTALES 2012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23775"/>
          <c:w val="0.5495"/>
          <c:h val="0.6685"/>
        </c:manualLayout>
      </c:layout>
      <c:pie3DChart>
        <c:varyColors val="1"/>
        <c:ser>
          <c:idx val="0"/>
          <c:order val="0"/>
          <c:tx>
            <c:strRef>
              <c:f>'[1]Hoja1'!$K$5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'[1]Hoja1'!$J$6:$J$10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'[1]Hoja1'!$K$6:$K$10</c:f>
              <c:numCache>
                <c:ptCount val="5"/>
                <c:pt idx="0">
                  <c:v>370</c:v>
                </c:pt>
                <c:pt idx="1">
                  <c:v>4377.4</c:v>
                </c:pt>
                <c:pt idx="2">
                  <c:v>1903</c:v>
                </c:pt>
                <c:pt idx="3">
                  <c:v>924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'[1]Hoja1'!$L$5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'[1]Hoja1'!$J$6:$J$10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'[1]Hoja1'!$L$6:$L$10</c:f>
              <c:numCache>
                <c:ptCount val="5"/>
                <c:pt idx="0">
                  <c:v>0.04865604123928252</c:v>
                </c:pt>
                <c:pt idx="1">
                  <c:v>0.5756404187049603</c:v>
                </c:pt>
                <c:pt idx="2">
                  <c:v>0.2502498553469044</c:v>
                </c:pt>
                <c:pt idx="3">
                  <c:v>0.12150860028404609</c:v>
                </c:pt>
                <c:pt idx="4">
                  <c:v>0.003945084424806691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35475"/>
          <c:w val="0.292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TOTALES 2013</a:t>
            </a:r>
          </a:p>
        </c:rich>
      </c:tx>
      <c:layout>
        <c:manualLayout>
          <c:xMode val="factor"/>
          <c:yMode val="factor"/>
          <c:x val="0.078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8875"/>
          <c:w val="0.538"/>
          <c:h val="0.6085"/>
        </c:manualLayout>
      </c:layout>
      <c:pie3DChart>
        <c:varyColors val="1"/>
        <c:ser>
          <c:idx val="0"/>
          <c:order val="0"/>
          <c:tx>
            <c:strRef>
              <c:f>'[1]Hoja1'!$K$34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'[1]Hoja1'!$J$35:$J$39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'[1]Hoja1'!$K$35:$K$39</c:f>
              <c:numCache>
                <c:ptCount val="5"/>
                <c:pt idx="0">
                  <c:v>381.1</c:v>
                </c:pt>
                <c:pt idx="1">
                  <c:v>4508.722</c:v>
                </c:pt>
                <c:pt idx="2">
                  <c:v>1960.0900000000001</c:v>
                </c:pt>
                <c:pt idx="3">
                  <c:v>951.7200000000003</c:v>
                </c:pt>
                <c:pt idx="4">
                  <c:v>30.900000000000002</c:v>
                </c:pt>
              </c:numCache>
            </c:numRef>
          </c:val>
        </c:ser>
        <c:ser>
          <c:idx val="1"/>
          <c:order val="1"/>
          <c:tx>
            <c:strRef>
              <c:f>'[1]Hoja1'!$L$34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'[1]Hoja1'!$J$35:$J$39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'[1]Hoja1'!$L$35:$L$39</c:f>
              <c:numCache>
                <c:ptCount val="5"/>
                <c:pt idx="0">
                  <c:v>0.04865604123928252</c:v>
                </c:pt>
                <c:pt idx="1">
                  <c:v>0.5756404187049602</c:v>
                </c:pt>
                <c:pt idx="2">
                  <c:v>0.2502498553469044</c:v>
                </c:pt>
                <c:pt idx="3">
                  <c:v>0.12150860028404611</c:v>
                </c:pt>
                <c:pt idx="4">
                  <c:v>0.003945084424806691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31025"/>
          <c:w val="0.30225"/>
          <c:h val="0.55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25"/>
          <c:y val="0.43325"/>
          <c:w val="0.82075"/>
          <c:h val="0.4845"/>
        </c:manualLayout>
      </c:layout>
      <c:pie3DChart>
        <c:varyColors val="1"/>
        <c:ser>
          <c:idx val="0"/>
          <c:order val="0"/>
          <c:tx>
            <c:strRef>
              <c:f>'[1]Hoja1'!$K$61</c:f>
              <c:strCache>
                <c:ptCount val="1"/>
                <c:pt idx="0">
                  <c:v>TOTALES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'[1]Hoja1'!$J$62:$J$66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'[1]Hoja1'!$K$62:$K$66</c:f>
              <c:numCache>
                <c:ptCount val="5"/>
                <c:pt idx="0">
                  <c:v>392.533</c:v>
                </c:pt>
                <c:pt idx="1">
                  <c:v>4643.98366</c:v>
                </c:pt>
                <c:pt idx="2">
                  <c:v>2018.8927</c:v>
                </c:pt>
                <c:pt idx="3">
                  <c:v>980.2716000000005</c:v>
                </c:pt>
                <c:pt idx="4">
                  <c:v>31.827</c:v>
                </c:pt>
              </c:numCache>
            </c:numRef>
          </c:val>
        </c:ser>
        <c:ser>
          <c:idx val="1"/>
          <c:order val="1"/>
          <c:tx>
            <c:strRef>
              <c:f>'[1]Hoja1'!$L$61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'[1]Hoja1'!$J$62:$J$66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'[1]Hoja1'!$L$62:$L$66</c:f>
              <c:numCache>
                <c:ptCount val="5"/>
                <c:pt idx="0">
                  <c:v>0.048656041239282515</c:v>
                </c:pt>
                <c:pt idx="1">
                  <c:v>0.5756404187049602</c:v>
                </c:pt>
                <c:pt idx="2">
                  <c:v>0.25024985534690436</c:v>
                </c:pt>
                <c:pt idx="3">
                  <c:v>0.12150860028404611</c:v>
                </c:pt>
                <c:pt idx="4">
                  <c:v>0.0039450844248066904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"/>
          <c:y val="0.1635"/>
          <c:w val="0.84875"/>
          <c:h val="0.16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77"/>
          <c:w val="0.538"/>
          <c:h val="0.62225"/>
        </c:manualLayout>
      </c:layout>
      <c:pie3DChart>
        <c:varyColors val="1"/>
        <c:ser>
          <c:idx val="0"/>
          <c:order val="0"/>
          <c:tx>
            <c:strRef>
              <c:f>'[1]Hoja1'!$K$90</c:f>
              <c:strCache>
                <c:ptCount val="1"/>
                <c:pt idx="0">
                  <c:v>TOTALES 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'[1]Hoja1'!$J$91:$J$95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'[1]Hoja1'!$K$91:$K$95</c:f>
              <c:numCache>
                <c:ptCount val="5"/>
                <c:pt idx="0">
                  <c:v>404.30899000000005</c:v>
                </c:pt>
                <c:pt idx="1">
                  <c:v>4783.3031698</c:v>
                </c:pt>
                <c:pt idx="2">
                  <c:v>2079.4594810000003</c:v>
                </c:pt>
                <c:pt idx="3">
                  <c:v>1009.6797480000005</c:v>
                </c:pt>
                <c:pt idx="4">
                  <c:v>32.78181</c:v>
                </c:pt>
              </c:numCache>
            </c:numRef>
          </c:val>
        </c:ser>
        <c:ser>
          <c:idx val="1"/>
          <c:order val="1"/>
          <c:tx>
            <c:strRef>
              <c:f>'[1]Hoja1'!$L$90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'[1]Hoja1'!$J$91:$J$95</c:f>
              <c:strCache>
                <c:ptCount val="5"/>
                <c:pt idx="0">
                  <c:v>Regalías</c:v>
                </c:pt>
                <c:pt idx="1">
                  <c:v>SGP</c:v>
                </c:pt>
                <c:pt idx="2">
                  <c:v>FOSYGA</c:v>
                </c:pt>
                <c:pt idx="3">
                  <c:v>Recursos Propios</c:v>
                </c:pt>
                <c:pt idx="4">
                  <c:v>Fondos Especiales</c:v>
                </c:pt>
              </c:strCache>
            </c:strRef>
          </c:cat>
          <c:val>
            <c:numRef>
              <c:f>'[1]Hoja1'!$L$91:$L$95</c:f>
              <c:numCache>
                <c:ptCount val="5"/>
                <c:pt idx="0">
                  <c:v>0.048656041239282515</c:v>
                </c:pt>
                <c:pt idx="1">
                  <c:v>0.5756404187049602</c:v>
                </c:pt>
                <c:pt idx="2">
                  <c:v>0.2502498553469044</c:v>
                </c:pt>
                <c:pt idx="3">
                  <c:v>0.12150860028404611</c:v>
                </c:pt>
                <c:pt idx="4">
                  <c:v>0.0039450844248066904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245"/>
          <c:w val="0.30225"/>
          <c:h val="0.5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0</xdr:rowOff>
    </xdr:from>
    <xdr:to>
      <xdr:col>12</xdr:col>
      <xdr:colOff>485775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8943975" y="26860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43</xdr:row>
      <xdr:rowOff>85725</xdr:rowOff>
    </xdr:from>
    <xdr:to>
      <xdr:col>12</xdr:col>
      <xdr:colOff>400050</xdr:colOff>
      <xdr:row>56</xdr:row>
      <xdr:rowOff>0</xdr:rowOff>
    </xdr:to>
    <xdr:graphicFrame>
      <xdr:nvGraphicFramePr>
        <xdr:cNvPr id="2" name="4 Gráfico"/>
        <xdr:cNvGraphicFramePr/>
      </xdr:nvGraphicFramePr>
      <xdr:xfrm>
        <a:off x="8991600" y="8562975"/>
        <a:ext cx="38671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69</xdr:row>
      <xdr:rowOff>9525</xdr:rowOff>
    </xdr:from>
    <xdr:to>
      <xdr:col>12</xdr:col>
      <xdr:colOff>400050</xdr:colOff>
      <xdr:row>84</xdr:row>
      <xdr:rowOff>133350</xdr:rowOff>
    </xdr:to>
    <xdr:graphicFrame>
      <xdr:nvGraphicFramePr>
        <xdr:cNvPr id="3" name="5 Gráfico"/>
        <xdr:cNvGraphicFramePr/>
      </xdr:nvGraphicFramePr>
      <xdr:xfrm>
        <a:off x="8991600" y="13544550"/>
        <a:ext cx="3867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98</xdr:row>
      <xdr:rowOff>57150</xdr:rowOff>
    </xdr:from>
    <xdr:to>
      <xdr:col>12</xdr:col>
      <xdr:colOff>361950</xdr:colOff>
      <xdr:row>115</xdr:row>
      <xdr:rowOff>47625</xdr:rowOff>
    </xdr:to>
    <xdr:graphicFrame>
      <xdr:nvGraphicFramePr>
        <xdr:cNvPr id="4" name="6 Gráfico"/>
        <xdr:cNvGraphicFramePr/>
      </xdr:nvGraphicFramePr>
      <xdr:xfrm>
        <a:off x="8953500" y="18640425"/>
        <a:ext cx="38671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sonal\AppData\Roaming\Microsoft\Excel\PLAN%20FINANCIERO%20LERIDA%202012%20.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">
          <cell r="K5" t="str">
            <v>TOTALES</v>
          </cell>
          <cell r="L5" t="str">
            <v>%</v>
          </cell>
        </row>
        <row r="6">
          <cell r="J6" t="str">
            <v>Regalías</v>
          </cell>
          <cell r="K6">
            <v>370</v>
          </cell>
          <cell r="L6">
            <v>0.04865604123928252</v>
          </cell>
        </row>
        <row r="7">
          <cell r="J7" t="str">
            <v>SGP</v>
          </cell>
          <cell r="K7">
            <v>4377.4</v>
          </cell>
          <cell r="L7">
            <v>0.5756404187049603</v>
          </cell>
        </row>
        <row r="8">
          <cell r="J8" t="str">
            <v>FOSYGA</v>
          </cell>
          <cell r="K8">
            <v>1903</v>
          </cell>
          <cell r="L8">
            <v>0.2502498553469044</v>
          </cell>
        </row>
        <row r="9">
          <cell r="J9" t="str">
            <v>Recursos Propios</v>
          </cell>
          <cell r="K9">
            <v>924</v>
          </cell>
          <cell r="L9">
            <v>0.12150860028404609</v>
          </cell>
        </row>
        <row r="10">
          <cell r="J10" t="str">
            <v>Fondos Especiales</v>
          </cell>
          <cell r="K10">
            <v>30</v>
          </cell>
          <cell r="L10">
            <v>0.003945084424806691</v>
          </cell>
        </row>
        <row r="34">
          <cell r="K34" t="str">
            <v>TOTALES</v>
          </cell>
          <cell r="L34" t="str">
            <v>%</v>
          </cell>
        </row>
        <row r="35">
          <cell r="J35" t="str">
            <v>Regalías</v>
          </cell>
          <cell r="K35">
            <v>381.1</v>
          </cell>
          <cell r="L35">
            <v>0.04865604123928252</v>
          </cell>
        </row>
        <row r="36">
          <cell r="J36" t="str">
            <v>SGP</v>
          </cell>
          <cell r="K36">
            <v>4508.722</v>
          </cell>
          <cell r="L36">
            <v>0.5756404187049602</v>
          </cell>
        </row>
        <row r="37">
          <cell r="J37" t="str">
            <v>FOSYGA</v>
          </cell>
          <cell r="K37">
            <v>1960.0900000000001</v>
          </cell>
          <cell r="L37">
            <v>0.2502498553469044</v>
          </cell>
        </row>
        <row r="38">
          <cell r="J38" t="str">
            <v>Recursos Propios</v>
          </cell>
          <cell r="K38">
            <v>951.7200000000003</v>
          </cell>
          <cell r="L38">
            <v>0.12150860028404611</v>
          </cell>
        </row>
        <row r="39">
          <cell r="J39" t="str">
            <v>Fondos Especiales</v>
          </cell>
          <cell r="K39">
            <v>30.900000000000002</v>
          </cell>
          <cell r="L39">
            <v>0.003945084424806691</v>
          </cell>
        </row>
        <row r="61">
          <cell r="K61" t="str">
            <v>TOTALES 2014</v>
          </cell>
          <cell r="L61" t="str">
            <v>%</v>
          </cell>
        </row>
        <row r="62">
          <cell r="J62" t="str">
            <v>Regalías</v>
          </cell>
          <cell r="K62">
            <v>392.533</v>
          </cell>
          <cell r="L62">
            <v>0.048656041239282515</v>
          </cell>
        </row>
        <row r="63">
          <cell r="J63" t="str">
            <v>SGP</v>
          </cell>
          <cell r="K63">
            <v>4643.98366</v>
          </cell>
          <cell r="L63">
            <v>0.5756404187049602</v>
          </cell>
        </row>
        <row r="64">
          <cell r="J64" t="str">
            <v>FOSYGA</v>
          </cell>
          <cell r="K64">
            <v>2018.8927</v>
          </cell>
          <cell r="L64">
            <v>0.25024985534690436</v>
          </cell>
        </row>
        <row r="65">
          <cell r="J65" t="str">
            <v>Recursos Propios</v>
          </cell>
          <cell r="K65">
            <v>980.2716000000005</v>
          </cell>
          <cell r="L65">
            <v>0.12150860028404611</v>
          </cell>
        </row>
        <row r="66">
          <cell r="J66" t="str">
            <v>Fondos Especiales</v>
          </cell>
          <cell r="K66">
            <v>31.827</v>
          </cell>
          <cell r="L66">
            <v>0.0039450844248066904</v>
          </cell>
        </row>
        <row r="90">
          <cell r="K90" t="str">
            <v>TOTALES  2015</v>
          </cell>
          <cell r="L90" t="str">
            <v>%</v>
          </cell>
        </row>
        <row r="91">
          <cell r="J91" t="str">
            <v>Regalías</v>
          </cell>
          <cell r="K91">
            <v>404.30899000000005</v>
          </cell>
          <cell r="L91">
            <v>0.048656041239282515</v>
          </cell>
        </row>
        <row r="92">
          <cell r="J92" t="str">
            <v>SGP</v>
          </cell>
          <cell r="K92">
            <v>4783.3031698</v>
          </cell>
          <cell r="L92">
            <v>0.5756404187049602</v>
          </cell>
        </row>
        <row r="93">
          <cell r="J93" t="str">
            <v>FOSYGA</v>
          </cell>
          <cell r="K93">
            <v>2079.4594810000003</v>
          </cell>
          <cell r="L93">
            <v>0.2502498553469044</v>
          </cell>
        </row>
        <row r="94">
          <cell r="J94" t="str">
            <v>Recursos Propios</v>
          </cell>
          <cell r="K94">
            <v>1009.6797480000005</v>
          </cell>
          <cell r="L94">
            <v>0.12150860028404611</v>
          </cell>
        </row>
        <row r="95">
          <cell r="J95" t="str">
            <v>Fondos Especiales</v>
          </cell>
          <cell r="K95">
            <v>32.78181</v>
          </cell>
          <cell r="L95">
            <v>0.0039450844248066904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20"/>
  <sheetViews>
    <sheetView showGridLines="0" zoomScale="80" zoomScaleNormal="80" zoomScalePageLayoutView="0" workbookViewId="0" topLeftCell="A1">
      <selection activeCell="H5" sqref="H5"/>
    </sheetView>
  </sheetViews>
  <sheetFormatPr defaultColWidth="12" defaultRowHeight="10.5"/>
  <cols>
    <col min="2" max="2" width="60.33203125" style="0" bestFit="1" customWidth="1"/>
    <col min="10" max="10" width="33.66015625" style="0" bestFit="1" customWidth="1"/>
    <col min="11" max="11" width="16" style="0" bestFit="1" customWidth="1"/>
  </cols>
  <sheetData>
    <row r="3" spans="6:7" ht="11.25" thickBot="1">
      <c r="F3" s="208"/>
      <c r="G3" s="208"/>
    </row>
    <row r="4" spans="2:12" ht="15">
      <c r="B4" s="264" t="s">
        <v>79</v>
      </c>
      <c r="C4" s="265"/>
      <c r="D4" s="265"/>
      <c r="E4" s="265"/>
      <c r="F4" s="266"/>
      <c r="G4" s="208"/>
      <c r="J4" s="263" t="s">
        <v>80</v>
      </c>
      <c r="K4" s="263"/>
      <c r="L4" s="263"/>
    </row>
    <row r="5" spans="2:11" ht="15.75" thickBot="1">
      <c r="B5" s="267" t="s">
        <v>81</v>
      </c>
      <c r="C5" s="268"/>
      <c r="D5" s="268"/>
      <c r="E5" s="268"/>
      <c r="F5" s="269"/>
      <c r="G5" s="208"/>
      <c r="J5" s="209"/>
      <c r="K5" s="209"/>
    </row>
    <row r="6" spans="2:12" ht="15.75" thickBot="1">
      <c r="B6" s="267" t="s">
        <v>82</v>
      </c>
      <c r="C6" s="268"/>
      <c r="D6" s="268"/>
      <c r="E6" s="268"/>
      <c r="F6" s="269"/>
      <c r="G6" s="208"/>
      <c r="J6" s="210" t="s">
        <v>83</v>
      </c>
      <c r="K6" s="211" t="s">
        <v>84</v>
      </c>
      <c r="L6" s="212" t="s">
        <v>85</v>
      </c>
    </row>
    <row r="7" spans="2:12" ht="18" thickBot="1">
      <c r="B7" s="267" t="s">
        <v>86</v>
      </c>
      <c r="C7" s="268"/>
      <c r="D7" s="268"/>
      <c r="E7" s="268"/>
      <c r="F7" s="269"/>
      <c r="G7" s="213"/>
      <c r="J7" s="214" t="s">
        <v>87</v>
      </c>
      <c r="K7" s="215">
        <f>C31</f>
        <v>370</v>
      </c>
      <c r="L7" s="261">
        <f>+K7/K12</f>
        <v>0.04865604123928252</v>
      </c>
    </row>
    <row r="8" spans="2:12" ht="18" thickBot="1">
      <c r="B8" s="270" t="s">
        <v>88</v>
      </c>
      <c r="C8" s="271"/>
      <c r="D8" s="271"/>
      <c r="E8" s="271"/>
      <c r="F8" s="272"/>
      <c r="G8" s="208"/>
      <c r="J8" s="216" t="s">
        <v>89</v>
      </c>
      <c r="K8" s="215">
        <f>C11</f>
        <v>4377.4</v>
      </c>
      <c r="L8" s="261">
        <f>+K8/K12</f>
        <v>0.5756404187049603</v>
      </c>
    </row>
    <row r="9" spans="2:12" ht="18" thickBot="1">
      <c r="B9" s="217" t="s">
        <v>90</v>
      </c>
      <c r="C9" s="218">
        <v>2012</v>
      </c>
      <c r="D9" s="218">
        <v>2013</v>
      </c>
      <c r="E9" s="218">
        <v>2014</v>
      </c>
      <c r="F9" s="218">
        <v>2015</v>
      </c>
      <c r="G9" s="208"/>
      <c r="J9" s="216" t="s">
        <v>91</v>
      </c>
      <c r="K9" s="219">
        <f>C27</f>
        <v>1903</v>
      </c>
      <c r="L9" s="261">
        <f>+K9/K12</f>
        <v>0.2502498553469044</v>
      </c>
    </row>
    <row r="10" spans="2:12" ht="18" thickBot="1">
      <c r="B10" s="220" t="s">
        <v>1</v>
      </c>
      <c r="C10" s="221">
        <v>3103</v>
      </c>
      <c r="D10" s="221">
        <f>+C10*1.03</f>
        <v>3196.09</v>
      </c>
      <c r="E10" s="221">
        <f>+D10*1.03</f>
        <v>3291.9727000000003</v>
      </c>
      <c r="F10" s="221">
        <f>+E10*1.03</f>
        <v>3390.731881</v>
      </c>
      <c r="G10" s="213"/>
      <c r="J10" s="216" t="s">
        <v>92</v>
      </c>
      <c r="K10" s="215">
        <f>C59</f>
        <v>924</v>
      </c>
      <c r="L10" s="261">
        <f>+K10/K12</f>
        <v>0.12150860028404609</v>
      </c>
    </row>
    <row r="11" spans="2:12" ht="18" thickBot="1">
      <c r="B11" s="222" t="s">
        <v>93</v>
      </c>
      <c r="C11" s="223">
        <f>+C12+C15+C20+C22+C26</f>
        <v>4377.4</v>
      </c>
      <c r="D11" s="223">
        <f>SUM(D12+D15+D20+D22+D26)</f>
        <v>4508.722</v>
      </c>
      <c r="E11" s="223">
        <f>SUM(E12+E15+E20+E22+E26)</f>
        <v>4643.98366</v>
      </c>
      <c r="F11" s="223">
        <f>SUM(F12+F15+F20+F22+F26)</f>
        <v>4783.3031698</v>
      </c>
      <c r="G11" s="208"/>
      <c r="J11" s="216" t="s">
        <v>94</v>
      </c>
      <c r="K11" s="215">
        <f>C30</f>
        <v>30</v>
      </c>
      <c r="L11" s="261">
        <f>+K11/K12</f>
        <v>0.003945084424806691</v>
      </c>
    </row>
    <row r="12" spans="2:12" ht="15.75" thickBot="1">
      <c r="B12" s="224" t="s">
        <v>95</v>
      </c>
      <c r="C12" s="225">
        <f>SUM(C13:C14)</f>
        <v>541.2</v>
      </c>
      <c r="D12" s="225">
        <f>SUM(D13:D14)</f>
        <v>557.4359999999999</v>
      </c>
      <c r="E12" s="225">
        <f>SUM(E13:E14)</f>
        <v>574.15908</v>
      </c>
      <c r="F12" s="225">
        <f>SUM(F13:F14)</f>
        <v>591.3838524</v>
      </c>
      <c r="G12" s="226"/>
      <c r="J12" s="227" t="s">
        <v>96</v>
      </c>
      <c r="K12" s="228">
        <f>SUM(K7:K11)</f>
        <v>7604.4</v>
      </c>
      <c r="L12" s="262">
        <f>SUM(L7:L11)</f>
        <v>1</v>
      </c>
    </row>
    <row r="13" spans="2:7" ht="13.5" thickBot="1">
      <c r="B13" s="229" t="s">
        <v>97</v>
      </c>
      <c r="C13" s="230">
        <v>277.8</v>
      </c>
      <c r="D13" s="230">
        <f aca="true" t="shared" si="0" ref="D13:F14">+C13*1.03</f>
        <v>286.134</v>
      </c>
      <c r="E13" s="230">
        <f t="shared" si="0"/>
        <v>294.71802</v>
      </c>
      <c r="F13" s="230">
        <f t="shared" si="0"/>
        <v>303.55956060000005</v>
      </c>
      <c r="G13" s="208"/>
    </row>
    <row r="14" spans="2:7" ht="13.5" thickBot="1">
      <c r="B14" s="229" t="s">
        <v>98</v>
      </c>
      <c r="C14" s="230">
        <v>263.4</v>
      </c>
      <c r="D14" s="230">
        <f t="shared" si="0"/>
        <v>271.30199999999996</v>
      </c>
      <c r="E14" s="230">
        <f t="shared" si="0"/>
        <v>279.44106</v>
      </c>
      <c r="F14" s="230">
        <f t="shared" si="0"/>
        <v>287.8242918</v>
      </c>
      <c r="G14" s="208"/>
    </row>
    <row r="15" spans="2:11" ht="13.5" thickBot="1">
      <c r="B15" s="224" t="s">
        <v>99</v>
      </c>
      <c r="C15" s="225">
        <f>SUM(C16:C19)</f>
        <v>2066.8</v>
      </c>
      <c r="D15" s="225">
        <f>SUM(D16:D19)</f>
        <v>2128.804</v>
      </c>
      <c r="E15" s="225">
        <f>SUM(E16:E19)</f>
        <v>2192.66812</v>
      </c>
      <c r="F15" s="225">
        <f>SUM(F16:F19)</f>
        <v>2258.4481636</v>
      </c>
      <c r="G15" s="208"/>
      <c r="K15" s="231"/>
    </row>
    <row r="16" spans="2:7" ht="13.5" thickBot="1">
      <c r="B16" s="229" t="s">
        <v>100</v>
      </c>
      <c r="C16" s="230">
        <v>1947.7</v>
      </c>
      <c r="D16" s="230">
        <f aca="true" t="shared" si="1" ref="D16:F19">+C16*1.03</f>
        <v>2006.131</v>
      </c>
      <c r="E16" s="230">
        <f t="shared" si="1"/>
        <v>2066.31493</v>
      </c>
      <c r="F16" s="230">
        <f t="shared" si="1"/>
        <v>2128.3043779</v>
      </c>
      <c r="G16" s="208"/>
    </row>
    <row r="17" spans="2:7" ht="13.5" thickBot="1">
      <c r="B17" s="229" t="s">
        <v>101</v>
      </c>
      <c r="C17" s="230">
        <v>119.1</v>
      </c>
      <c r="D17" s="230">
        <f t="shared" si="1"/>
        <v>122.673</v>
      </c>
      <c r="E17" s="230">
        <f t="shared" si="1"/>
        <v>126.35319000000001</v>
      </c>
      <c r="F17" s="230">
        <f t="shared" si="1"/>
        <v>130.14378570000002</v>
      </c>
      <c r="G17" s="208"/>
    </row>
    <row r="18" spans="2:7" ht="13.5" thickBot="1">
      <c r="B18" s="229" t="s">
        <v>102</v>
      </c>
      <c r="C18" s="230">
        <v>0</v>
      </c>
      <c r="D18" s="230">
        <f t="shared" si="1"/>
        <v>0</v>
      </c>
      <c r="E18" s="230">
        <f t="shared" si="1"/>
        <v>0</v>
      </c>
      <c r="F18" s="230">
        <f t="shared" si="1"/>
        <v>0</v>
      </c>
      <c r="G18" s="208"/>
    </row>
    <row r="19" spans="2:7" ht="13.5" thickBot="1">
      <c r="B19" s="229" t="s">
        <v>103</v>
      </c>
      <c r="C19" s="230">
        <v>0</v>
      </c>
      <c r="D19" s="230">
        <f t="shared" si="1"/>
        <v>0</v>
      </c>
      <c r="E19" s="230">
        <f t="shared" si="1"/>
        <v>0</v>
      </c>
      <c r="F19" s="230">
        <f t="shared" si="1"/>
        <v>0</v>
      </c>
      <c r="G19" s="208"/>
    </row>
    <row r="20" spans="2:7" ht="13.5" thickBot="1">
      <c r="B20" s="224" t="s">
        <v>104</v>
      </c>
      <c r="C20" s="225">
        <f>SUM(C21:C21)</f>
        <v>670</v>
      </c>
      <c r="D20" s="225">
        <f>SUM(D21:D21)</f>
        <v>690.1</v>
      </c>
      <c r="E20" s="225">
        <f>SUM(E21:E21)</f>
        <v>710.803</v>
      </c>
      <c r="F20" s="225">
        <f>SUM(F21:F21)</f>
        <v>732.1270900000001</v>
      </c>
      <c r="G20" s="208"/>
    </row>
    <row r="21" spans="2:7" ht="13.5" thickBot="1">
      <c r="B21" s="229" t="s">
        <v>105</v>
      </c>
      <c r="C21" s="230">
        <v>670</v>
      </c>
      <c r="D21" s="230">
        <f>+C21*1.03</f>
        <v>690.1</v>
      </c>
      <c r="E21" s="230">
        <f>+D21*1.03</f>
        <v>710.803</v>
      </c>
      <c r="F21" s="230">
        <f>+E21*1.03</f>
        <v>732.1270900000001</v>
      </c>
      <c r="G21" s="208"/>
    </row>
    <row r="22" spans="2:7" ht="13.5" thickBot="1">
      <c r="B22" s="222" t="s">
        <v>106</v>
      </c>
      <c r="C22" s="223">
        <f>SUM(C23:C25)</f>
        <v>1046.9</v>
      </c>
      <c r="D22" s="223">
        <f>SUM(D23:D25)</f>
        <v>1078.307</v>
      </c>
      <c r="E22" s="223">
        <f>SUM(E23:E25)</f>
        <v>1110.65621</v>
      </c>
      <c r="F22" s="223">
        <f>SUM(F23:F25)</f>
        <v>1143.9758963</v>
      </c>
      <c r="G22" s="208"/>
    </row>
    <row r="23" spans="2:7" ht="13.5" thickBot="1">
      <c r="B23" s="229" t="s">
        <v>107</v>
      </c>
      <c r="C23" s="230">
        <v>41.6</v>
      </c>
      <c r="D23" s="230">
        <f aca="true" t="shared" si="2" ref="D23:F26">+C23*1.03</f>
        <v>42.848000000000006</v>
      </c>
      <c r="E23" s="230">
        <f t="shared" si="2"/>
        <v>44.13344000000001</v>
      </c>
      <c r="F23" s="230">
        <f t="shared" si="2"/>
        <v>45.45744320000001</v>
      </c>
      <c r="G23" s="208"/>
    </row>
    <row r="24" spans="2:7" ht="13.5" thickBot="1">
      <c r="B24" s="229" t="s">
        <v>108</v>
      </c>
      <c r="C24" s="230">
        <v>31.2</v>
      </c>
      <c r="D24" s="230">
        <f t="shared" si="2"/>
        <v>32.136</v>
      </c>
      <c r="E24" s="230">
        <f t="shared" si="2"/>
        <v>33.100080000000005</v>
      </c>
      <c r="F24" s="230">
        <f t="shared" si="2"/>
        <v>34.09308240000001</v>
      </c>
      <c r="G24" s="208"/>
    </row>
    <row r="25" spans="2:7" ht="13.5" thickBot="1">
      <c r="B25" s="229" t="s">
        <v>109</v>
      </c>
      <c r="C25" s="230">
        <v>974.1</v>
      </c>
      <c r="D25" s="230">
        <f t="shared" si="2"/>
        <v>1003.3230000000001</v>
      </c>
      <c r="E25" s="230">
        <f t="shared" si="2"/>
        <v>1033.42269</v>
      </c>
      <c r="F25" s="230">
        <f t="shared" si="2"/>
        <v>1064.4253707</v>
      </c>
      <c r="G25" s="208"/>
    </row>
    <row r="26" spans="2:7" ht="13.5" thickBot="1">
      <c r="B26" s="232" t="s">
        <v>110</v>
      </c>
      <c r="C26" s="233">
        <v>52.5</v>
      </c>
      <c r="D26" s="233">
        <f t="shared" si="2"/>
        <v>54.075</v>
      </c>
      <c r="E26" s="233">
        <f t="shared" si="2"/>
        <v>55.697250000000004</v>
      </c>
      <c r="F26" s="233">
        <f t="shared" si="2"/>
        <v>57.368167500000006</v>
      </c>
      <c r="G26" s="208"/>
    </row>
    <row r="27" spans="2:7" ht="13.5" thickBot="1">
      <c r="B27" s="222" t="s">
        <v>111</v>
      </c>
      <c r="C27" s="223">
        <v>1903</v>
      </c>
      <c r="D27" s="223">
        <f>+C27*1.03</f>
        <v>1960.0900000000001</v>
      </c>
      <c r="E27" s="223">
        <f>+D27*1.03</f>
        <v>2018.8927</v>
      </c>
      <c r="F27" s="223">
        <f>+E27*1.03</f>
        <v>2079.4594810000003</v>
      </c>
      <c r="G27" s="208"/>
    </row>
    <row r="28" spans="2:7" ht="13.5" thickBot="1">
      <c r="B28" s="222" t="s">
        <v>112</v>
      </c>
      <c r="C28" s="234">
        <f>SUM(C29)</f>
        <v>212</v>
      </c>
      <c r="D28" s="223">
        <f>SUM(D29)</f>
        <v>218.36</v>
      </c>
      <c r="E28" s="223">
        <f>SUM(E29)</f>
        <v>224.91080000000002</v>
      </c>
      <c r="F28" s="223">
        <f>SUM(F29)</f>
        <v>231.65812400000004</v>
      </c>
      <c r="G28" s="208"/>
    </row>
    <row r="29" spans="2:7" ht="13.5" thickBot="1">
      <c r="B29" s="229" t="s">
        <v>113</v>
      </c>
      <c r="C29" s="235">
        <v>212</v>
      </c>
      <c r="D29" s="230">
        <f aca="true" t="shared" si="3" ref="D29:F31">+C29*1.03</f>
        <v>218.36</v>
      </c>
      <c r="E29" s="230">
        <f t="shared" si="3"/>
        <v>224.91080000000002</v>
      </c>
      <c r="F29" s="230">
        <f t="shared" si="3"/>
        <v>231.65812400000004</v>
      </c>
      <c r="G29" s="208"/>
    </row>
    <row r="30" spans="2:7" ht="13.5" thickBot="1">
      <c r="B30" s="222" t="s">
        <v>59</v>
      </c>
      <c r="C30" s="223">
        <v>30</v>
      </c>
      <c r="D30" s="223">
        <f t="shared" si="3"/>
        <v>30.900000000000002</v>
      </c>
      <c r="E30" s="223">
        <f t="shared" si="3"/>
        <v>31.827</v>
      </c>
      <c r="F30" s="223">
        <f t="shared" si="3"/>
        <v>32.78181</v>
      </c>
      <c r="G30" s="208"/>
    </row>
    <row r="31" spans="2:7" ht="13.5" thickBot="1">
      <c r="B31" s="222" t="s">
        <v>114</v>
      </c>
      <c r="C31" s="223">
        <v>370</v>
      </c>
      <c r="D31" s="223">
        <f t="shared" si="3"/>
        <v>381.1</v>
      </c>
      <c r="E31" s="223">
        <f t="shared" si="3"/>
        <v>392.533</v>
      </c>
      <c r="F31" s="223">
        <f t="shared" si="3"/>
        <v>404.30899000000005</v>
      </c>
      <c r="G31" s="208"/>
    </row>
    <row r="32" spans="2:7" ht="13.5" thickBot="1">
      <c r="B32" s="236" t="s">
        <v>57</v>
      </c>
      <c r="C32" s="237">
        <f>SUM(C10+C11+C27+C28+C30+C31)</f>
        <v>9995.4</v>
      </c>
      <c r="D32" s="237">
        <f>SUM(D10+D11+D27+D28+D30+D31)</f>
        <v>10295.262</v>
      </c>
      <c r="E32" s="237">
        <f>SUM(E10+E11+E27+E28+E30+E31)</f>
        <v>10604.119859999999</v>
      </c>
      <c r="F32" s="237">
        <f>SUM(F10+F11+F27+F28+F30+F31)</f>
        <v>10922.2434558</v>
      </c>
      <c r="G32" s="208"/>
    </row>
    <row r="33" spans="2:12" ht="52.5" customHeight="1" thickBot="1">
      <c r="B33" s="238" t="s">
        <v>115</v>
      </c>
      <c r="C33" s="239"/>
      <c r="D33" s="239"/>
      <c r="E33" s="239"/>
      <c r="F33" s="239"/>
      <c r="G33" s="208"/>
      <c r="J33" s="263" t="s">
        <v>116</v>
      </c>
      <c r="K33" s="263"/>
      <c r="L33" s="263"/>
    </row>
    <row r="34" spans="2:11" ht="14.25" thickBot="1">
      <c r="B34" s="224" t="s">
        <v>90</v>
      </c>
      <c r="C34" s="225">
        <v>2012</v>
      </c>
      <c r="D34" s="225">
        <v>2013</v>
      </c>
      <c r="E34" s="225">
        <v>2014</v>
      </c>
      <c r="F34" s="225">
        <v>2015</v>
      </c>
      <c r="G34" s="208"/>
      <c r="J34" s="209"/>
      <c r="K34" s="209"/>
    </row>
    <row r="35" spans="2:12" ht="13.5" thickBot="1">
      <c r="B35" s="220" t="s">
        <v>1</v>
      </c>
      <c r="C35" s="221">
        <f>2179</f>
        <v>2179</v>
      </c>
      <c r="D35" s="221">
        <f>+C35*1.03</f>
        <v>2244.37</v>
      </c>
      <c r="E35" s="221">
        <f>+D35*1.03</f>
        <v>2311.7010999999998</v>
      </c>
      <c r="F35" s="221">
        <f>+E35*1.03</f>
        <v>2381.0521329999997</v>
      </c>
      <c r="G35" s="226"/>
      <c r="I35" s="240"/>
      <c r="J35" s="210" t="s">
        <v>83</v>
      </c>
      <c r="K35" s="211" t="s">
        <v>84</v>
      </c>
      <c r="L35" s="212" t="s">
        <v>85</v>
      </c>
    </row>
    <row r="36" spans="2:12" ht="18" thickBot="1">
      <c r="B36" s="222" t="s">
        <v>93</v>
      </c>
      <c r="C36" s="223">
        <f>+C37+C40+C45+C47+C51</f>
        <v>0</v>
      </c>
      <c r="D36" s="223">
        <f>SUM(D37+D40+D45+D47+D51)</f>
        <v>0</v>
      </c>
      <c r="E36" s="223">
        <f>SUM(E37+E40+E45+E47+E51)</f>
        <v>0</v>
      </c>
      <c r="F36" s="223">
        <f>SUM(F37+F40+F45+F47+F51)</f>
        <v>0</v>
      </c>
      <c r="G36" s="208"/>
      <c r="J36" s="214" t="s">
        <v>87</v>
      </c>
      <c r="K36" s="215">
        <f>D31</f>
        <v>381.1</v>
      </c>
      <c r="L36" s="261">
        <f>+K36/K41</f>
        <v>0.04865604123928252</v>
      </c>
    </row>
    <row r="37" spans="2:12" ht="18" thickBot="1">
      <c r="B37" s="224" t="s">
        <v>95</v>
      </c>
      <c r="C37" s="225">
        <f>SUM(C38:C39)</f>
        <v>0</v>
      </c>
      <c r="D37" s="225">
        <f>SUM(D38:D39)</f>
        <v>0</v>
      </c>
      <c r="E37" s="225">
        <f>SUM(E38:E39)</f>
        <v>0</v>
      </c>
      <c r="F37" s="225">
        <f>SUM(F38:F39)</f>
        <v>0</v>
      </c>
      <c r="G37" s="240"/>
      <c r="H37" s="208"/>
      <c r="J37" s="216" t="s">
        <v>89</v>
      </c>
      <c r="K37" s="215">
        <f>D11</f>
        <v>4508.722</v>
      </c>
      <c r="L37" s="261">
        <f>+K37/K41</f>
        <v>0.5756404187049602</v>
      </c>
    </row>
    <row r="38" spans="2:12" ht="18" thickBot="1">
      <c r="B38" s="229" t="s">
        <v>97</v>
      </c>
      <c r="C38" s="230">
        <v>0</v>
      </c>
      <c r="D38" s="230">
        <f aca="true" t="shared" si="4" ref="D38:F39">+C38*1.03</f>
        <v>0</v>
      </c>
      <c r="E38" s="230">
        <f t="shared" si="4"/>
        <v>0</v>
      </c>
      <c r="F38" s="230">
        <f t="shared" si="4"/>
        <v>0</v>
      </c>
      <c r="G38" s="208"/>
      <c r="J38" s="216" t="s">
        <v>91</v>
      </c>
      <c r="K38" s="215">
        <f>D27</f>
        <v>1960.0900000000001</v>
      </c>
      <c r="L38" s="261">
        <f>+K38/K41</f>
        <v>0.2502498553469044</v>
      </c>
    </row>
    <row r="39" spans="2:12" ht="18" thickBot="1">
      <c r="B39" s="229" t="s">
        <v>98</v>
      </c>
      <c r="C39" s="230">
        <v>0</v>
      </c>
      <c r="D39" s="230">
        <f t="shared" si="4"/>
        <v>0</v>
      </c>
      <c r="E39" s="230">
        <f t="shared" si="4"/>
        <v>0</v>
      </c>
      <c r="F39" s="230">
        <f t="shared" si="4"/>
        <v>0</v>
      </c>
      <c r="G39" s="208"/>
      <c r="J39" s="216" t="s">
        <v>92</v>
      </c>
      <c r="K39" s="215">
        <f>D59</f>
        <v>951.7200000000003</v>
      </c>
      <c r="L39" s="261">
        <f>+K39/K41</f>
        <v>0.12150860028404611</v>
      </c>
    </row>
    <row r="40" spans="2:12" ht="18" thickBot="1">
      <c r="B40" s="224" t="s">
        <v>99</v>
      </c>
      <c r="C40" s="225">
        <f>SUM(C41:C44)</f>
        <v>0</v>
      </c>
      <c r="D40" s="225">
        <f>SUM(D41:D44)</f>
        <v>0</v>
      </c>
      <c r="E40" s="225">
        <f>SUM(E41:E44)</f>
        <v>0</v>
      </c>
      <c r="F40" s="225">
        <f>SUM(F41:F44)</f>
        <v>0</v>
      </c>
      <c r="G40" s="208"/>
      <c r="J40" s="216" t="s">
        <v>94</v>
      </c>
      <c r="K40" s="215">
        <f>D30</f>
        <v>30.900000000000002</v>
      </c>
      <c r="L40" s="261">
        <f>+K40/K41</f>
        <v>0.003945084424806691</v>
      </c>
    </row>
    <row r="41" spans="2:12" ht="15.75" thickBot="1">
      <c r="B41" s="229" t="s">
        <v>100</v>
      </c>
      <c r="C41" s="230">
        <v>0</v>
      </c>
      <c r="D41" s="230">
        <f aca="true" t="shared" si="5" ref="D41:F44">+C41*1.03</f>
        <v>0</v>
      </c>
      <c r="E41" s="230">
        <f t="shared" si="5"/>
        <v>0</v>
      </c>
      <c r="F41" s="230">
        <f t="shared" si="5"/>
        <v>0</v>
      </c>
      <c r="G41" s="208"/>
      <c r="J41" s="227" t="s">
        <v>96</v>
      </c>
      <c r="K41" s="228">
        <f>SUM(K36:K40)</f>
        <v>7832.532</v>
      </c>
      <c r="L41" s="262">
        <f>SUM(L36:L40)</f>
        <v>0.9999999999999998</v>
      </c>
    </row>
    <row r="42" spans="2:7" ht="13.5" thickBot="1">
      <c r="B42" s="229" t="s">
        <v>101</v>
      </c>
      <c r="C42" s="230">
        <v>0</v>
      </c>
      <c r="D42" s="230">
        <f t="shared" si="5"/>
        <v>0</v>
      </c>
      <c r="E42" s="230">
        <f t="shared" si="5"/>
        <v>0</v>
      </c>
      <c r="F42" s="230">
        <f t="shared" si="5"/>
        <v>0</v>
      </c>
      <c r="G42" s="208"/>
    </row>
    <row r="43" spans="2:7" ht="13.5" thickBot="1">
      <c r="B43" s="229" t="s">
        <v>102</v>
      </c>
      <c r="C43" s="230">
        <v>0</v>
      </c>
      <c r="D43" s="230">
        <f t="shared" si="5"/>
        <v>0</v>
      </c>
      <c r="E43" s="230">
        <f t="shared" si="5"/>
        <v>0</v>
      </c>
      <c r="F43" s="230">
        <f t="shared" si="5"/>
        <v>0</v>
      </c>
      <c r="G43" s="208"/>
    </row>
    <row r="44" spans="2:7" ht="13.5" thickBot="1">
      <c r="B44" s="229" t="s">
        <v>103</v>
      </c>
      <c r="C44" s="230">
        <v>0</v>
      </c>
      <c r="D44" s="230">
        <f t="shared" si="5"/>
        <v>0</v>
      </c>
      <c r="E44" s="230">
        <f t="shared" si="5"/>
        <v>0</v>
      </c>
      <c r="F44" s="230">
        <f t="shared" si="5"/>
        <v>0</v>
      </c>
      <c r="G44" s="208"/>
    </row>
    <row r="45" spans="2:7" ht="13.5" thickBot="1">
      <c r="B45" s="222" t="s">
        <v>104</v>
      </c>
      <c r="C45" s="223">
        <f>SUM(C46:C46)</f>
        <v>0</v>
      </c>
      <c r="D45" s="223">
        <f>SUM(D46:D46)</f>
        <v>0</v>
      </c>
      <c r="E45" s="223">
        <f>SUM(E46:E46)</f>
        <v>0</v>
      </c>
      <c r="F45" s="223">
        <f>SUM(F46:F46)</f>
        <v>0</v>
      </c>
      <c r="G45" s="208"/>
    </row>
    <row r="46" spans="2:7" ht="13.5" thickBot="1">
      <c r="B46" s="229" t="s">
        <v>105</v>
      </c>
      <c r="C46" s="230">
        <v>0</v>
      </c>
      <c r="D46" s="230">
        <f>+C46*1.03</f>
        <v>0</v>
      </c>
      <c r="E46" s="230">
        <f>+D46*1.03</f>
        <v>0</v>
      </c>
      <c r="F46" s="230">
        <f>+E46*1.03</f>
        <v>0</v>
      </c>
      <c r="G46" s="208"/>
    </row>
    <row r="47" spans="2:7" ht="13.5" thickBot="1">
      <c r="B47" s="222" t="s">
        <v>106</v>
      </c>
      <c r="C47" s="223">
        <f>SUM(C48:C50)</f>
        <v>0</v>
      </c>
      <c r="D47" s="223">
        <f>SUM(D48:D50)</f>
        <v>0</v>
      </c>
      <c r="E47" s="223">
        <f>SUM(E48:E50)</f>
        <v>0</v>
      </c>
      <c r="F47" s="223">
        <f>SUM(F48:F50)</f>
        <v>0</v>
      </c>
      <c r="G47" s="208"/>
    </row>
    <row r="48" spans="2:7" ht="13.5" thickBot="1">
      <c r="B48" s="229" t="s">
        <v>107</v>
      </c>
      <c r="C48" s="230">
        <v>0</v>
      </c>
      <c r="D48" s="230">
        <f aca="true" t="shared" si="6" ref="D48:F52">+C48*1.03</f>
        <v>0</v>
      </c>
      <c r="E48" s="230">
        <f t="shared" si="6"/>
        <v>0</v>
      </c>
      <c r="F48" s="230">
        <f t="shared" si="6"/>
        <v>0</v>
      </c>
      <c r="G48" s="208"/>
    </row>
    <row r="49" spans="2:7" ht="13.5" thickBot="1">
      <c r="B49" s="229" t="s">
        <v>108</v>
      </c>
      <c r="C49" s="230">
        <v>0</v>
      </c>
      <c r="D49" s="230">
        <f t="shared" si="6"/>
        <v>0</v>
      </c>
      <c r="E49" s="230">
        <f t="shared" si="6"/>
        <v>0</v>
      </c>
      <c r="F49" s="230">
        <f t="shared" si="6"/>
        <v>0</v>
      </c>
      <c r="G49" s="208"/>
    </row>
    <row r="50" spans="2:7" ht="13.5" thickBot="1">
      <c r="B50" s="229" t="s">
        <v>109</v>
      </c>
      <c r="C50" s="230">
        <v>0</v>
      </c>
      <c r="D50" s="230">
        <f t="shared" si="6"/>
        <v>0</v>
      </c>
      <c r="E50" s="230">
        <f t="shared" si="6"/>
        <v>0</v>
      </c>
      <c r="F50" s="230">
        <f t="shared" si="6"/>
        <v>0</v>
      </c>
      <c r="G50" s="208"/>
    </row>
    <row r="51" spans="2:7" ht="13.5" thickBot="1">
      <c r="B51" s="232" t="s">
        <v>110</v>
      </c>
      <c r="C51" s="241">
        <v>0</v>
      </c>
      <c r="D51" s="241">
        <f t="shared" si="6"/>
        <v>0</v>
      </c>
      <c r="E51" s="241">
        <f t="shared" si="6"/>
        <v>0</v>
      </c>
      <c r="F51" s="241">
        <f t="shared" si="6"/>
        <v>0</v>
      </c>
      <c r="G51" s="208"/>
    </row>
    <row r="52" spans="2:7" ht="13.5" thickBot="1">
      <c r="B52" s="222" t="s">
        <v>117</v>
      </c>
      <c r="C52" s="223">
        <v>0</v>
      </c>
      <c r="D52" s="223">
        <f t="shared" si="6"/>
        <v>0</v>
      </c>
      <c r="E52" s="223">
        <f t="shared" si="6"/>
        <v>0</v>
      </c>
      <c r="F52" s="223">
        <f t="shared" si="6"/>
        <v>0</v>
      </c>
      <c r="G52" s="208"/>
    </row>
    <row r="53" spans="2:7" ht="13.5" thickBot="1">
      <c r="B53" s="222" t="s">
        <v>112</v>
      </c>
      <c r="C53" s="234">
        <f>SUM(C54)</f>
        <v>212</v>
      </c>
      <c r="D53" s="223">
        <f>SUM(D54)</f>
        <v>218.36</v>
      </c>
      <c r="E53" s="223">
        <f>SUM(E54)</f>
        <v>224.91080000000002</v>
      </c>
      <c r="F53" s="223">
        <f>SUM(F54)</f>
        <v>231.65812400000004</v>
      </c>
      <c r="G53" s="208"/>
    </row>
    <row r="54" spans="2:7" ht="13.5" thickBot="1">
      <c r="B54" s="229" t="s">
        <v>113</v>
      </c>
      <c r="C54" s="235">
        <v>212</v>
      </c>
      <c r="D54" s="230">
        <f>+C54*1.03</f>
        <v>218.36</v>
      </c>
      <c r="E54" s="230">
        <f>+D54*1.03</f>
        <v>224.91080000000002</v>
      </c>
      <c r="F54" s="230">
        <f>+E54*1.03</f>
        <v>231.65812400000004</v>
      </c>
      <c r="G54" s="208"/>
    </row>
    <row r="55" spans="2:7" ht="13.5" thickBot="1">
      <c r="B55" s="222" t="s">
        <v>59</v>
      </c>
      <c r="C55" s="234">
        <v>0</v>
      </c>
      <c r="D55" s="223">
        <f>+C55*1.045</f>
        <v>0</v>
      </c>
      <c r="E55" s="223">
        <f>+D55*1.045</f>
        <v>0</v>
      </c>
      <c r="F55" s="223">
        <f>+E55*1.045</f>
        <v>0</v>
      </c>
      <c r="G55" s="208"/>
    </row>
    <row r="56" spans="2:7" ht="13.5" thickBot="1">
      <c r="B56" s="236" t="s">
        <v>57</v>
      </c>
      <c r="C56" s="237">
        <f>SUM(C35+C36+C52+C53+C55)</f>
        <v>2391</v>
      </c>
      <c r="D56" s="237">
        <f>SUM(D35+D36+D52+D53+D55)</f>
        <v>2462.73</v>
      </c>
      <c r="E56" s="237">
        <f>SUM(E35+E36+E52+E53+E55)</f>
        <v>2536.6119</v>
      </c>
      <c r="F56" s="237">
        <f>SUM(F35+F36+F52+F53+F55)</f>
        <v>2612.7102569999997</v>
      </c>
      <c r="G56" s="208"/>
    </row>
    <row r="57" spans="2:7" ht="35.25" customHeight="1" thickBot="1">
      <c r="B57" s="238" t="s">
        <v>118</v>
      </c>
      <c r="C57" s="239"/>
      <c r="D57" s="239"/>
      <c r="E57" s="239"/>
      <c r="F57" s="239"/>
      <c r="G57" s="208"/>
    </row>
    <row r="58" spans="2:7" ht="13.5" thickBot="1">
      <c r="B58" s="224" t="s">
        <v>90</v>
      </c>
      <c r="C58" s="225">
        <v>2012</v>
      </c>
      <c r="D58" s="225">
        <v>2013</v>
      </c>
      <c r="E58" s="225">
        <v>2014</v>
      </c>
      <c r="F58" s="225">
        <v>2015</v>
      </c>
      <c r="G58" s="208"/>
    </row>
    <row r="59" spans="2:7" ht="13.5" thickBot="1">
      <c r="B59" s="220" t="s">
        <v>1</v>
      </c>
      <c r="C59" s="221">
        <f>+C10-C35</f>
        <v>924</v>
      </c>
      <c r="D59" s="221">
        <f>+D10-D35</f>
        <v>951.7200000000003</v>
      </c>
      <c r="E59" s="221">
        <f>+E10-E35</f>
        <v>980.2716000000005</v>
      </c>
      <c r="F59" s="221">
        <f>+F10-F35</f>
        <v>1009.6797480000005</v>
      </c>
      <c r="G59" s="208"/>
    </row>
    <row r="60" spans="2:12" ht="13.5" thickBot="1">
      <c r="B60" s="222" t="s">
        <v>93</v>
      </c>
      <c r="C60" s="223">
        <f>+C61+C64+C69+C71+C75</f>
        <v>4377.4</v>
      </c>
      <c r="D60" s="223">
        <f>SUM(D61+D64+D69+D71+D75)</f>
        <v>4508.722</v>
      </c>
      <c r="E60" s="223">
        <f>SUM(E61+E64+E69+E71+E75)</f>
        <v>4643.98366</v>
      </c>
      <c r="F60" s="223">
        <f>SUM(F61+F64+F69+F71+F75)</f>
        <v>4783.3031698</v>
      </c>
      <c r="G60" s="208"/>
      <c r="J60" s="263" t="s">
        <v>119</v>
      </c>
      <c r="K60" s="263"/>
      <c r="L60" s="263"/>
    </row>
    <row r="61" spans="2:11" ht="14.25" thickBot="1">
      <c r="B61" s="222" t="s">
        <v>95</v>
      </c>
      <c r="C61" s="223">
        <f>SUM(C62:C63)</f>
        <v>541.2</v>
      </c>
      <c r="D61" s="223">
        <f>SUM(D62:D63)</f>
        <v>557.4359999999999</v>
      </c>
      <c r="E61" s="223">
        <f>SUM(E62:E63)</f>
        <v>574.15908</v>
      </c>
      <c r="F61" s="223">
        <f>SUM(F62:F63)</f>
        <v>591.3838524</v>
      </c>
      <c r="G61" s="208"/>
      <c r="J61" s="209"/>
      <c r="K61" s="209"/>
    </row>
    <row r="62" spans="2:12" ht="13.5" thickBot="1">
      <c r="B62" s="229" t="s">
        <v>97</v>
      </c>
      <c r="C62" s="230">
        <f>+C13-C38</f>
        <v>277.8</v>
      </c>
      <c r="D62" s="230">
        <f aca="true" t="shared" si="7" ref="D62:F63">+C62*1.03</f>
        <v>286.134</v>
      </c>
      <c r="E62" s="230">
        <f t="shared" si="7"/>
        <v>294.71802</v>
      </c>
      <c r="F62" s="230">
        <f t="shared" si="7"/>
        <v>303.55956060000005</v>
      </c>
      <c r="G62" s="208"/>
      <c r="J62" s="210" t="s">
        <v>83</v>
      </c>
      <c r="K62" s="211" t="s">
        <v>120</v>
      </c>
      <c r="L62" s="212" t="s">
        <v>85</v>
      </c>
    </row>
    <row r="63" spans="2:12" ht="18" thickBot="1">
      <c r="B63" s="229" t="s">
        <v>98</v>
      </c>
      <c r="C63" s="230">
        <f>+C14-C39</f>
        <v>263.4</v>
      </c>
      <c r="D63" s="230">
        <f t="shared" si="7"/>
        <v>271.30199999999996</v>
      </c>
      <c r="E63" s="230">
        <f t="shared" si="7"/>
        <v>279.44106</v>
      </c>
      <c r="F63" s="230">
        <f t="shared" si="7"/>
        <v>287.8242918</v>
      </c>
      <c r="G63" s="208"/>
      <c r="J63" s="214" t="s">
        <v>87</v>
      </c>
      <c r="K63" s="215">
        <f>E31</f>
        <v>392.533</v>
      </c>
      <c r="L63" s="261">
        <f>+K63/K68</f>
        <v>0.048656041239282515</v>
      </c>
    </row>
    <row r="64" spans="2:12" ht="18" thickBot="1">
      <c r="B64" s="222" t="s">
        <v>99</v>
      </c>
      <c r="C64" s="223">
        <f>SUM(C65:C68)</f>
        <v>2066.8</v>
      </c>
      <c r="D64" s="223">
        <f>SUM(D65:D68)</f>
        <v>2128.804</v>
      </c>
      <c r="E64" s="223">
        <f>SUM(E65:E68)</f>
        <v>2192.66812</v>
      </c>
      <c r="F64" s="223">
        <f>SUM(F65:F68)</f>
        <v>2258.4481636</v>
      </c>
      <c r="G64" s="208"/>
      <c r="J64" s="216" t="s">
        <v>89</v>
      </c>
      <c r="K64" s="215">
        <f>E11</f>
        <v>4643.98366</v>
      </c>
      <c r="L64" s="261">
        <f>+K64/K68</f>
        <v>0.5756404187049602</v>
      </c>
    </row>
    <row r="65" spans="2:12" ht="18" thickBot="1">
      <c r="B65" s="229" t="s">
        <v>100</v>
      </c>
      <c r="C65" s="230">
        <f>+C16-C41</f>
        <v>1947.7</v>
      </c>
      <c r="D65" s="230">
        <f aca="true" t="shared" si="8" ref="D65:F68">+C65*1.03</f>
        <v>2006.131</v>
      </c>
      <c r="E65" s="230">
        <f t="shared" si="8"/>
        <v>2066.31493</v>
      </c>
      <c r="F65" s="230">
        <f t="shared" si="8"/>
        <v>2128.3043779</v>
      </c>
      <c r="G65" s="208"/>
      <c r="J65" s="216" t="s">
        <v>91</v>
      </c>
      <c r="K65" s="215">
        <f>E27</f>
        <v>2018.8927</v>
      </c>
      <c r="L65" s="261">
        <f>+K65/K68</f>
        <v>0.25024985534690436</v>
      </c>
    </row>
    <row r="66" spans="2:12" ht="18" thickBot="1">
      <c r="B66" s="229" t="s">
        <v>101</v>
      </c>
      <c r="C66" s="230">
        <f>+C17-C42</f>
        <v>119.1</v>
      </c>
      <c r="D66" s="230">
        <f t="shared" si="8"/>
        <v>122.673</v>
      </c>
      <c r="E66" s="230">
        <f t="shared" si="8"/>
        <v>126.35319000000001</v>
      </c>
      <c r="F66" s="230">
        <f t="shared" si="8"/>
        <v>130.14378570000002</v>
      </c>
      <c r="G66" s="208"/>
      <c r="J66" s="216" t="s">
        <v>92</v>
      </c>
      <c r="K66" s="215">
        <f>E59</f>
        <v>980.2716000000005</v>
      </c>
      <c r="L66" s="261">
        <f>+K66/K68</f>
        <v>0.12150860028404611</v>
      </c>
    </row>
    <row r="67" spans="2:12" ht="18" thickBot="1">
      <c r="B67" s="229" t="s">
        <v>102</v>
      </c>
      <c r="C67" s="230">
        <f>+C18-C43</f>
        <v>0</v>
      </c>
      <c r="D67" s="230">
        <f t="shared" si="8"/>
        <v>0</v>
      </c>
      <c r="E67" s="230">
        <f t="shared" si="8"/>
        <v>0</v>
      </c>
      <c r="F67" s="230">
        <f t="shared" si="8"/>
        <v>0</v>
      </c>
      <c r="G67" s="208"/>
      <c r="J67" s="216" t="s">
        <v>94</v>
      </c>
      <c r="K67" s="215">
        <f>E79</f>
        <v>31.827</v>
      </c>
      <c r="L67" s="261">
        <f>+K67/K68</f>
        <v>0.0039450844248066904</v>
      </c>
    </row>
    <row r="68" spans="2:12" ht="15.75" thickBot="1">
      <c r="B68" s="229" t="s">
        <v>103</v>
      </c>
      <c r="C68" s="230">
        <f>+C19-C44</f>
        <v>0</v>
      </c>
      <c r="D68" s="230">
        <f t="shared" si="8"/>
        <v>0</v>
      </c>
      <c r="E68" s="230">
        <f t="shared" si="8"/>
        <v>0</v>
      </c>
      <c r="F68" s="230">
        <f t="shared" si="8"/>
        <v>0</v>
      </c>
      <c r="G68" s="208"/>
      <c r="J68" s="227" t="s">
        <v>96</v>
      </c>
      <c r="K68" s="228">
        <f>SUM(K63:K67)</f>
        <v>8067.507960000002</v>
      </c>
      <c r="L68" s="262">
        <f>SUM(L63:L67)</f>
        <v>0.9999999999999998</v>
      </c>
    </row>
    <row r="69" spans="2:7" ht="13.5" thickBot="1">
      <c r="B69" s="222" t="s">
        <v>104</v>
      </c>
      <c r="C69" s="223">
        <f>SUM(C70:C70)</f>
        <v>670</v>
      </c>
      <c r="D69" s="223">
        <f>SUM(D70:D70)</f>
        <v>690.1</v>
      </c>
      <c r="E69" s="223">
        <f>SUM(E70:E70)</f>
        <v>710.803</v>
      </c>
      <c r="F69" s="223">
        <f>SUM(F70:F70)</f>
        <v>732.1270900000001</v>
      </c>
      <c r="G69" s="208"/>
    </row>
    <row r="70" spans="2:7" ht="13.5" thickBot="1">
      <c r="B70" s="229" t="s">
        <v>105</v>
      </c>
      <c r="C70" s="230">
        <f>+C21-C46</f>
        <v>670</v>
      </c>
      <c r="D70" s="230">
        <f>+C70*1.03</f>
        <v>690.1</v>
      </c>
      <c r="E70" s="230">
        <f>+D70*1.03</f>
        <v>710.803</v>
      </c>
      <c r="F70" s="230">
        <f>+E70*1.03</f>
        <v>732.1270900000001</v>
      </c>
      <c r="G70" s="208"/>
    </row>
    <row r="71" spans="2:7" ht="13.5" thickBot="1">
      <c r="B71" s="222" t="s">
        <v>106</v>
      </c>
      <c r="C71" s="223">
        <f>SUM(C72:C74)</f>
        <v>1046.9</v>
      </c>
      <c r="D71" s="223">
        <f>SUM(D72:D74)</f>
        <v>1078.307</v>
      </c>
      <c r="E71" s="223">
        <f>SUM(E72:E74)</f>
        <v>1110.65621</v>
      </c>
      <c r="F71" s="223">
        <f>SUM(F72:F74)</f>
        <v>1143.9758963</v>
      </c>
      <c r="G71" s="208"/>
    </row>
    <row r="72" spans="2:7" ht="13.5" thickBot="1">
      <c r="B72" s="229" t="s">
        <v>107</v>
      </c>
      <c r="C72" s="230">
        <f>+C23-C48</f>
        <v>41.6</v>
      </c>
      <c r="D72" s="230">
        <f aca="true" t="shared" si="9" ref="D72:F76">+C72*1.03</f>
        <v>42.848000000000006</v>
      </c>
      <c r="E72" s="230">
        <f t="shared" si="9"/>
        <v>44.13344000000001</v>
      </c>
      <c r="F72" s="230">
        <f t="shared" si="9"/>
        <v>45.45744320000001</v>
      </c>
      <c r="G72" s="208"/>
    </row>
    <row r="73" spans="2:7" ht="13.5" thickBot="1">
      <c r="B73" s="229" t="s">
        <v>108</v>
      </c>
      <c r="C73" s="230">
        <f>+C24-C49</f>
        <v>31.2</v>
      </c>
      <c r="D73" s="230">
        <f t="shared" si="9"/>
        <v>32.136</v>
      </c>
      <c r="E73" s="230">
        <f t="shared" si="9"/>
        <v>33.100080000000005</v>
      </c>
      <c r="F73" s="230">
        <f t="shared" si="9"/>
        <v>34.09308240000001</v>
      </c>
      <c r="G73" s="208"/>
    </row>
    <row r="74" spans="2:7" ht="13.5" thickBot="1">
      <c r="B74" s="229" t="s">
        <v>109</v>
      </c>
      <c r="C74" s="230">
        <f>+C25-C50</f>
        <v>974.1</v>
      </c>
      <c r="D74" s="230">
        <f>+C74*1.03</f>
        <v>1003.3230000000001</v>
      </c>
      <c r="E74" s="230">
        <f t="shared" si="9"/>
        <v>1033.42269</v>
      </c>
      <c r="F74" s="230">
        <f t="shared" si="9"/>
        <v>1064.4253707</v>
      </c>
      <c r="G74" s="208"/>
    </row>
    <row r="75" spans="2:7" ht="13.5" thickBot="1">
      <c r="B75" s="232" t="s">
        <v>110</v>
      </c>
      <c r="C75" s="241">
        <v>52.5</v>
      </c>
      <c r="D75" s="241">
        <f t="shared" si="9"/>
        <v>54.075</v>
      </c>
      <c r="E75" s="241">
        <f t="shared" si="9"/>
        <v>55.697250000000004</v>
      </c>
      <c r="F75" s="241">
        <f t="shared" si="9"/>
        <v>57.368167500000006</v>
      </c>
      <c r="G75" s="208"/>
    </row>
    <row r="76" spans="2:7" ht="13.5" thickBot="1">
      <c r="B76" s="222" t="s">
        <v>117</v>
      </c>
      <c r="C76" s="223">
        <f>+C27-C52</f>
        <v>1903</v>
      </c>
      <c r="D76" s="223">
        <f t="shared" si="9"/>
        <v>1960.0900000000001</v>
      </c>
      <c r="E76" s="223">
        <f t="shared" si="9"/>
        <v>2018.8927</v>
      </c>
      <c r="F76" s="223">
        <f t="shared" si="9"/>
        <v>2079.4594810000003</v>
      </c>
      <c r="G76" s="208"/>
    </row>
    <row r="77" spans="2:7" ht="13.5" thickBot="1">
      <c r="B77" s="222" t="s">
        <v>112</v>
      </c>
      <c r="C77" s="234">
        <f>SUM(C78)</f>
        <v>0</v>
      </c>
      <c r="D77" s="223">
        <f>SUM(D78)</f>
        <v>0</v>
      </c>
      <c r="E77" s="223">
        <f>SUM(E78)</f>
        <v>0</v>
      </c>
      <c r="F77" s="223">
        <f>SUM(F78)</f>
        <v>0</v>
      </c>
      <c r="G77" s="242"/>
    </row>
    <row r="78" spans="2:7" ht="13.5" thickBot="1">
      <c r="B78" s="229" t="s">
        <v>113</v>
      </c>
      <c r="C78" s="235">
        <f>+C29-C54</f>
        <v>0</v>
      </c>
      <c r="D78" s="230">
        <f aca="true" t="shared" si="10" ref="D78:F80">+C78*1.03</f>
        <v>0</v>
      </c>
      <c r="E78" s="230">
        <f t="shared" si="10"/>
        <v>0</v>
      </c>
      <c r="F78" s="230">
        <f t="shared" si="10"/>
        <v>0</v>
      </c>
      <c r="G78" s="208"/>
    </row>
    <row r="79" spans="2:7" ht="13.5" thickBot="1">
      <c r="B79" s="222" t="s">
        <v>59</v>
      </c>
      <c r="C79" s="234">
        <v>30</v>
      </c>
      <c r="D79" s="223">
        <f t="shared" si="10"/>
        <v>30.900000000000002</v>
      </c>
      <c r="E79" s="223">
        <f t="shared" si="10"/>
        <v>31.827</v>
      </c>
      <c r="F79" s="223">
        <f t="shared" si="10"/>
        <v>32.78181</v>
      </c>
      <c r="G79" s="208"/>
    </row>
    <row r="80" spans="2:7" ht="13.5" thickBot="1">
      <c r="B80" s="222" t="s">
        <v>114</v>
      </c>
      <c r="C80" s="234">
        <v>370</v>
      </c>
      <c r="D80" s="223">
        <f>+C80*1.03</f>
        <v>381.1</v>
      </c>
      <c r="E80" s="223">
        <f t="shared" si="10"/>
        <v>392.533</v>
      </c>
      <c r="F80" s="223">
        <f t="shared" si="10"/>
        <v>404.30899000000005</v>
      </c>
      <c r="G80" s="208"/>
    </row>
    <row r="81" spans="2:7" ht="13.5" thickBot="1">
      <c r="B81" s="236" t="s">
        <v>57</v>
      </c>
      <c r="C81" s="237">
        <f>SUM(C59+C60+C76+C77+C79+C80)</f>
        <v>7604.4</v>
      </c>
      <c r="D81" s="237">
        <f>SUM(D59+D60+D76+D77+D79+D80)</f>
        <v>7832.532</v>
      </c>
      <c r="E81" s="237">
        <f>SUM(E59+E60+E76+E77+E79+E80)</f>
        <v>8067.507960000001</v>
      </c>
      <c r="F81" s="237">
        <f>SUM(F59+F60+F76+F77+F79+F80)</f>
        <v>8309.533198800002</v>
      </c>
      <c r="G81" s="208"/>
    </row>
    <row r="82" spans="3:7" ht="10.5">
      <c r="C82" s="231"/>
      <c r="E82" s="231"/>
      <c r="F82" s="208"/>
      <c r="G82" s="208"/>
    </row>
    <row r="83" spans="2:7" ht="15.75">
      <c r="B83" s="243" t="s">
        <v>121</v>
      </c>
      <c r="D83" s="244">
        <f>+C81+D81+E81+F81</f>
        <v>31813.973158800007</v>
      </c>
      <c r="E83" s="245"/>
      <c r="F83" s="208"/>
      <c r="G83" s="208"/>
    </row>
    <row r="84" spans="6:7" ht="10.5">
      <c r="F84" s="208"/>
      <c r="G84" s="208"/>
    </row>
    <row r="85" spans="6:7" ht="10.5">
      <c r="F85" s="208"/>
      <c r="G85" s="208"/>
    </row>
    <row r="86" spans="6:7" ht="10.5">
      <c r="F86" s="208"/>
      <c r="G86" s="208"/>
    </row>
    <row r="87" spans="6:7" ht="10.5">
      <c r="F87" s="208"/>
      <c r="G87" s="208"/>
    </row>
    <row r="88" spans="6:7" ht="10.5">
      <c r="F88" s="208"/>
      <c r="G88" s="208"/>
    </row>
    <row r="89" spans="6:12" ht="12.75">
      <c r="F89" s="208"/>
      <c r="G89" s="208"/>
      <c r="J89" s="263" t="s">
        <v>122</v>
      </c>
      <c r="K89" s="263"/>
      <c r="L89" s="263"/>
    </row>
    <row r="90" spans="6:11" ht="14.25" thickBot="1">
      <c r="F90" s="208"/>
      <c r="G90" s="208"/>
      <c r="J90" s="209"/>
      <c r="K90" s="209"/>
    </row>
    <row r="91" spans="6:12" ht="13.5" thickBot="1">
      <c r="F91" s="208"/>
      <c r="G91" s="208"/>
      <c r="J91" s="210" t="s">
        <v>83</v>
      </c>
      <c r="K91" s="211" t="s">
        <v>123</v>
      </c>
      <c r="L91" s="212" t="s">
        <v>85</v>
      </c>
    </row>
    <row r="92" spans="6:12" ht="18" thickBot="1">
      <c r="F92" s="208"/>
      <c r="G92" s="208"/>
      <c r="J92" s="214" t="s">
        <v>87</v>
      </c>
      <c r="K92" s="215">
        <f>F80</f>
        <v>404.30899000000005</v>
      </c>
      <c r="L92" s="261">
        <f>+K92/K97</f>
        <v>0.048656041239282515</v>
      </c>
    </row>
    <row r="93" spans="6:12" ht="18" thickBot="1">
      <c r="F93" s="208"/>
      <c r="G93" s="208"/>
      <c r="J93" s="216" t="s">
        <v>89</v>
      </c>
      <c r="K93" s="215">
        <f>F60</f>
        <v>4783.3031698</v>
      </c>
      <c r="L93" s="261">
        <f>+K93/K97</f>
        <v>0.5756404187049602</v>
      </c>
    </row>
    <row r="94" spans="6:12" ht="18" thickBot="1">
      <c r="F94" s="208"/>
      <c r="G94" s="208"/>
      <c r="J94" s="216" t="s">
        <v>91</v>
      </c>
      <c r="K94" s="215">
        <f>F76</f>
        <v>2079.4594810000003</v>
      </c>
      <c r="L94" s="261">
        <f>+K94/K97</f>
        <v>0.2502498553469044</v>
      </c>
    </row>
    <row r="95" spans="6:12" ht="18" thickBot="1">
      <c r="F95" s="208"/>
      <c r="G95" s="208"/>
      <c r="J95" s="216" t="s">
        <v>92</v>
      </c>
      <c r="K95" s="215">
        <f>F59</f>
        <v>1009.6797480000005</v>
      </c>
      <c r="L95" s="261">
        <f>+K95/K97</f>
        <v>0.12150860028404611</v>
      </c>
    </row>
    <row r="96" spans="6:12" ht="18" thickBot="1">
      <c r="F96" s="208"/>
      <c r="G96" s="208"/>
      <c r="J96" s="216" t="s">
        <v>94</v>
      </c>
      <c r="K96" s="215">
        <f>F79</f>
        <v>32.78181</v>
      </c>
      <c r="L96" s="261">
        <f>+K96/K97</f>
        <v>0.0039450844248066904</v>
      </c>
    </row>
    <row r="97" spans="6:12" ht="15.75" thickBot="1">
      <c r="F97" s="208"/>
      <c r="G97" s="208"/>
      <c r="J97" s="227" t="s">
        <v>96</v>
      </c>
      <c r="K97" s="228">
        <f>SUM(K92:K96)</f>
        <v>8309.533198800002</v>
      </c>
      <c r="L97" s="262">
        <f>SUM(L92:L96)</f>
        <v>0.9999999999999998</v>
      </c>
    </row>
    <row r="98" spans="6:7" ht="10.5">
      <c r="F98" s="208"/>
      <c r="G98" s="208"/>
    </row>
    <row r="99" spans="6:7" ht="10.5">
      <c r="F99" s="208"/>
      <c r="G99" s="208"/>
    </row>
    <row r="100" spans="6:7" ht="10.5">
      <c r="F100" s="208"/>
      <c r="G100" s="208"/>
    </row>
    <row r="101" spans="6:7" ht="10.5">
      <c r="F101" s="208"/>
      <c r="G101" s="208"/>
    </row>
    <row r="102" spans="6:7" ht="10.5">
      <c r="F102" s="208"/>
      <c r="G102" s="208"/>
    </row>
    <row r="103" spans="6:7" ht="10.5">
      <c r="F103" s="208"/>
      <c r="G103" s="208"/>
    </row>
    <row r="104" spans="6:7" ht="10.5">
      <c r="F104" s="208"/>
      <c r="G104" s="208"/>
    </row>
    <row r="105" spans="6:7" ht="10.5">
      <c r="F105" s="208"/>
      <c r="G105" s="208"/>
    </row>
    <row r="106" spans="6:7" ht="10.5">
      <c r="F106" s="208"/>
      <c r="G106" s="208"/>
    </row>
    <row r="107" spans="6:7" ht="10.5">
      <c r="F107" s="208"/>
      <c r="G107" s="208"/>
    </row>
    <row r="108" spans="6:7" ht="10.5">
      <c r="F108" s="208"/>
      <c r="G108" s="208"/>
    </row>
    <row r="109" spans="6:7" ht="10.5">
      <c r="F109" s="208"/>
      <c r="G109" s="208"/>
    </row>
    <row r="110" spans="6:7" ht="10.5">
      <c r="F110" s="208"/>
      <c r="G110" s="208"/>
    </row>
    <row r="111" spans="6:7" ht="10.5">
      <c r="F111" s="208"/>
      <c r="G111" s="208"/>
    </row>
    <row r="112" spans="6:7" ht="10.5">
      <c r="F112" s="208"/>
      <c r="G112" s="208"/>
    </row>
    <row r="113" spans="6:7" ht="10.5">
      <c r="F113" s="208"/>
      <c r="G113" s="208"/>
    </row>
    <row r="114" spans="6:7" ht="10.5">
      <c r="F114" s="208"/>
      <c r="G114" s="208"/>
    </row>
    <row r="115" spans="6:7" ht="10.5">
      <c r="F115" s="208"/>
      <c r="G115" s="208"/>
    </row>
    <row r="116" spans="6:7" ht="10.5">
      <c r="F116" s="208"/>
      <c r="G116" s="208"/>
    </row>
    <row r="117" spans="6:7" ht="10.5">
      <c r="F117" s="208"/>
      <c r="G117" s="208"/>
    </row>
    <row r="118" spans="6:7" ht="10.5">
      <c r="F118" s="208"/>
      <c r="G118" s="208"/>
    </row>
    <row r="119" spans="6:7" ht="10.5">
      <c r="F119" s="208"/>
      <c r="G119" s="208"/>
    </row>
    <row r="120" spans="6:7" ht="10.5">
      <c r="F120" s="208"/>
      <c r="G120" s="208"/>
    </row>
  </sheetData>
  <sheetProtection/>
  <mergeCells count="9">
    <mergeCell ref="J33:L33"/>
    <mergeCell ref="J60:L60"/>
    <mergeCell ref="J89:L89"/>
    <mergeCell ref="B4:F4"/>
    <mergeCell ref="J4:L4"/>
    <mergeCell ref="B5:F5"/>
    <mergeCell ref="B6:F6"/>
    <mergeCell ref="B7:F7"/>
    <mergeCell ref="B8:F8"/>
  </mergeCells>
  <printOptions horizontalCentered="1"/>
  <pageMargins left="0.7086614173228347" right="0.7086614173228347" top="0.7480314960629921" bottom="0.7874015748031497" header="0.31496062992125984" footer="0.31496062992125984"/>
  <pageSetup horizontalDpi="600" verticalDpi="600" orientation="portrait" paperSize="5" scale="90" r:id="rId2"/>
  <ignoredErrors>
    <ignoredError sqref="D15 E15:F15 D20:F22 D28:F28 D40:F40 D48:F48 D53:F54 C64:F71 C77:F78" formula="1"/>
    <ignoredError sqref="C22 C45:C47" formulaRange="1"/>
    <ignoredError sqref="D45:F4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93"/>
  <sheetViews>
    <sheetView showGridLines="0" zoomScale="90" zoomScaleNormal="90" zoomScalePageLayoutView="0" workbookViewId="0" topLeftCell="A61">
      <selection activeCell="M66" sqref="M66"/>
    </sheetView>
  </sheetViews>
  <sheetFormatPr defaultColWidth="12" defaultRowHeight="10.5"/>
  <cols>
    <col min="1" max="1" width="6.66015625" style="0" customWidth="1"/>
    <col min="2" max="2" width="50.83203125" style="0" customWidth="1"/>
    <col min="7" max="7" width="13" style="0" customWidth="1"/>
  </cols>
  <sheetData>
    <row r="1" ht="38.25" customHeight="1" thickBot="1"/>
    <row r="2" spans="2:45" ht="39.75" customHeight="1" thickBot="1">
      <c r="B2" s="281" t="s">
        <v>77</v>
      </c>
      <c r="C2" s="282"/>
      <c r="D2" s="282"/>
      <c r="E2" s="282"/>
      <c r="F2" s="282"/>
      <c r="G2" s="282"/>
      <c r="H2" s="28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0"/>
    </row>
    <row r="3" spans="2:45" ht="30.75" customHeight="1" thickBot="1">
      <c r="B3" s="278" t="s">
        <v>0</v>
      </c>
      <c r="C3" s="279"/>
      <c r="D3" s="279"/>
      <c r="E3" s="279"/>
      <c r="F3" s="279"/>
      <c r="G3" s="279"/>
      <c r="H3" s="280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2"/>
    </row>
    <row r="4" spans="2:8" ht="30" customHeight="1" thickBot="1">
      <c r="B4" s="273" t="s">
        <v>125</v>
      </c>
      <c r="C4" s="275">
        <v>2012</v>
      </c>
      <c r="D4" s="275"/>
      <c r="E4" s="275"/>
      <c r="F4" s="275"/>
      <c r="G4" s="275"/>
      <c r="H4" s="276" t="s">
        <v>7</v>
      </c>
    </row>
    <row r="5" spans="2:8" ht="27.75" customHeight="1" thickBot="1">
      <c r="B5" s="274"/>
      <c r="C5" s="36" t="s">
        <v>3</v>
      </c>
      <c r="D5" s="37" t="s">
        <v>1</v>
      </c>
      <c r="E5" s="37" t="s">
        <v>2</v>
      </c>
      <c r="F5" s="37" t="s">
        <v>58</v>
      </c>
      <c r="G5" s="207" t="s">
        <v>59</v>
      </c>
      <c r="H5" s="277"/>
    </row>
    <row r="6" spans="2:8" ht="36.75" customHeight="1" thickBot="1">
      <c r="B6" s="17" t="s">
        <v>138</v>
      </c>
      <c r="C6" s="58">
        <f>C7+C14+C18+C22+C30</f>
        <v>2837.670000000001</v>
      </c>
      <c r="D6" s="58">
        <f>D7+D14+D18+D22+D30</f>
        <v>392.21999999999997</v>
      </c>
      <c r="E6" s="58">
        <f>E7+E14+E18+E22+E30</f>
        <v>340</v>
      </c>
      <c r="F6" s="58">
        <f>F7+F14+F18+F22+F30</f>
        <v>1903</v>
      </c>
      <c r="G6" s="164">
        <f>G7+G14+G18+G22+G30</f>
        <v>30</v>
      </c>
      <c r="H6" s="59">
        <f aca="true" t="shared" si="0" ref="H6:H35">SUM(C6:G6)</f>
        <v>5502.890000000001</v>
      </c>
    </row>
    <row r="7" spans="2:8" ht="36.75" customHeight="1" thickBot="1">
      <c r="B7" s="18" t="s">
        <v>4</v>
      </c>
      <c r="C7" s="60">
        <f>SUM(C8:C13)</f>
        <v>593.96</v>
      </c>
      <c r="D7" s="61">
        <f>SUM(D8:D13)</f>
        <v>239.4</v>
      </c>
      <c r="E7" s="61">
        <f>SUM(E8:E13)</f>
        <v>340</v>
      </c>
      <c r="F7" s="61">
        <f>SUM(F8:F13)</f>
        <v>0</v>
      </c>
      <c r="G7" s="165">
        <f>SUM(G8:G13)</f>
        <v>0</v>
      </c>
      <c r="H7" s="10">
        <f>SUM(C7:G7)</f>
        <v>1173.3600000000001</v>
      </c>
    </row>
    <row r="8" spans="2:8" ht="36.75" customHeight="1">
      <c r="B8" s="19" t="s">
        <v>131</v>
      </c>
      <c r="C8" s="62">
        <f>115.75+40.3</f>
        <v>156.05</v>
      </c>
      <c r="D8" s="63">
        <v>29.4</v>
      </c>
      <c r="E8" s="63">
        <v>320</v>
      </c>
      <c r="F8" s="63">
        <v>0</v>
      </c>
      <c r="G8" s="186">
        <v>0</v>
      </c>
      <c r="H8" s="65">
        <f t="shared" si="0"/>
        <v>505.45000000000005</v>
      </c>
    </row>
    <row r="9" spans="2:8" ht="36.75" customHeight="1">
      <c r="B9" s="20" t="s">
        <v>126</v>
      </c>
      <c r="C9" s="66">
        <f>91.05+52.6-91.2</f>
        <v>52.45</v>
      </c>
      <c r="D9" s="14">
        <v>180</v>
      </c>
      <c r="E9" s="14">
        <v>0</v>
      </c>
      <c r="F9" s="14">
        <v>0</v>
      </c>
      <c r="G9" s="187">
        <v>0</v>
      </c>
      <c r="H9" s="67">
        <f t="shared" si="0"/>
        <v>232.45</v>
      </c>
    </row>
    <row r="10" spans="2:8" ht="36.75" customHeight="1">
      <c r="B10" s="21" t="s">
        <v>127</v>
      </c>
      <c r="C10" s="68">
        <f>32.4+34.47</f>
        <v>66.87</v>
      </c>
      <c r="D10" s="7">
        <v>30</v>
      </c>
      <c r="E10" s="7">
        <v>0</v>
      </c>
      <c r="F10" s="7">
        <v>0</v>
      </c>
      <c r="G10" s="9">
        <v>0</v>
      </c>
      <c r="H10" s="69">
        <f t="shared" si="0"/>
        <v>96.87</v>
      </c>
    </row>
    <row r="11" spans="2:8" ht="36.75" customHeight="1">
      <c r="B11" s="21" t="s">
        <v>128</v>
      </c>
      <c r="C11" s="68">
        <f>52.57</f>
        <v>52.57</v>
      </c>
      <c r="D11" s="7">
        <v>0</v>
      </c>
      <c r="E11" s="7">
        <v>0</v>
      </c>
      <c r="F11" s="7">
        <v>0</v>
      </c>
      <c r="G11" s="9">
        <v>0</v>
      </c>
      <c r="H11" s="69">
        <f t="shared" si="0"/>
        <v>52.57</v>
      </c>
    </row>
    <row r="12" spans="2:8" ht="36.75" customHeight="1">
      <c r="B12" s="19" t="s">
        <v>129</v>
      </c>
      <c r="C12" s="68">
        <f>24.8+241.22</f>
        <v>266.02</v>
      </c>
      <c r="D12" s="7">
        <v>0</v>
      </c>
      <c r="E12" s="7">
        <v>0</v>
      </c>
      <c r="F12" s="7">
        <v>0</v>
      </c>
      <c r="G12" s="9">
        <v>0</v>
      </c>
      <c r="H12" s="69">
        <f t="shared" si="0"/>
        <v>266.02</v>
      </c>
    </row>
    <row r="13" spans="2:8" ht="36.75" customHeight="1" thickBot="1">
      <c r="B13" s="22" t="s">
        <v>130</v>
      </c>
      <c r="C13" s="70">
        <v>0</v>
      </c>
      <c r="D13" s="71">
        <v>0</v>
      </c>
      <c r="E13" s="71">
        <v>20</v>
      </c>
      <c r="F13" s="71">
        <v>0</v>
      </c>
      <c r="G13" s="188">
        <v>0</v>
      </c>
      <c r="H13" s="73">
        <f t="shared" si="0"/>
        <v>20</v>
      </c>
    </row>
    <row r="14" spans="2:8" ht="36.75" customHeight="1" thickBot="1">
      <c r="B14" s="18" t="s">
        <v>5</v>
      </c>
      <c r="C14" s="74">
        <f>SUM(C15:C17)</f>
        <v>2067.0000000000005</v>
      </c>
      <c r="D14" s="74">
        <f>SUM(D15:D17)</f>
        <v>65</v>
      </c>
      <c r="E14" s="74">
        <f>SUM(E15:E17)</f>
        <v>0</v>
      </c>
      <c r="F14" s="74">
        <f>SUM(F15:F17)</f>
        <v>1903</v>
      </c>
      <c r="G14" s="158">
        <f>SUM(G15:G17)</f>
        <v>0</v>
      </c>
      <c r="H14" s="10">
        <f t="shared" si="0"/>
        <v>4035.0000000000005</v>
      </c>
    </row>
    <row r="15" spans="2:8" ht="36.75" customHeight="1">
      <c r="B15" s="44" t="s">
        <v>13</v>
      </c>
      <c r="C15" s="75">
        <f>4243.6-1903-417.3</f>
        <v>1923.3000000000004</v>
      </c>
      <c r="D15" s="39">
        <v>15</v>
      </c>
      <c r="E15" s="39">
        <v>0</v>
      </c>
      <c r="F15" s="75">
        <v>1903</v>
      </c>
      <c r="G15" s="169">
        <v>0</v>
      </c>
      <c r="H15" s="76">
        <f t="shared" si="0"/>
        <v>3841.3</v>
      </c>
    </row>
    <row r="16" spans="2:8" ht="36.75" customHeight="1">
      <c r="B16" s="23" t="s">
        <v>62</v>
      </c>
      <c r="C16" s="77">
        <v>143.7</v>
      </c>
      <c r="D16" s="7">
        <v>0</v>
      </c>
      <c r="E16" s="7">
        <v>0</v>
      </c>
      <c r="F16" s="9">
        <v>0</v>
      </c>
      <c r="G16" s="9">
        <v>0</v>
      </c>
      <c r="H16" s="69">
        <f t="shared" si="0"/>
        <v>143.7</v>
      </c>
    </row>
    <row r="17" spans="2:8" ht="36.75" customHeight="1" thickBot="1">
      <c r="B17" s="30" t="s">
        <v>60</v>
      </c>
      <c r="C17" s="78">
        <v>0</v>
      </c>
      <c r="D17" s="41">
        <v>50</v>
      </c>
      <c r="E17" s="41">
        <v>0</v>
      </c>
      <c r="F17" s="54">
        <v>0</v>
      </c>
      <c r="G17" s="54">
        <v>0</v>
      </c>
      <c r="H17" s="79">
        <f t="shared" si="0"/>
        <v>50</v>
      </c>
    </row>
    <row r="18" spans="2:8" ht="36.75" customHeight="1" thickBot="1">
      <c r="B18" s="24" t="s">
        <v>14</v>
      </c>
      <c r="C18" s="74">
        <f>SUM(C19:C21)</f>
        <v>30.99000000000001</v>
      </c>
      <c r="D18" s="74">
        <f>SUM(D19:D21)</f>
        <v>85.12</v>
      </c>
      <c r="E18" s="74">
        <f>SUM(E19:E21)</f>
        <v>0</v>
      </c>
      <c r="F18" s="74">
        <f>SUM(F19:F21)</f>
        <v>0</v>
      </c>
      <c r="G18" s="158">
        <f>SUM(G19:G21)</f>
        <v>30</v>
      </c>
      <c r="H18" s="10">
        <f t="shared" si="0"/>
        <v>146.11</v>
      </c>
    </row>
    <row r="19" spans="2:8" ht="36.75" customHeight="1">
      <c r="B19" s="45" t="s">
        <v>16</v>
      </c>
      <c r="C19" s="62">
        <v>0</v>
      </c>
      <c r="D19" s="63">
        <f>10</f>
        <v>10</v>
      </c>
      <c r="E19" s="63">
        <v>0</v>
      </c>
      <c r="F19" s="63">
        <v>0</v>
      </c>
      <c r="G19" s="186">
        <v>0</v>
      </c>
      <c r="H19" s="65">
        <f t="shared" si="0"/>
        <v>10</v>
      </c>
    </row>
    <row r="20" spans="2:8" ht="36.75" customHeight="1">
      <c r="B20" s="27" t="s">
        <v>17</v>
      </c>
      <c r="C20" s="68">
        <f>5.98+40+4.61+30-70.1</f>
        <v>10.490000000000009</v>
      </c>
      <c r="D20" s="14">
        <v>35</v>
      </c>
      <c r="E20" s="7">
        <v>0</v>
      </c>
      <c r="F20" s="7">
        <v>0</v>
      </c>
      <c r="G20" s="9">
        <v>0</v>
      </c>
      <c r="H20" s="69">
        <f t="shared" si="0"/>
        <v>45.49000000000001</v>
      </c>
    </row>
    <row r="21" spans="2:8" ht="36.75" customHeight="1" thickBot="1">
      <c r="B21" s="28" t="s">
        <v>18</v>
      </c>
      <c r="C21" s="80">
        <f>20.5</f>
        <v>20.5</v>
      </c>
      <c r="D21" s="81">
        <f>10+10+15.45+4.67</f>
        <v>40.120000000000005</v>
      </c>
      <c r="E21" s="81">
        <v>0</v>
      </c>
      <c r="F21" s="81">
        <v>0</v>
      </c>
      <c r="G21" s="189">
        <v>30</v>
      </c>
      <c r="H21" s="79">
        <f t="shared" si="0"/>
        <v>90.62</v>
      </c>
    </row>
    <row r="22" spans="2:8" ht="36.75" customHeight="1" thickBot="1">
      <c r="B22" s="25" t="s">
        <v>15</v>
      </c>
      <c r="C22" s="74">
        <f>SUM(C23:C29)</f>
        <v>61.32</v>
      </c>
      <c r="D22" s="74">
        <f>SUM(D23:D29)</f>
        <v>2.7</v>
      </c>
      <c r="E22" s="74">
        <f>SUM(E23:E29)</f>
        <v>0</v>
      </c>
      <c r="F22" s="74">
        <f>SUM(F23:F29)</f>
        <v>0</v>
      </c>
      <c r="G22" s="158">
        <f>SUM(G23:G29)</f>
        <v>0</v>
      </c>
      <c r="H22" s="10">
        <f t="shared" si="0"/>
        <v>64.02</v>
      </c>
    </row>
    <row r="23" spans="2:8" ht="36.75" customHeight="1">
      <c r="B23" s="26" t="s">
        <v>19</v>
      </c>
      <c r="C23" s="83">
        <v>10</v>
      </c>
      <c r="D23" s="84">
        <v>0</v>
      </c>
      <c r="E23" s="84">
        <v>0</v>
      </c>
      <c r="F23" s="84">
        <v>0</v>
      </c>
      <c r="G23" s="190">
        <v>0</v>
      </c>
      <c r="H23" s="65">
        <f t="shared" si="0"/>
        <v>10</v>
      </c>
    </row>
    <row r="24" spans="2:8" ht="36.75" customHeight="1">
      <c r="B24" s="27" t="s">
        <v>20</v>
      </c>
      <c r="C24" s="66">
        <v>11</v>
      </c>
      <c r="D24" s="14">
        <v>0</v>
      </c>
      <c r="E24" s="14">
        <v>0</v>
      </c>
      <c r="F24" s="14">
        <v>0</v>
      </c>
      <c r="G24" s="187">
        <v>0</v>
      </c>
      <c r="H24" s="69">
        <f t="shared" si="0"/>
        <v>11</v>
      </c>
    </row>
    <row r="25" spans="2:8" ht="36.75" customHeight="1">
      <c r="B25" s="27" t="s">
        <v>21</v>
      </c>
      <c r="C25" s="66">
        <v>10</v>
      </c>
      <c r="D25" s="14">
        <v>0</v>
      </c>
      <c r="E25" s="14">
        <v>0</v>
      </c>
      <c r="F25" s="14">
        <v>0</v>
      </c>
      <c r="G25" s="187">
        <v>0</v>
      </c>
      <c r="H25" s="69">
        <f t="shared" si="0"/>
        <v>10</v>
      </c>
    </row>
    <row r="26" spans="2:8" ht="36.75" customHeight="1">
      <c r="B26" s="27" t="s">
        <v>22</v>
      </c>
      <c r="C26" s="66">
        <v>6</v>
      </c>
      <c r="D26" s="14">
        <v>0</v>
      </c>
      <c r="E26" s="14">
        <v>0</v>
      </c>
      <c r="F26" s="14">
        <v>0</v>
      </c>
      <c r="G26" s="187">
        <v>0</v>
      </c>
      <c r="H26" s="69">
        <f t="shared" si="0"/>
        <v>6</v>
      </c>
    </row>
    <row r="27" spans="2:8" ht="36.75" customHeight="1">
      <c r="B27" s="27" t="s">
        <v>23</v>
      </c>
      <c r="C27" s="66">
        <f>13.42-2.7</f>
        <v>10.719999999999999</v>
      </c>
      <c r="D27" s="14">
        <v>2.7</v>
      </c>
      <c r="E27" s="14">
        <v>0</v>
      </c>
      <c r="F27" s="14">
        <v>0</v>
      </c>
      <c r="G27" s="187">
        <v>0</v>
      </c>
      <c r="H27" s="69">
        <f t="shared" si="0"/>
        <v>13.419999999999998</v>
      </c>
    </row>
    <row r="28" spans="2:8" ht="36.75" customHeight="1">
      <c r="B28" s="27" t="s">
        <v>24</v>
      </c>
      <c r="C28" s="66">
        <v>9.6</v>
      </c>
      <c r="D28" s="14">
        <v>0</v>
      </c>
      <c r="E28" s="14">
        <v>0</v>
      </c>
      <c r="F28" s="14">
        <v>0</v>
      </c>
      <c r="G28" s="187">
        <v>0</v>
      </c>
      <c r="H28" s="69">
        <f t="shared" si="0"/>
        <v>9.6</v>
      </c>
    </row>
    <row r="29" spans="2:8" ht="36.75" customHeight="1" thickBot="1">
      <c r="B29" s="28" t="s">
        <v>25</v>
      </c>
      <c r="C29" s="86">
        <v>4</v>
      </c>
      <c r="D29" s="87">
        <v>0</v>
      </c>
      <c r="E29" s="87">
        <v>0</v>
      </c>
      <c r="F29" s="87">
        <v>0</v>
      </c>
      <c r="G29" s="191">
        <v>0</v>
      </c>
      <c r="H29" s="79">
        <f t="shared" si="0"/>
        <v>4</v>
      </c>
    </row>
    <row r="30" spans="2:8" ht="36.75" customHeight="1" thickBot="1">
      <c r="B30" s="25" t="s">
        <v>26</v>
      </c>
      <c r="C30" s="74">
        <f>SUM(C31:C35)</f>
        <v>84.4</v>
      </c>
      <c r="D30" s="74">
        <f>SUM(D31:D35)</f>
        <v>0</v>
      </c>
      <c r="E30" s="74">
        <f>SUM(E31:E35)</f>
        <v>0</v>
      </c>
      <c r="F30" s="74">
        <f>SUM(F31:F35)</f>
        <v>0</v>
      </c>
      <c r="G30" s="158">
        <f>SUM(G31:G35)</f>
        <v>0</v>
      </c>
      <c r="H30" s="10">
        <f t="shared" si="0"/>
        <v>84.4</v>
      </c>
    </row>
    <row r="31" spans="2:8" ht="36.75" customHeight="1">
      <c r="B31" s="26" t="s">
        <v>27</v>
      </c>
      <c r="C31" s="62">
        <v>10</v>
      </c>
      <c r="D31" s="89">
        <v>0</v>
      </c>
      <c r="E31" s="89">
        <v>0</v>
      </c>
      <c r="F31" s="89">
        <v>0</v>
      </c>
      <c r="G31" s="115">
        <v>0</v>
      </c>
      <c r="H31" s="65">
        <f t="shared" si="0"/>
        <v>10</v>
      </c>
    </row>
    <row r="32" spans="2:8" ht="36.75" customHeight="1">
      <c r="B32" s="27" t="s">
        <v>132</v>
      </c>
      <c r="C32" s="68">
        <v>10</v>
      </c>
      <c r="D32" s="91">
        <v>0</v>
      </c>
      <c r="E32" s="91">
        <v>0</v>
      </c>
      <c r="F32" s="91">
        <v>0</v>
      </c>
      <c r="G32" s="166">
        <v>0</v>
      </c>
      <c r="H32" s="65">
        <f t="shared" si="0"/>
        <v>10</v>
      </c>
    </row>
    <row r="33" spans="2:8" ht="36.75" customHeight="1">
      <c r="B33" s="27" t="s">
        <v>29</v>
      </c>
      <c r="C33" s="68">
        <v>37</v>
      </c>
      <c r="D33" s="91">
        <v>0</v>
      </c>
      <c r="E33" s="91">
        <v>0</v>
      </c>
      <c r="F33" s="91">
        <v>0</v>
      </c>
      <c r="G33" s="166">
        <v>0</v>
      </c>
      <c r="H33" s="65">
        <f t="shared" si="0"/>
        <v>37</v>
      </c>
    </row>
    <row r="34" spans="2:8" ht="36.75" customHeight="1">
      <c r="B34" s="27" t="s">
        <v>30</v>
      </c>
      <c r="C34" s="68">
        <v>15</v>
      </c>
      <c r="D34" s="91">
        <v>0</v>
      </c>
      <c r="E34" s="91">
        <v>0</v>
      </c>
      <c r="F34" s="91">
        <v>0</v>
      </c>
      <c r="G34" s="166">
        <v>0</v>
      </c>
      <c r="H34" s="65">
        <f t="shared" si="0"/>
        <v>15</v>
      </c>
    </row>
    <row r="35" spans="2:8" ht="42" customHeight="1" thickBot="1">
      <c r="B35" s="28" t="s">
        <v>133</v>
      </c>
      <c r="C35" s="80">
        <v>12.4</v>
      </c>
      <c r="D35" s="93">
        <v>0</v>
      </c>
      <c r="E35" s="93">
        <v>0</v>
      </c>
      <c r="F35" s="93">
        <v>0</v>
      </c>
      <c r="G35" s="167">
        <v>0</v>
      </c>
      <c r="H35" s="65">
        <f t="shared" si="0"/>
        <v>12.4</v>
      </c>
    </row>
    <row r="36" spans="2:8" ht="36.75" customHeight="1" thickBot="1">
      <c r="B36" s="29" t="s">
        <v>137</v>
      </c>
      <c r="C36" s="58">
        <f>C37+C39+C43</f>
        <v>186.23000000000002</v>
      </c>
      <c r="D36" s="58">
        <f>D37+D39+D43</f>
        <v>21</v>
      </c>
      <c r="E36" s="58">
        <f>E37+E39+E43</f>
        <v>0</v>
      </c>
      <c r="F36" s="58">
        <f>F37+F39+F43</f>
        <v>0</v>
      </c>
      <c r="G36" s="164">
        <f>G37+G39+G43</f>
        <v>0</v>
      </c>
      <c r="H36" s="11">
        <f>SUM(C36:G36)</f>
        <v>207.23000000000002</v>
      </c>
    </row>
    <row r="37" spans="2:8" ht="36.75" customHeight="1" thickBot="1">
      <c r="B37" s="25" t="s">
        <v>32</v>
      </c>
      <c r="C37" s="74">
        <f>SUM(C38)</f>
        <v>40</v>
      </c>
      <c r="D37" s="74">
        <f>SUM(D38)</f>
        <v>0</v>
      </c>
      <c r="E37" s="74">
        <f>SUM(E38)</f>
        <v>0</v>
      </c>
      <c r="F37" s="74">
        <v>0</v>
      </c>
      <c r="G37" s="158">
        <v>0</v>
      </c>
      <c r="H37" s="10">
        <f aca="true" t="shared" si="1" ref="H37:H91">SUM(C37:G37)</f>
        <v>40</v>
      </c>
    </row>
    <row r="38" spans="2:8" ht="36.75" customHeight="1" thickBot="1">
      <c r="B38" s="30" t="s">
        <v>33</v>
      </c>
      <c r="C38" s="127">
        <v>40</v>
      </c>
      <c r="D38" s="128">
        <v>0</v>
      </c>
      <c r="E38" s="128">
        <v>0</v>
      </c>
      <c r="F38" s="129">
        <v>0</v>
      </c>
      <c r="G38" s="129">
        <v>0</v>
      </c>
      <c r="H38" s="98">
        <f t="shared" si="1"/>
        <v>40</v>
      </c>
    </row>
    <row r="39" spans="2:8" ht="36.75" customHeight="1" thickBot="1">
      <c r="B39" s="25" t="s">
        <v>39</v>
      </c>
      <c r="C39" s="74">
        <f>SUM(C40:C42)</f>
        <v>40</v>
      </c>
      <c r="D39" s="74">
        <f>SUM(D40:D42)</f>
        <v>0</v>
      </c>
      <c r="E39" s="74">
        <f>SUM(E40:E42)</f>
        <v>0</v>
      </c>
      <c r="F39" s="74">
        <f>SUM(F40:F42)</f>
        <v>0</v>
      </c>
      <c r="G39" s="158">
        <f>SUM(G40:G42)</f>
        <v>0</v>
      </c>
      <c r="H39" s="10">
        <f>SUM(C39:G39)</f>
        <v>40</v>
      </c>
    </row>
    <row r="40" spans="2:8" ht="36.75" customHeight="1">
      <c r="B40" s="26" t="s">
        <v>134</v>
      </c>
      <c r="C40" s="62">
        <v>10</v>
      </c>
      <c r="D40" s="89">
        <v>0</v>
      </c>
      <c r="E40" s="89">
        <v>0</v>
      </c>
      <c r="F40" s="89">
        <v>0</v>
      </c>
      <c r="G40" s="115">
        <v>0</v>
      </c>
      <c r="H40" s="65">
        <f t="shared" si="1"/>
        <v>10</v>
      </c>
    </row>
    <row r="41" spans="2:8" ht="36.75" customHeight="1">
      <c r="B41" s="26" t="s">
        <v>63</v>
      </c>
      <c r="C41" s="155">
        <v>15</v>
      </c>
      <c r="D41" s="156">
        <v>0</v>
      </c>
      <c r="E41" s="156">
        <v>0</v>
      </c>
      <c r="F41" s="156">
        <v>0</v>
      </c>
      <c r="G41" s="247">
        <v>0</v>
      </c>
      <c r="H41" s="65">
        <f t="shared" si="1"/>
        <v>15</v>
      </c>
    </row>
    <row r="42" spans="2:8" ht="36.75" customHeight="1" thickBot="1">
      <c r="B42" s="28" t="s">
        <v>64</v>
      </c>
      <c r="C42" s="80">
        <v>15</v>
      </c>
      <c r="D42" s="93">
        <v>0</v>
      </c>
      <c r="E42" s="93">
        <v>0</v>
      </c>
      <c r="F42" s="93">
        <v>0</v>
      </c>
      <c r="G42" s="167">
        <v>0</v>
      </c>
      <c r="H42" s="65">
        <f t="shared" si="1"/>
        <v>15</v>
      </c>
    </row>
    <row r="43" spans="2:8" ht="36.75" customHeight="1" thickBot="1">
      <c r="B43" s="25" t="s">
        <v>65</v>
      </c>
      <c r="C43" s="74">
        <f>SUM(C44:C46)</f>
        <v>106.23</v>
      </c>
      <c r="D43" s="74">
        <f>SUM(D44:D46)</f>
        <v>21</v>
      </c>
      <c r="E43" s="74">
        <f>SUM(E44:E46)</f>
        <v>0</v>
      </c>
      <c r="F43" s="74">
        <f>SUM(F44:F46)</f>
        <v>0</v>
      </c>
      <c r="G43" s="158">
        <f>SUM(G44:G46)</f>
        <v>0</v>
      </c>
      <c r="H43" s="10">
        <f t="shared" si="1"/>
        <v>127.23</v>
      </c>
    </row>
    <row r="44" spans="2:8" ht="36.75" customHeight="1">
      <c r="B44" s="26" t="s">
        <v>66</v>
      </c>
      <c r="C44" s="62">
        <v>35</v>
      </c>
      <c r="D44" s="63">
        <v>0</v>
      </c>
      <c r="E44" s="63">
        <v>0</v>
      </c>
      <c r="F44" s="63">
        <v>0</v>
      </c>
      <c r="G44" s="186">
        <v>0</v>
      </c>
      <c r="H44" s="65">
        <f t="shared" si="1"/>
        <v>35</v>
      </c>
    </row>
    <row r="45" spans="2:8" ht="72.75" customHeight="1">
      <c r="B45" s="27" t="s">
        <v>141</v>
      </c>
      <c r="C45" s="68">
        <f>15+16.23+25</f>
        <v>56.230000000000004</v>
      </c>
      <c r="D45" s="7">
        <f>11+5</f>
        <v>16</v>
      </c>
      <c r="E45" s="7">
        <v>0</v>
      </c>
      <c r="F45" s="7">
        <v>0</v>
      </c>
      <c r="G45" s="9">
        <v>0</v>
      </c>
      <c r="H45" s="69">
        <f t="shared" si="1"/>
        <v>72.23</v>
      </c>
    </row>
    <row r="46" spans="2:8" ht="36.75" customHeight="1" thickBot="1">
      <c r="B46" s="31" t="s">
        <v>135</v>
      </c>
      <c r="C46" s="99">
        <v>15</v>
      </c>
      <c r="D46" s="100">
        <v>5</v>
      </c>
      <c r="E46" s="100">
        <v>0</v>
      </c>
      <c r="F46" s="100">
        <v>0</v>
      </c>
      <c r="G46" s="192">
        <v>0</v>
      </c>
      <c r="H46" s="102">
        <f t="shared" si="1"/>
        <v>20</v>
      </c>
    </row>
    <row r="47" spans="2:8" ht="36.75" customHeight="1" thickBot="1">
      <c r="B47" s="29" t="s">
        <v>136</v>
      </c>
      <c r="C47" s="58">
        <f>C48+C55+C50+C53+C57</f>
        <v>936.9599999999999</v>
      </c>
      <c r="D47" s="58">
        <f>D48+D55+D50+D53+D57</f>
        <v>235.73000000000002</v>
      </c>
      <c r="E47" s="58">
        <f>E48+E55+E50+E53+E57</f>
        <v>30</v>
      </c>
      <c r="F47" s="58">
        <f>F48+F55+F50+F53+F57</f>
        <v>0</v>
      </c>
      <c r="G47" s="164">
        <f>G48+G55+G50+G53+G57</f>
        <v>0</v>
      </c>
      <c r="H47" s="59">
        <f t="shared" si="1"/>
        <v>1202.69</v>
      </c>
    </row>
    <row r="48" spans="2:8" ht="36.75" customHeight="1" thickBot="1">
      <c r="B48" s="25" t="s">
        <v>34</v>
      </c>
      <c r="C48" s="74">
        <f>SUM(C49:C49)</f>
        <v>670</v>
      </c>
      <c r="D48" s="74">
        <f>SUM(D49:D49)</f>
        <v>0</v>
      </c>
      <c r="E48" s="74">
        <f>SUM(E49:E49)</f>
        <v>0</v>
      </c>
      <c r="F48" s="74">
        <f>SUM(F49:F49)</f>
        <v>0</v>
      </c>
      <c r="G48" s="158">
        <f>SUM(G49:G49)</f>
        <v>0</v>
      </c>
      <c r="H48" s="10">
        <f t="shared" si="1"/>
        <v>670</v>
      </c>
    </row>
    <row r="49" spans="2:8" ht="36.75" customHeight="1" thickBot="1">
      <c r="B49" s="26" t="s">
        <v>35</v>
      </c>
      <c r="C49" s="111">
        <v>670</v>
      </c>
      <c r="D49" s="112">
        <v>0</v>
      </c>
      <c r="E49" s="112">
        <v>0</v>
      </c>
      <c r="F49" s="113">
        <v>0</v>
      </c>
      <c r="G49" s="113">
        <v>0</v>
      </c>
      <c r="H49" s="114">
        <f t="shared" si="1"/>
        <v>670</v>
      </c>
    </row>
    <row r="50" spans="2:8" ht="36.75" customHeight="1" thickBot="1">
      <c r="B50" s="25" t="s">
        <v>142</v>
      </c>
      <c r="C50" s="74">
        <f>SUM(C51:C52)</f>
        <v>40.55</v>
      </c>
      <c r="D50" s="74">
        <f>SUM(D51:D52)</f>
        <v>0</v>
      </c>
      <c r="E50" s="74">
        <f>SUM(E51:E52)</f>
        <v>0</v>
      </c>
      <c r="F50" s="74">
        <f>SUM(F51:F52)</f>
        <v>0</v>
      </c>
      <c r="G50" s="158">
        <f>SUM(G51:G52)</f>
        <v>0</v>
      </c>
      <c r="H50" s="116">
        <f t="shared" si="1"/>
        <v>40.55</v>
      </c>
    </row>
    <row r="51" spans="2:8" ht="36.75" customHeight="1">
      <c r="B51" s="43" t="s">
        <v>143</v>
      </c>
      <c r="C51" s="62">
        <f>25.84+4.71</f>
        <v>30.55</v>
      </c>
      <c r="D51" s="89">
        <v>0</v>
      </c>
      <c r="E51" s="89">
        <v>0</v>
      </c>
      <c r="F51" s="89">
        <v>0</v>
      </c>
      <c r="G51" s="115">
        <v>0</v>
      </c>
      <c r="H51" s="65">
        <f t="shared" si="1"/>
        <v>30.55</v>
      </c>
    </row>
    <row r="52" spans="2:8" ht="36.75" customHeight="1" thickBot="1">
      <c r="B52" s="46" t="s">
        <v>144</v>
      </c>
      <c r="C52" s="80">
        <v>10</v>
      </c>
      <c r="D52" s="93">
        <v>0</v>
      </c>
      <c r="E52" s="93">
        <v>0</v>
      </c>
      <c r="F52" s="93">
        <v>0</v>
      </c>
      <c r="G52" s="167">
        <v>0</v>
      </c>
      <c r="H52" s="79">
        <f t="shared" si="1"/>
        <v>10</v>
      </c>
    </row>
    <row r="53" spans="2:8" ht="36.75" customHeight="1" thickBot="1">
      <c r="B53" s="25" t="s">
        <v>145</v>
      </c>
      <c r="C53" s="74">
        <f>SUM(C54)</f>
        <v>85</v>
      </c>
      <c r="D53" s="74">
        <f>SUM(D54)</f>
        <v>170</v>
      </c>
      <c r="E53" s="74">
        <f>SUM(E54)</f>
        <v>30</v>
      </c>
      <c r="F53" s="74">
        <f>SUM(F54)</f>
        <v>0</v>
      </c>
      <c r="G53" s="158">
        <f>SUM(G54)</f>
        <v>0</v>
      </c>
      <c r="H53" s="116">
        <f>SUM(C53:G53)</f>
        <v>285</v>
      </c>
    </row>
    <row r="54" spans="2:8" ht="36.75" customHeight="1" thickBot="1">
      <c r="B54" s="46" t="s">
        <v>146</v>
      </c>
      <c r="C54" s="107">
        <v>85</v>
      </c>
      <c r="D54" s="108">
        <v>170</v>
      </c>
      <c r="E54" s="108">
        <v>30</v>
      </c>
      <c r="F54" s="109">
        <v>0</v>
      </c>
      <c r="G54" s="109">
        <v>0</v>
      </c>
      <c r="H54" s="110">
        <f>SUM(C54:G54)</f>
        <v>285</v>
      </c>
    </row>
    <row r="55" spans="2:8" ht="45" customHeight="1" thickBot="1">
      <c r="B55" s="25" t="s">
        <v>147</v>
      </c>
      <c r="C55" s="74">
        <f>C56</f>
        <v>31.41</v>
      </c>
      <c r="D55" s="61">
        <f>D56</f>
        <v>65.73</v>
      </c>
      <c r="E55" s="61">
        <f>E56</f>
        <v>0</v>
      </c>
      <c r="F55" s="61">
        <f>F56</f>
        <v>0</v>
      </c>
      <c r="G55" s="165">
        <f>G56</f>
        <v>0</v>
      </c>
      <c r="H55" s="116">
        <f>SUM(C55:G55)</f>
        <v>97.14</v>
      </c>
    </row>
    <row r="56" spans="2:8" ht="36.75" customHeight="1" thickBot="1">
      <c r="B56" s="30" t="s">
        <v>148</v>
      </c>
      <c r="C56" s="62">
        <f>15+16.41</f>
        <v>31.41</v>
      </c>
      <c r="D56" s="89">
        <v>65.73</v>
      </c>
      <c r="E56" s="89">
        <v>0</v>
      </c>
      <c r="F56" s="115">
        <v>0</v>
      </c>
      <c r="G56" s="115">
        <v>0</v>
      </c>
      <c r="H56" s="98">
        <f>SUM(C56:G56)</f>
        <v>97.14</v>
      </c>
    </row>
    <row r="57" spans="2:8" ht="36.75" customHeight="1" thickBot="1">
      <c r="B57" s="33" t="s">
        <v>36</v>
      </c>
      <c r="C57" s="74">
        <f>SUM(C58:C59)</f>
        <v>110</v>
      </c>
      <c r="D57" s="74">
        <f>SUM(D58:D59)</f>
        <v>0</v>
      </c>
      <c r="E57" s="74">
        <f>SUM(E58:E59)</f>
        <v>0</v>
      </c>
      <c r="F57" s="74">
        <f>SUM(F58:F59)</f>
        <v>0</v>
      </c>
      <c r="G57" s="158">
        <f>SUM(G58:G59)</f>
        <v>0</v>
      </c>
      <c r="H57" s="116">
        <f t="shared" si="1"/>
        <v>110</v>
      </c>
    </row>
    <row r="58" spans="2:8" ht="36.75" customHeight="1">
      <c r="B58" s="249" t="s">
        <v>37</v>
      </c>
      <c r="C58" s="62">
        <v>100</v>
      </c>
      <c r="D58" s="89">
        <v>0</v>
      </c>
      <c r="E58" s="89">
        <v>0</v>
      </c>
      <c r="F58" s="89">
        <v>0</v>
      </c>
      <c r="G58" s="115">
        <v>0</v>
      </c>
      <c r="H58" s="65">
        <f t="shared" si="1"/>
        <v>100</v>
      </c>
    </row>
    <row r="59" spans="2:8" ht="36.75" customHeight="1" thickBot="1">
      <c r="B59" s="28" t="s">
        <v>38</v>
      </c>
      <c r="C59" s="80">
        <v>10</v>
      </c>
      <c r="D59" s="93">
        <v>0</v>
      </c>
      <c r="E59" s="93">
        <v>0</v>
      </c>
      <c r="F59" s="93">
        <v>0</v>
      </c>
      <c r="G59" s="167">
        <v>0</v>
      </c>
      <c r="H59" s="79">
        <f t="shared" si="1"/>
        <v>10</v>
      </c>
    </row>
    <row r="60" spans="2:8" ht="36.75" customHeight="1" thickBot="1">
      <c r="B60" s="34" t="s">
        <v>40</v>
      </c>
      <c r="C60" s="259">
        <f>C61+C70+C72+C75+C77+C79+C81+C83</f>
        <v>266.1</v>
      </c>
      <c r="D60" s="260">
        <f>D61+D70+D72+D75+D77+D79+D81+D83</f>
        <v>136.04</v>
      </c>
      <c r="E60" s="260">
        <f>E61+E70+E72+E75+E77+E79+E81+E83</f>
        <v>0</v>
      </c>
      <c r="F60" s="260">
        <f>F61+F70+F72+F75+F77+F79+F81+F83</f>
        <v>0</v>
      </c>
      <c r="G60" s="260">
        <f>G61+G70+G72+G75+G77+G79+G81+G83</f>
        <v>0</v>
      </c>
      <c r="H60" s="11">
        <f>SUM(C60:G60)</f>
        <v>402.14</v>
      </c>
    </row>
    <row r="61" spans="2:8" ht="36.75" customHeight="1" thickBot="1">
      <c r="B61" s="257" t="s">
        <v>41</v>
      </c>
      <c r="C61" s="60">
        <f>SUM(C62:C69)</f>
        <v>191.1</v>
      </c>
      <c r="D61" s="61">
        <f>SUM(D62:D69)</f>
        <v>30</v>
      </c>
      <c r="E61" s="61">
        <f>SUM(E62:E69)</f>
        <v>0</v>
      </c>
      <c r="F61" s="61">
        <f>SUM(F62:F69)</f>
        <v>0</v>
      </c>
      <c r="G61" s="246">
        <f>SUM(G62:G69)</f>
        <v>0</v>
      </c>
      <c r="H61" s="258">
        <f>SUM(H62:H69)</f>
        <v>221.1</v>
      </c>
    </row>
    <row r="62" spans="2:8" ht="36.75" customHeight="1">
      <c r="B62" s="149" t="s">
        <v>42</v>
      </c>
      <c r="C62" s="155">
        <v>25</v>
      </c>
      <c r="D62" s="156">
        <v>10</v>
      </c>
      <c r="E62" s="156">
        <v>0</v>
      </c>
      <c r="F62" s="156">
        <v>0</v>
      </c>
      <c r="G62" s="247">
        <v>0</v>
      </c>
      <c r="H62" s="65">
        <f t="shared" si="1"/>
        <v>35</v>
      </c>
    </row>
    <row r="63" spans="2:8" ht="36.75" customHeight="1">
      <c r="B63" s="150" t="s">
        <v>151</v>
      </c>
      <c r="C63" s="68">
        <v>25</v>
      </c>
      <c r="D63" s="91">
        <v>0</v>
      </c>
      <c r="E63" s="91">
        <v>0</v>
      </c>
      <c r="F63" s="91">
        <v>0</v>
      </c>
      <c r="G63" s="166">
        <v>0</v>
      </c>
      <c r="H63" s="69">
        <f t="shared" si="1"/>
        <v>25</v>
      </c>
    </row>
    <row r="64" spans="2:8" ht="36.75" customHeight="1">
      <c r="B64" s="150" t="s">
        <v>157</v>
      </c>
      <c r="C64" s="68">
        <v>5</v>
      </c>
      <c r="D64" s="91">
        <v>0</v>
      </c>
      <c r="E64" s="91">
        <v>0</v>
      </c>
      <c r="F64" s="91">
        <v>0</v>
      </c>
      <c r="G64" s="166">
        <v>0</v>
      </c>
      <c r="H64" s="69">
        <f t="shared" si="1"/>
        <v>5</v>
      </c>
    </row>
    <row r="65" spans="2:8" ht="36.75" customHeight="1">
      <c r="B65" s="150" t="s">
        <v>152</v>
      </c>
      <c r="C65" s="68">
        <f>19.1</f>
        <v>19.1</v>
      </c>
      <c r="D65" s="91">
        <v>0</v>
      </c>
      <c r="E65" s="91">
        <v>0</v>
      </c>
      <c r="F65" s="91">
        <v>0</v>
      </c>
      <c r="G65" s="166">
        <v>0</v>
      </c>
      <c r="H65" s="69">
        <f t="shared" si="1"/>
        <v>19.1</v>
      </c>
    </row>
    <row r="66" spans="2:8" ht="36.75" customHeight="1">
      <c r="B66" s="150" t="s">
        <v>153</v>
      </c>
      <c r="C66" s="68">
        <v>87</v>
      </c>
      <c r="D66" s="91">
        <v>0</v>
      </c>
      <c r="E66" s="91">
        <v>0</v>
      </c>
      <c r="F66" s="91">
        <v>0</v>
      </c>
      <c r="G66" s="166">
        <v>0</v>
      </c>
      <c r="H66" s="69">
        <f t="shared" si="1"/>
        <v>87</v>
      </c>
    </row>
    <row r="67" spans="2:8" ht="36.75" customHeight="1">
      <c r="B67" s="150" t="s">
        <v>154</v>
      </c>
      <c r="C67" s="68">
        <v>10</v>
      </c>
      <c r="D67" s="91">
        <v>0</v>
      </c>
      <c r="E67" s="91">
        <v>0</v>
      </c>
      <c r="F67" s="91">
        <v>0</v>
      </c>
      <c r="G67" s="166">
        <v>0</v>
      </c>
      <c r="H67" s="69">
        <f t="shared" si="1"/>
        <v>10</v>
      </c>
    </row>
    <row r="68" spans="2:8" ht="36.75" customHeight="1">
      <c r="B68" s="47" t="s">
        <v>155</v>
      </c>
      <c r="C68" s="68">
        <v>10</v>
      </c>
      <c r="D68" s="91">
        <v>0</v>
      </c>
      <c r="E68" s="91">
        <v>0</v>
      </c>
      <c r="F68" s="91">
        <v>0</v>
      </c>
      <c r="G68" s="166">
        <v>0</v>
      </c>
      <c r="H68" s="69">
        <f t="shared" si="1"/>
        <v>10</v>
      </c>
    </row>
    <row r="69" spans="2:8" ht="36.75" customHeight="1" thickBot="1">
      <c r="B69" s="151" t="s">
        <v>156</v>
      </c>
      <c r="C69" s="80">
        <v>10</v>
      </c>
      <c r="D69" s="93">
        <v>20</v>
      </c>
      <c r="E69" s="93">
        <v>0</v>
      </c>
      <c r="F69" s="93">
        <v>0</v>
      </c>
      <c r="G69" s="167">
        <v>0</v>
      </c>
      <c r="H69" s="69">
        <f t="shared" si="1"/>
        <v>30</v>
      </c>
    </row>
    <row r="70" spans="2:8" ht="36.75" customHeight="1" thickBot="1">
      <c r="B70" s="33" t="s">
        <v>43</v>
      </c>
      <c r="C70" s="135">
        <f>C71</f>
        <v>10</v>
      </c>
      <c r="D70" s="145">
        <f>D71</f>
        <v>20</v>
      </c>
      <c r="E70" s="145">
        <f>E71</f>
        <v>0</v>
      </c>
      <c r="F70" s="145">
        <f>F71</f>
        <v>0</v>
      </c>
      <c r="G70" s="250">
        <f>G71</f>
        <v>0</v>
      </c>
      <c r="H70" s="10">
        <f t="shared" si="1"/>
        <v>30</v>
      </c>
    </row>
    <row r="71" spans="2:8" ht="41.25" customHeight="1" thickBot="1">
      <c r="B71" s="48" t="s">
        <v>44</v>
      </c>
      <c r="C71" s="62">
        <v>10</v>
      </c>
      <c r="D71" s="89">
        <v>20</v>
      </c>
      <c r="E71" s="89">
        <v>0</v>
      </c>
      <c r="F71" s="115">
        <v>0</v>
      </c>
      <c r="G71" s="115">
        <v>0</v>
      </c>
      <c r="H71" s="98">
        <f t="shared" si="1"/>
        <v>30</v>
      </c>
    </row>
    <row r="72" spans="2:8" ht="42.75" customHeight="1" thickBot="1">
      <c r="B72" s="33" t="s">
        <v>45</v>
      </c>
      <c r="C72" s="74">
        <f>SUM(C73:C74)</f>
        <v>15</v>
      </c>
      <c r="D72" s="74">
        <f>SUM(D73:D74)</f>
        <v>26.04</v>
      </c>
      <c r="E72" s="74">
        <f>SUM(E73:E74)</f>
        <v>0</v>
      </c>
      <c r="F72" s="74">
        <f>SUM(F73:F74)</f>
        <v>0</v>
      </c>
      <c r="G72" s="158">
        <f>SUM(G73:G74)</f>
        <v>0</v>
      </c>
      <c r="H72" s="10">
        <f t="shared" si="1"/>
        <v>41.04</v>
      </c>
    </row>
    <row r="73" spans="2:8" ht="45" customHeight="1">
      <c r="B73" s="49" t="s">
        <v>73</v>
      </c>
      <c r="C73" s="62">
        <v>10</v>
      </c>
      <c r="D73" s="89">
        <v>26.04</v>
      </c>
      <c r="E73" s="89">
        <v>0</v>
      </c>
      <c r="F73" s="89">
        <v>0</v>
      </c>
      <c r="G73" s="115">
        <v>0</v>
      </c>
      <c r="H73" s="117">
        <f t="shared" si="1"/>
        <v>36.04</v>
      </c>
    </row>
    <row r="74" spans="2:8" ht="36.75" customHeight="1" thickBot="1">
      <c r="B74" s="50" t="s">
        <v>74</v>
      </c>
      <c r="C74" s="80">
        <v>5</v>
      </c>
      <c r="D74" s="93">
        <v>0</v>
      </c>
      <c r="E74" s="93">
        <v>0</v>
      </c>
      <c r="F74" s="93">
        <v>0</v>
      </c>
      <c r="G74" s="167">
        <v>0</v>
      </c>
      <c r="H74" s="79">
        <f t="shared" si="1"/>
        <v>5</v>
      </c>
    </row>
    <row r="75" spans="2:8" ht="36.75" customHeight="1" thickBot="1">
      <c r="B75" s="25" t="s">
        <v>46</v>
      </c>
      <c r="C75" s="74">
        <f>C76</f>
        <v>10</v>
      </c>
      <c r="D75" s="61">
        <f>D76</f>
        <v>10</v>
      </c>
      <c r="E75" s="61">
        <f>E76</f>
        <v>0</v>
      </c>
      <c r="F75" s="61">
        <f>F76</f>
        <v>0</v>
      </c>
      <c r="G75" s="165">
        <f>G76</f>
        <v>0</v>
      </c>
      <c r="H75" s="10">
        <f t="shared" si="1"/>
        <v>20</v>
      </c>
    </row>
    <row r="76" spans="2:8" ht="36.75" customHeight="1" thickBot="1">
      <c r="B76" s="30" t="s">
        <v>158</v>
      </c>
      <c r="C76" s="62">
        <v>10</v>
      </c>
      <c r="D76" s="89">
        <v>10</v>
      </c>
      <c r="E76" s="89">
        <v>0</v>
      </c>
      <c r="F76" s="115">
        <v>0</v>
      </c>
      <c r="G76" s="115">
        <v>0</v>
      </c>
      <c r="H76" s="98">
        <f t="shared" si="1"/>
        <v>20</v>
      </c>
    </row>
    <row r="77" spans="2:8" ht="36.75" customHeight="1" thickBot="1">
      <c r="B77" s="25" t="s">
        <v>47</v>
      </c>
      <c r="C77" s="74">
        <f>C78</f>
        <v>10</v>
      </c>
      <c r="D77" s="61">
        <f>D78</f>
        <v>0</v>
      </c>
      <c r="E77" s="61">
        <f>E78</f>
        <v>0</v>
      </c>
      <c r="F77" s="61">
        <f>F78</f>
        <v>0</v>
      </c>
      <c r="G77" s="165">
        <f>G78</f>
        <v>0</v>
      </c>
      <c r="H77" s="10">
        <f t="shared" si="1"/>
        <v>10</v>
      </c>
    </row>
    <row r="78" spans="2:8" ht="41.25" customHeight="1" thickBot="1">
      <c r="B78" s="30" t="s">
        <v>159</v>
      </c>
      <c r="C78" s="62">
        <v>10</v>
      </c>
      <c r="D78" s="89">
        <v>0</v>
      </c>
      <c r="E78" s="89">
        <v>0</v>
      </c>
      <c r="F78" s="115">
        <v>0</v>
      </c>
      <c r="G78" s="115">
        <v>0</v>
      </c>
      <c r="H78" s="98">
        <f t="shared" si="1"/>
        <v>10</v>
      </c>
    </row>
    <row r="79" spans="2:8" ht="36.75" customHeight="1" thickBot="1">
      <c r="B79" s="25" t="s">
        <v>48</v>
      </c>
      <c r="C79" s="74">
        <f>C80</f>
        <v>10</v>
      </c>
      <c r="D79" s="61">
        <f>D80</f>
        <v>20</v>
      </c>
      <c r="E79" s="61">
        <f>E80</f>
        <v>0</v>
      </c>
      <c r="F79" s="61">
        <f>F80</f>
        <v>0</v>
      </c>
      <c r="G79" s="165">
        <f>G80</f>
        <v>0</v>
      </c>
      <c r="H79" s="116">
        <f t="shared" si="1"/>
        <v>30</v>
      </c>
    </row>
    <row r="80" spans="2:8" ht="36.75" customHeight="1" thickBot="1">
      <c r="B80" s="30" t="s">
        <v>49</v>
      </c>
      <c r="C80" s="62">
        <v>10</v>
      </c>
      <c r="D80" s="89">
        <v>20</v>
      </c>
      <c r="E80" s="89">
        <v>0</v>
      </c>
      <c r="F80" s="115">
        <v>0</v>
      </c>
      <c r="G80" s="115">
        <v>0</v>
      </c>
      <c r="H80" s="98">
        <f t="shared" si="1"/>
        <v>30</v>
      </c>
    </row>
    <row r="81" spans="2:8" ht="36.75" customHeight="1" thickBot="1">
      <c r="B81" s="251" t="s">
        <v>50</v>
      </c>
      <c r="C81" s="136">
        <f>C82</f>
        <v>20</v>
      </c>
      <c r="D81" s="144">
        <f>D82</f>
        <v>15</v>
      </c>
      <c r="E81" s="144">
        <f>E82</f>
        <v>0</v>
      </c>
      <c r="F81" s="144">
        <f>F82</f>
        <v>0</v>
      </c>
      <c r="G81" s="178">
        <f>G82</f>
        <v>0</v>
      </c>
      <c r="H81" s="159">
        <f t="shared" si="1"/>
        <v>35</v>
      </c>
    </row>
    <row r="82" spans="2:8" ht="36.75" customHeight="1" thickBot="1">
      <c r="B82" s="254" t="s">
        <v>51</v>
      </c>
      <c r="C82" s="89">
        <f>10+10</f>
        <v>20</v>
      </c>
      <c r="D82" s="89">
        <v>15</v>
      </c>
      <c r="E82" s="89">
        <v>0</v>
      </c>
      <c r="F82" s="89">
        <v>0</v>
      </c>
      <c r="G82" s="115">
        <v>0</v>
      </c>
      <c r="H82" s="117">
        <f t="shared" si="1"/>
        <v>35</v>
      </c>
    </row>
    <row r="83" spans="2:8" ht="36.75" customHeight="1" thickBot="1">
      <c r="B83" s="25" t="s">
        <v>160</v>
      </c>
      <c r="C83" s="74">
        <f>SUM(C84)</f>
        <v>0</v>
      </c>
      <c r="D83" s="74">
        <f>SUM(D84)</f>
        <v>15</v>
      </c>
      <c r="E83" s="74">
        <f>SUM(E84)</f>
        <v>0</v>
      </c>
      <c r="F83" s="74">
        <f>SUM(F84)</f>
        <v>0</v>
      </c>
      <c r="G83" s="74">
        <f>SUM(G84)</f>
        <v>0</v>
      </c>
      <c r="H83" s="10">
        <f>SUM(C83:G83)</f>
        <v>15</v>
      </c>
    </row>
    <row r="84" spans="2:8" ht="36.75" customHeight="1" thickBot="1">
      <c r="B84" s="255" t="s">
        <v>161</v>
      </c>
      <c r="C84" s="153">
        <v>0</v>
      </c>
      <c r="D84" s="153">
        <v>15</v>
      </c>
      <c r="E84" s="153">
        <v>0</v>
      </c>
      <c r="F84" s="153">
        <v>0</v>
      </c>
      <c r="G84" s="154">
        <v>0</v>
      </c>
      <c r="H84" s="256">
        <f>SUM(C84:G84)</f>
        <v>15</v>
      </c>
    </row>
    <row r="85" spans="2:8" ht="36.75" customHeight="1" thickBot="1">
      <c r="B85" s="252" t="s">
        <v>52</v>
      </c>
      <c r="C85" s="162">
        <f>C86</f>
        <v>149</v>
      </c>
      <c r="D85" s="162">
        <f>D86</f>
        <v>140</v>
      </c>
      <c r="E85" s="162">
        <f>E86</f>
        <v>0</v>
      </c>
      <c r="F85" s="162">
        <f>F86</f>
        <v>0</v>
      </c>
      <c r="G85" s="180">
        <f>G86</f>
        <v>0</v>
      </c>
      <c r="H85" s="253">
        <f t="shared" si="1"/>
        <v>289</v>
      </c>
    </row>
    <row r="86" spans="2:8" ht="36.75" customHeight="1" thickBot="1">
      <c r="B86" s="25" t="s">
        <v>53</v>
      </c>
      <c r="C86" s="119">
        <f>SUM(C87:C90)</f>
        <v>149</v>
      </c>
      <c r="D86" s="120">
        <f>SUM(D87:D90)</f>
        <v>140</v>
      </c>
      <c r="E86" s="120">
        <f>SUM(E87:E90)</f>
        <v>0</v>
      </c>
      <c r="F86" s="120">
        <f>SUM(F87:F90)</f>
        <v>0</v>
      </c>
      <c r="G86" s="181">
        <f>SUM(G87:G90)</f>
        <v>0</v>
      </c>
      <c r="H86" s="13">
        <f t="shared" si="1"/>
        <v>289</v>
      </c>
    </row>
    <row r="87" spans="2:8" ht="36.75" customHeight="1">
      <c r="B87" s="51" t="s">
        <v>162</v>
      </c>
      <c r="C87" s="62">
        <v>30</v>
      </c>
      <c r="D87" s="89">
        <v>60</v>
      </c>
      <c r="E87" s="89">
        <v>0</v>
      </c>
      <c r="F87" s="89">
        <v>0</v>
      </c>
      <c r="G87" s="115">
        <v>0</v>
      </c>
      <c r="H87" s="117">
        <f t="shared" si="1"/>
        <v>90</v>
      </c>
    </row>
    <row r="88" spans="2:8" ht="36.75" customHeight="1">
      <c r="B88" s="52" t="s">
        <v>163</v>
      </c>
      <c r="C88" s="68">
        <v>37.8</v>
      </c>
      <c r="D88" s="91">
        <v>40</v>
      </c>
      <c r="E88" s="91">
        <v>0</v>
      </c>
      <c r="F88" s="91">
        <v>0</v>
      </c>
      <c r="G88" s="166">
        <v>0</v>
      </c>
      <c r="H88" s="69">
        <f t="shared" si="1"/>
        <v>77.8</v>
      </c>
    </row>
    <row r="89" spans="2:8" ht="36.75" customHeight="1">
      <c r="B89" s="52" t="s">
        <v>55</v>
      </c>
      <c r="C89" s="68">
        <f>10+15</f>
        <v>25</v>
      </c>
      <c r="D89" s="91">
        <v>20</v>
      </c>
      <c r="E89" s="91">
        <v>0</v>
      </c>
      <c r="F89" s="91">
        <v>0</v>
      </c>
      <c r="G89" s="166">
        <v>0</v>
      </c>
      <c r="H89" s="69">
        <f t="shared" si="1"/>
        <v>45</v>
      </c>
    </row>
    <row r="90" spans="2:8" ht="36.75" customHeight="1" thickBot="1">
      <c r="B90" s="53" t="s">
        <v>76</v>
      </c>
      <c r="C90" s="80">
        <v>56.2</v>
      </c>
      <c r="D90" s="93">
        <v>20</v>
      </c>
      <c r="E90" s="93">
        <v>0</v>
      </c>
      <c r="F90" s="93">
        <v>0</v>
      </c>
      <c r="G90" s="167">
        <v>0</v>
      </c>
      <c r="H90" s="182">
        <f t="shared" si="1"/>
        <v>76.2</v>
      </c>
    </row>
    <row r="91" spans="2:8" ht="36.75" customHeight="1" thickBot="1">
      <c r="B91" s="57" t="s">
        <v>57</v>
      </c>
      <c r="C91" s="124">
        <f>C6+C36+C47+C60+C85</f>
        <v>4375.960000000001</v>
      </c>
      <c r="D91" s="124">
        <f>D6+D36+D47+D60+D85</f>
        <v>924.99</v>
      </c>
      <c r="E91" s="124">
        <f>E6+E36+E47+E60+E85</f>
        <v>370</v>
      </c>
      <c r="F91" s="124">
        <f>F6+F36+F47+F60+F85</f>
        <v>1903</v>
      </c>
      <c r="G91" s="194">
        <f>G6+G36+G47+G60+G85</f>
        <v>30</v>
      </c>
      <c r="H91" s="56">
        <f t="shared" si="1"/>
        <v>7603.950000000001</v>
      </c>
    </row>
    <row r="92" spans="2:8" ht="36.75" customHeight="1">
      <c r="B92" s="35"/>
      <c r="C92" s="125"/>
      <c r="D92" s="3"/>
      <c r="E92" s="3"/>
      <c r="F92" s="3"/>
      <c r="G92" s="3"/>
      <c r="H92" s="126">
        <f>'PLAN FINANCIERO'!C81</f>
        <v>7604.4</v>
      </c>
    </row>
    <row r="93" spans="2:8" ht="36.75" customHeight="1">
      <c r="B93" s="35"/>
      <c r="C93" s="125"/>
      <c r="D93" s="3"/>
      <c r="E93" s="3"/>
      <c r="F93" s="3"/>
      <c r="G93" s="3"/>
      <c r="H93" s="126">
        <f>H91-H92</f>
        <v>-0.4499999999989086</v>
      </c>
    </row>
    <row r="94" ht="36.75" customHeight="1"/>
  </sheetData>
  <sheetProtection/>
  <mergeCells count="5">
    <mergeCell ref="B4:B5"/>
    <mergeCell ref="C4:G4"/>
    <mergeCell ref="H4:H5"/>
    <mergeCell ref="B3:H3"/>
    <mergeCell ref="B2:H2"/>
  </mergeCells>
  <printOptions horizontalCentered="1"/>
  <pageMargins left="0.7086614173228347" right="0.7086614173228347" top="0.7480314960629921" bottom="0.72" header="0.31496062992125984" footer="0.31496062992125984"/>
  <pageSetup horizontalDpi="600" verticalDpi="600" orientation="portrait" paperSize="5" scale="90" r:id="rId1"/>
  <ignoredErrors>
    <ignoredError sqref="C82 H61" formula="1"/>
    <ignoredError sqref="F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95"/>
  <sheetViews>
    <sheetView showGridLines="0" tabSelected="1" zoomScale="91" zoomScaleNormal="91" zoomScalePageLayoutView="0" workbookViewId="0" topLeftCell="A4">
      <pane xSplit="8" ySplit="4" topLeftCell="I91" activePane="bottomRight" state="frozen"/>
      <selection pane="topLeft" activeCell="A4" sqref="A4"/>
      <selection pane="topRight" activeCell="I4" sqref="I4"/>
      <selection pane="bottomLeft" activeCell="A8" sqref="A8"/>
      <selection pane="bottomRight" activeCell="A102" sqref="A102"/>
    </sheetView>
  </sheetViews>
  <sheetFormatPr defaultColWidth="12" defaultRowHeight="10.5"/>
  <cols>
    <col min="1" max="1" width="3.16015625" style="1" customWidth="1"/>
    <col min="2" max="6" width="12" style="1" hidden="1" customWidth="1"/>
    <col min="7" max="7" width="41.83203125" style="1" hidden="1" customWidth="1"/>
    <col min="8" max="8" width="50.83203125" style="35" customWidth="1"/>
    <col min="9" max="9" width="11.16015625" style="4" customWidth="1"/>
    <col min="10" max="10" width="12.16015625" style="5" customWidth="1"/>
    <col min="11" max="11" width="11.33203125" style="5" customWidth="1"/>
    <col min="12" max="12" width="12.66015625" style="5" customWidth="1"/>
    <col min="13" max="13" width="13.66015625" style="5" customWidth="1"/>
    <col min="14" max="14" width="9.66015625" style="6" customWidth="1"/>
    <col min="15" max="15" width="9.33203125" style="4" customWidth="1"/>
    <col min="16" max="16" width="11.33203125" style="5" customWidth="1"/>
    <col min="17" max="17" width="10.16015625" style="5" customWidth="1"/>
    <col min="18" max="18" width="10.83203125" style="5" customWidth="1"/>
    <col min="19" max="19" width="12" style="5" customWidth="1"/>
    <col min="20" max="20" width="9" style="6" customWidth="1"/>
    <col min="21" max="21" width="9.5" style="4" customWidth="1"/>
    <col min="22" max="22" width="10.83203125" style="5" customWidth="1"/>
    <col min="23" max="23" width="9.83203125" style="5" customWidth="1"/>
    <col min="24" max="24" width="10.83203125" style="5" customWidth="1"/>
    <col min="25" max="25" width="12.33203125" style="5" customWidth="1"/>
    <col min="26" max="26" width="10.33203125" style="6" customWidth="1"/>
    <col min="27" max="27" width="8.83203125" style="4" customWidth="1"/>
    <col min="28" max="29" width="11.33203125" style="5" customWidth="1"/>
    <col min="30" max="30" width="11.5" style="5" customWidth="1"/>
    <col min="31" max="31" width="11.66015625" style="5" customWidth="1"/>
    <col min="32" max="32" width="9" style="6" customWidth="1"/>
    <col min="33" max="16384" width="12" style="40" customWidth="1"/>
  </cols>
  <sheetData>
    <row r="1" spans="8:32" ht="20.25">
      <c r="H1" s="286" t="s">
        <v>11</v>
      </c>
      <c r="I1" s="286"/>
      <c r="J1" s="286"/>
      <c r="K1" s="286"/>
      <c r="L1" s="286"/>
      <c r="M1" s="286"/>
      <c r="N1" s="2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8:32" ht="20.25">
      <c r="H2" s="286" t="s">
        <v>12</v>
      </c>
      <c r="I2" s="286"/>
      <c r="J2" s="286"/>
      <c r="K2" s="286"/>
      <c r="L2" s="286"/>
      <c r="M2" s="286"/>
      <c r="N2" s="28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32" ht="20.25">
      <c r="H3" s="286" t="s">
        <v>6</v>
      </c>
      <c r="I3" s="286"/>
      <c r="J3" s="286"/>
      <c r="K3" s="286"/>
      <c r="L3" s="286"/>
      <c r="M3" s="286"/>
      <c r="N3" s="28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8:32" ht="34.5" customHeight="1">
      <c r="H4" s="287" t="s">
        <v>61</v>
      </c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</row>
    <row r="5" spans="8:32" ht="12.75" customHeight="1" thickBot="1">
      <c r="H5" s="284" t="s">
        <v>0</v>
      </c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</row>
    <row r="6" spans="8:32" ht="14.25" thickBot="1">
      <c r="H6" s="273" t="s">
        <v>125</v>
      </c>
      <c r="I6" s="275">
        <v>2012</v>
      </c>
      <c r="J6" s="275"/>
      <c r="K6" s="275"/>
      <c r="L6" s="275"/>
      <c r="M6" s="275"/>
      <c r="N6" s="276" t="s">
        <v>7</v>
      </c>
      <c r="O6" s="275">
        <v>2013</v>
      </c>
      <c r="P6" s="275"/>
      <c r="Q6" s="275"/>
      <c r="R6" s="275"/>
      <c r="S6" s="275"/>
      <c r="T6" s="276" t="s">
        <v>8</v>
      </c>
      <c r="U6" s="275">
        <v>2014</v>
      </c>
      <c r="V6" s="275"/>
      <c r="W6" s="275"/>
      <c r="X6" s="275"/>
      <c r="Y6" s="275"/>
      <c r="Z6" s="276" t="s">
        <v>9</v>
      </c>
      <c r="AA6" s="275">
        <v>2015</v>
      </c>
      <c r="AB6" s="275"/>
      <c r="AC6" s="275"/>
      <c r="AD6" s="275"/>
      <c r="AE6" s="275"/>
      <c r="AF6" s="276" t="s">
        <v>10</v>
      </c>
    </row>
    <row r="7" spans="1:32" s="42" customFormat="1" ht="26.25" customHeight="1" thickBot="1">
      <c r="A7" s="38"/>
      <c r="B7" s="38"/>
      <c r="C7" s="38"/>
      <c r="D7" s="38"/>
      <c r="E7" s="38"/>
      <c r="F7" s="38"/>
      <c r="G7" s="38"/>
      <c r="H7" s="274"/>
      <c r="I7" s="36" t="s">
        <v>3</v>
      </c>
      <c r="J7" s="37" t="s">
        <v>1</v>
      </c>
      <c r="K7" s="37" t="s">
        <v>2</v>
      </c>
      <c r="L7" s="37" t="s">
        <v>58</v>
      </c>
      <c r="M7" s="37" t="s">
        <v>59</v>
      </c>
      <c r="N7" s="277"/>
      <c r="O7" s="36" t="s">
        <v>3</v>
      </c>
      <c r="P7" s="37" t="s">
        <v>1</v>
      </c>
      <c r="Q7" s="37" t="s">
        <v>2</v>
      </c>
      <c r="R7" s="37" t="s">
        <v>58</v>
      </c>
      <c r="S7" s="37" t="s">
        <v>59</v>
      </c>
      <c r="T7" s="277"/>
      <c r="U7" s="36" t="s">
        <v>3</v>
      </c>
      <c r="V7" s="37" t="s">
        <v>1</v>
      </c>
      <c r="W7" s="37" t="s">
        <v>2</v>
      </c>
      <c r="X7" s="37" t="s">
        <v>58</v>
      </c>
      <c r="Y7" s="37" t="s">
        <v>59</v>
      </c>
      <c r="Z7" s="277"/>
      <c r="AA7" s="36" t="s">
        <v>3</v>
      </c>
      <c r="AB7" s="37" t="s">
        <v>1</v>
      </c>
      <c r="AC7" s="37" t="s">
        <v>2</v>
      </c>
      <c r="AD7" s="37" t="s">
        <v>58</v>
      </c>
      <c r="AE7" s="207" t="s">
        <v>59</v>
      </c>
      <c r="AF7" s="277"/>
    </row>
    <row r="8" spans="1:32" s="16" customFormat="1" ht="42.75" customHeight="1" thickBot="1">
      <c r="A8" s="2"/>
      <c r="B8" s="2"/>
      <c r="C8" s="2"/>
      <c r="D8" s="2"/>
      <c r="E8" s="2"/>
      <c r="F8" s="2"/>
      <c r="G8" s="2"/>
      <c r="H8" s="17" t="s">
        <v>138</v>
      </c>
      <c r="I8" s="58">
        <f>I9+I16+I20+I24+I32</f>
        <v>2837.670000000001</v>
      </c>
      <c r="J8" s="58">
        <f>J9+J16+J20+J24+J32</f>
        <v>392.21999999999997</v>
      </c>
      <c r="K8" s="58">
        <f>K9+K16+K20+K24+K32</f>
        <v>340</v>
      </c>
      <c r="L8" s="58">
        <f>L9+L16+L20+L24+L32</f>
        <v>1903</v>
      </c>
      <c r="M8" s="164">
        <f>M9+M16+M20+M24+M32</f>
        <v>30</v>
      </c>
      <c r="N8" s="59">
        <f aca="true" t="shared" si="0" ref="N8:N37">SUM(I8:M8)</f>
        <v>5502.890000000001</v>
      </c>
      <c r="O8" s="58">
        <f>O9+O16+O20+O24+O32</f>
        <v>2922.8001000000004</v>
      </c>
      <c r="P8" s="58">
        <f>P9+P16+P20+P24+P32</f>
        <v>403.98660000000007</v>
      </c>
      <c r="Q8" s="58">
        <f>Q9+Q16+Q20+Q24+Q32</f>
        <v>350.20000000000005</v>
      </c>
      <c r="R8" s="58">
        <f>R9+R16+R20+R24+R32</f>
        <v>1960.0900000000001</v>
      </c>
      <c r="S8" s="164">
        <f>S9+S16+S20+S24+S32</f>
        <v>30.900000000000002</v>
      </c>
      <c r="T8" s="59">
        <f aca="true" t="shared" si="1" ref="T8:T70">SUM(O8:S8)</f>
        <v>5667.9767</v>
      </c>
      <c r="U8" s="58">
        <f>U9+U16+U20+U24+U32</f>
        <v>3010.484103000001</v>
      </c>
      <c r="V8" s="58">
        <f>V9+V16+V20+V24+V32</f>
        <v>416.10619800000006</v>
      </c>
      <c r="W8" s="58">
        <f>W9+W16+W20+W24+W32</f>
        <v>360.7060000000001</v>
      </c>
      <c r="X8" s="58">
        <f>X9+X16+X20+X24+X32</f>
        <v>2018.8927</v>
      </c>
      <c r="Y8" s="58">
        <f>Y9+Y16+Y20+Y24+Y32</f>
        <v>31.827</v>
      </c>
      <c r="Z8" s="59">
        <f aca="true" t="shared" si="2" ref="Z8:Z71">SUM(U8:Y8)</f>
        <v>5838.016001000002</v>
      </c>
      <c r="AA8" s="58">
        <f>AA9+AA16+AA20+AA24+AA32</f>
        <v>3100.7986260900007</v>
      </c>
      <c r="AB8" s="58">
        <f>AB9+AB16+AB20+AB24+AB32</f>
        <v>428.58938394000006</v>
      </c>
      <c r="AC8" s="58">
        <f>AC9+AC16+AC20+AC24+AC32</f>
        <v>371.52718000000004</v>
      </c>
      <c r="AD8" s="58">
        <f>AD9+AD16+AD20+AD24+AD32</f>
        <v>2079.4594810000003</v>
      </c>
      <c r="AE8" s="164">
        <f>AE9+AE16+AE20+AE24+AE32</f>
        <v>32.78181</v>
      </c>
      <c r="AF8" s="59">
        <f aca="true" t="shared" si="3" ref="AF8:AF70">SUM(AA8:AE8)</f>
        <v>6013.1564810300015</v>
      </c>
    </row>
    <row r="9" spans="1:32" s="16" customFormat="1" ht="42.75" customHeight="1" thickBot="1">
      <c r="A9" s="2"/>
      <c r="B9" s="2"/>
      <c r="C9" s="2"/>
      <c r="D9" s="2"/>
      <c r="E9" s="2"/>
      <c r="F9" s="2"/>
      <c r="G9" s="2"/>
      <c r="H9" s="18" t="s">
        <v>4</v>
      </c>
      <c r="I9" s="60">
        <f>SUM(I10:I15)</f>
        <v>593.96</v>
      </c>
      <c r="J9" s="61">
        <f>SUM(J10:J15)</f>
        <v>239.4</v>
      </c>
      <c r="K9" s="61">
        <f>SUM(K10:K15)</f>
        <v>340</v>
      </c>
      <c r="L9" s="61">
        <f>SUM(L10:L15)</f>
        <v>0</v>
      </c>
      <c r="M9" s="165">
        <f>SUM(M10:M15)</f>
        <v>0</v>
      </c>
      <c r="N9" s="10">
        <f>SUM(I9:M9)</f>
        <v>1173.3600000000001</v>
      </c>
      <c r="O9" s="60">
        <f>SUM(O10:O15)</f>
        <v>611.7788</v>
      </c>
      <c r="P9" s="61">
        <f>SUM(P10:P15)</f>
        <v>246.58200000000002</v>
      </c>
      <c r="Q9" s="61">
        <f>SUM(Q10:Q15)</f>
        <v>350.20000000000005</v>
      </c>
      <c r="R9" s="61">
        <f>SUM(R10:R15)</f>
        <v>0</v>
      </c>
      <c r="S9" s="165">
        <f>SUM(S10:S15)</f>
        <v>0</v>
      </c>
      <c r="T9" s="10">
        <f t="shared" si="1"/>
        <v>1208.5608000000002</v>
      </c>
      <c r="U9" s="60">
        <f>SUM(U10:U15)</f>
        <v>630.132164</v>
      </c>
      <c r="V9" s="61">
        <f>SUM(V10:V15)</f>
        <v>253.97946000000002</v>
      </c>
      <c r="W9" s="61">
        <f>SUM(W10:W15)</f>
        <v>360.7060000000001</v>
      </c>
      <c r="X9" s="61">
        <f>SUM(X10:X15)</f>
        <v>0</v>
      </c>
      <c r="Y9" s="165">
        <f>SUM(Y10:Y15)</f>
        <v>0</v>
      </c>
      <c r="Z9" s="10">
        <f t="shared" si="2"/>
        <v>1244.817624</v>
      </c>
      <c r="AA9" s="60">
        <f>SUM(AA10:AA15)</f>
        <v>649.03612892</v>
      </c>
      <c r="AB9" s="61">
        <f>SUM(AB10:AB15)</f>
        <v>261.5988438</v>
      </c>
      <c r="AC9" s="61">
        <f>SUM(AC10:AC15)</f>
        <v>371.52718000000004</v>
      </c>
      <c r="AD9" s="61">
        <f>SUM(AD10:AD15)</f>
        <v>0</v>
      </c>
      <c r="AE9" s="165">
        <f>SUM(AE10:AE15)</f>
        <v>0</v>
      </c>
      <c r="AF9" s="10">
        <f t="shared" si="3"/>
        <v>1282.16215272</v>
      </c>
    </row>
    <row r="10" spans="1:32" s="16" customFormat="1" ht="50.25" customHeight="1">
      <c r="A10" s="2"/>
      <c r="B10" s="2"/>
      <c r="C10" s="2"/>
      <c r="D10" s="2"/>
      <c r="E10" s="2"/>
      <c r="F10" s="2"/>
      <c r="G10" s="2"/>
      <c r="H10" s="203" t="s">
        <v>68</v>
      </c>
      <c r="I10" s="62">
        <f>POAI!C8</f>
        <v>156.05</v>
      </c>
      <c r="J10" s="89">
        <f>POAI!D8</f>
        <v>29.4</v>
      </c>
      <c r="K10" s="89">
        <f>POAI!E8</f>
        <v>320</v>
      </c>
      <c r="L10" s="89">
        <f>POAI!F8</f>
        <v>0</v>
      </c>
      <c r="M10" s="115">
        <f>POAI!G8</f>
        <v>0</v>
      </c>
      <c r="N10" s="65">
        <f t="shared" si="0"/>
        <v>505.45000000000005</v>
      </c>
      <c r="O10" s="62">
        <f aca="true" t="shared" si="4" ref="O10:S15">+I10*1.03</f>
        <v>160.7315</v>
      </c>
      <c r="P10" s="63">
        <f t="shared" si="4"/>
        <v>30.282</v>
      </c>
      <c r="Q10" s="63">
        <f t="shared" si="4"/>
        <v>329.6</v>
      </c>
      <c r="R10" s="63">
        <f t="shared" si="4"/>
        <v>0</v>
      </c>
      <c r="S10" s="186">
        <f t="shared" si="4"/>
        <v>0</v>
      </c>
      <c r="T10" s="65">
        <f t="shared" si="1"/>
        <v>520.6135</v>
      </c>
      <c r="U10" s="195">
        <f aca="true" t="shared" si="5" ref="U10:Y15">+O10*1.03</f>
        <v>165.553445</v>
      </c>
      <c r="V10" s="63">
        <f t="shared" si="5"/>
        <v>31.19046</v>
      </c>
      <c r="W10" s="63">
        <f t="shared" si="5"/>
        <v>339.48800000000006</v>
      </c>
      <c r="X10" s="63">
        <f t="shared" si="5"/>
        <v>0</v>
      </c>
      <c r="Y10" s="64">
        <f t="shared" si="5"/>
        <v>0</v>
      </c>
      <c r="Z10" s="65">
        <f t="shared" si="2"/>
        <v>536.2319050000001</v>
      </c>
      <c r="AA10" s="62">
        <f aca="true" t="shared" si="6" ref="AA10:AE15">+U10*1.03</f>
        <v>170.52004835000002</v>
      </c>
      <c r="AB10" s="63">
        <f t="shared" si="6"/>
        <v>32.126173800000004</v>
      </c>
      <c r="AC10" s="63">
        <f t="shared" si="6"/>
        <v>349.67264000000006</v>
      </c>
      <c r="AD10" s="63">
        <f t="shared" si="6"/>
        <v>0</v>
      </c>
      <c r="AE10" s="186">
        <f t="shared" si="6"/>
        <v>0</v>
      </c>
      <c r="AF10" s="65">
        <f t="shared" si="3"/>
        <v>552.3188621500001</v>
      </c>
    </row>
    <row r="11" spans="8:32" s="16" customFormat="1" ht="42.75" customHeight="1">
      <c r="H11" s="204" t="s">
        <v>69</v>
      </c>
      <c r="I11" s="68">
        <f>POAI!C9</f>
        <v>52.45</v>
      </c>
      <c r="J11" s="91">
        <f>POAI!D9</f>
        <v>180</v>
      </c>
      <c r="K11" s="91">
        <f>POAI!E9</f>
        <v>0</v>
      </c>
      <c r="L11" s="91">
        <f>POAI!F9</f>
        <v>0</v>
      </c>
      <c r="M11" s="166">
        <f>POAI!G9</f>
        <v>0</v>
      </c>
      <c r="N11" s="67">
        <f t="shared" si="0"/>
        <v>232.45</v>
      </c>
      <c r="O11" s="66">
        <f t="shared" si="4"/>
        <v>54.023500000000006</v>
      </c>
      <c r="P11" s="14">
        <f t="shared" si="4"/>
        <v>185.4</v>
      </c>
      <c r="Q11" s="14">
        <f t="shared" si="4"/>
        <v>0</v>
      </c>
      <c r="R11" s="14">
        <f t="shared" si="4"/>
        <v>0</v>
      </c>
      <c r="S11" s="187">
        <f t="shared" si="4"/>
        <v>0</v>
      </c>
      <c r="T11" s="67">
        <f t="shared" si="1"/>
        <v>239.42350000000002</v>
      </c>
      <c r="U11" s="196">
        <f t="shared" si="5"/>
        <v>55.64420500000001</v>
      </c>
      <c r="V11" s="14">
        <f t="shared" si="5"/>
        <v>190.96200000000002</v>
      </c>
      <c r="W11" s="14">
        <f t="shared" si="5"/>
        <v>0</v>
      </c>
      <c r="X11" s="14">
        <f t="shared" si="5"/>
        <v>0</v>
      </c>
      <c r="Y11" s="15">
        <f t="shared" si="5"/>
        <v>0</v>
      </c>
      <c r="Z11" s="67">
        <f t="shared" si="2"/>
        <v>246.60620500000002</v>
      </c>
      <c r="AA11" s="66">
        <f t="shared" si="6"/>
        <v>57.31353115000001</v>
      </c>
      <c r="AB11" s="14">
        <f t="shared" si="6"/>
        <v>196.69086000000001</v>
      </c>
      <c r="AC11" s="14">
        <f t="shared" si="6"/>
        <v>0</v>
      </c>
      <c r="AD11" s="14">
        <f t="shared" si="6"/>
        <v>0</v>
      </c>
      <c r="AE11" s="187">
        <f t="shared" si="6"/>
        <v>0</v>
      </c>
      <c r="AF11" s="67">
        <f t="shared" si="3"/>
        <v>254.00439115000003</v>
      </c>
    </row>
    <row r="12" spans="1:32" s="16" customFormat="1" ht="42.75" customHeight="1">
      <c r="A12" s="2"/>
      <c r="B12" s="2"/>
      <c r="C12" s="2"/>
      <c r="D12" s="2"/>
      <c r="E12" s="2"/>
      <c r="F12" s="2"/>
      <c r="G12" s="2"/>
      <c r="H12" s="205" t="s">
        <v>70</v>
      </c>
      <c r="I12" s="68">
        <f>POAI!C10</f>
        <v>66.87</v>
      </c>
      <c r="J12" s="91">
        <f>POAI!D10</f>
        <v>30</v>
      </c>
      <c r="K12" s="91">
        <f>POAI!E10</f>
        <v>0</v>
      </c>
      <c r="L12" s="91">
        <f>POAI!F10</f>
        <v>0</v>
      </c>
      <c r="M12" s="166">
        <f>POAI!G10</f>
        <v>0</v>
      </c>
      <c r="N12" s="69">
        <f t="shared" si="0"/>
        <v>96.87</v>
      </c>
      <c r="O12" s="68">
        <f t="shared" si="4"/>
        <v>68.87610000000001</v>
      </c>
      <c r="P12" s="7">
        <f t="shared" si="4"/>
        <v>30.900000000000002</v>
      </c>
      <c r="Q12" s="7">
        <f t="shared" si="4"/>
        <v>0</v>
      </c>
      <c r="R12" s="7">
        <f t="shared" si="4"/>
        <v>0</v>
      </c>
      <c r="S12" s="9">
        <f t="shared" si="4"/>
        <v>0</v>
      </c>
      <c r="T12" s="69">
        <f t="shared" si="1"/>
        <v>99.77610000000001</v>
      </c>
      <c r="U12" s="77">
        <f t="shared" si="5"/>
        <v>70.942383</v>
      </c>
      <c r="V12" s="7">
        <f t="shared" si="5"/>
        <v>31.827</v>
      </c>
      <c r="W12" s="7">
        <f t="shared" si="5"/>
        <v>0</v>
      </c>
      <c r="X12" s="7">
        <f t="shared" si="5"/>
        <v>0</v>
      </c>
      <c r="Y12" s="8">
        <f t="shared" si="5"/>
        <v>0</v>
      </c>
      <c r="Z12" s="69">
        <f t="shared" si="2"/>
        <v>102.769383</v>
      </c>
      <c r="AA12" s="68">
        <f t="shared" si="6"/>
        <v>73.07065449000001</v>
      </c>
      <c r="AB12" s="7">
        <f t="shared" si="6"/>
        <v>32.78181</v>
      </c>
      <c r="AC12" s="7">
        <f t="shared" si="6"/>
        <v>0</v>
      </c>
      <c r="AD12" s="7">
        <f t="shared" si="6"/>
        <v>0</v>
      </c>
      <c r="AE12" s="9">
        <f t="shared" si="6"/>
        <v>0</v>
      </c>
      <c r="AF12" s="69">
        <f t="shared" si="3"/>
        <v>105.85246449000002</v>
      </c>
    </row>
    <row r="13" spans="1:32" s="16" customFormat="1" ht="42.75" customHeight="1">
      <c r="A13" s="2"/>
      <c r="B13" s="2"/>
      <c r="C13" s="2"/>
      <c r="D13" s="2"/>
      <c r="E13" s="2"/>
      <c r="F13" s="2"/>
      <c r="G13" s="2"/>
      <c r="H13" s="205" t="s">
        <v>71</v>
      </c>
      <c r="I13" s="68">
        <f>POAI!C11</f>
        <v>52.57</v>
      </c>
      <c r="J13" s="91">
        <f>POAI!D11</f>
        <v>0</v>
      </c>
      <c r="K13" s="91">
        <f>POAI!E11</f>
        <v>0</v>
      </c>
      <c r="L13" s="91">
        <f>POAI!F11</f>
        <v>0</v>
      </c>
      <c r="M13" s="166">
        <f>POAI!G11</f>
        <v>0</v>
      </c>
      <c r="N13" s="69">
        <f t="shared" si="0"/>
        <v>52.57</v>
      </c>
      <c r="O13" s="68">
        <f t="shared" si="4"/>
        <v>54.1471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9">
        <f t="shared" si="4"/>
        <v>0</v>
      </c>
      <c r="T13" s="69">
        <f t="shared" si="1"/>
        <v>54.1471</v>
      </c>
      <c r="U13" s="77">
        <f t="shared" si="5"/>
        <v>55.771513000000006</v>
      </c>
      <c r="V13" s="7">
        <f t="shared" si="5"/>
        <v>0</v>
      </c>
      <c r="W13" s="7">
        <f t="shared" si="5"/>
        <v>0</v>
      </c>
      <c r="X13" s="7">
        <f t="shared" si="5"/>
        <v>0</v>
      </c>
      <c r="Y13" s="8">
        <f t="shared" si="5"/>
        <v>0</v>
      </c>
      <c r="Z13" s="69">
        <f t="shared" si="2"/>
        <v>55.771513000000006</v>
      </c>
      <c r="AA13" s="68">
        <f t="shared" si="6"/>
        <v>57.44465839000001</v>
      </c>
      <c r="AB13" s="7">
        <f t="shared" si="6"/>
        <v>0</v>
      </c>
      <c r="AC13" s="7">
        <f t="shared" si="6"/>
        <v>0</v>
      </c>
      <c r="AD13" s="7">
        <f t="shared" si="6"/>
        <v>0</v>
      </c>
      <c r="AE13" s="9">
        <f t="shared" si="6"/>
        <v>0</v>
      </c>
      <c r="AF13" s="69">
        <f t="shared" si="3"/>
        <v>57.44465839000001</v>
      </c>
    </row>
    <row r="14" spans="1:32" s="16" customFormat="1" ht="42.75" customHeight="1">
      <c r="A14" s="2"/>
      <c r="B14" s="2"/>
      <c r="C14" s="2"/>
      <c r="D14" s="2"/>
      <c r="E14" s="2"/>
      <c r="F14" s="2"/>
      <c r="G14" s="2"/>
      <c r="H14" s="203" t="s">
        <v>72</v>
      </c>
      <c r="I14" s="68">
        <f>POAI!C12</f>
        <v>266.02</v>
      </c>
      <c r="J14" s="91">
        <f>POAI!D12</f>
        <v>0</v>
      </c>
      <c r="K14" s="91">
        <f>POAI!E12</f>
        <v>0</v>
      </c>
      <c r="L14" s="91">
        <f>POAI!F12</f>
        <v>0</v>
      </c>
      <c r="M14" s="166">
        <f>POAI!G12</f>
        <v>0</v>
      </c>
      <c r="N14" s="69">
        <f t="shared" si="0"/>
        <v>266.02</v>
      </c>
      <c r="O14" s="68">
        <f t="shared" si="4"/>
        <v>274.00059999999996</v>
      </c>
      <c r="P14" s="7">
        <f t="shared" si="4"/>
        <v>0</v>
      </c>
      <c r="Q14" s="7">
        <f t="shared" si="4"/>
        <v>0</v>
      </c>
      <c r="R14" s="7">
        <f t="shared" si="4"/>
        <v>0</v>
      </c>
      <c r="S14" s="9">
        <f t="shared" si="4"/>
        <v>0</v>
      </c>
      <c r="T14" s="69">
        <f t="shared" si="1"/>
        <v>274.00059999999996</v>
      </c>
      <c r="U14" s="77">
        <f t="shared" si="5"/>
        <v>282.22061799999994</v>
      </c>
      <c r="V14" s="7">
        <f t="shared" si="5"/>
        <v>0</v>
      </c>
      <c r="W14" s="7">
        <f t="shared" si="5"/>
        <v>0</v>
      </c>
      <c r="X14" s="7">
        <f t="shared" si="5"/>
        <v>0</v>
      </c>
      <c r="Y14" s="8">
        <f t="shared" si="5"/>
        <v>0</v>
      </c>
      <c r="Z14" s="69">
        <f t="shared" si="2"/>
        <v>282.22061799999994</v>
      </c>
      <c r="AA14" s="68">
        <f t="shared" si="6"/>
        <v>290.68723653999996</v>
      </c>
      <c r="AB14" s="7">
        <f t="shared" si="6"/>
        <v>0</v>
      </c>
      <c r="AC14" s="7">
        <f t="shared" si="6"/>
        <v>0</v>
      </c>
      <c r="AD14" s="7">
        <f t="shared" si="6"/>
        <v>0</v>
      </c>
      <c r="AE14" s="9">
        <f t="shared" si="6"/>
        <v>0</v>
      </c>
      <c r="AF14" s="69">
        <f t="shared" si="3"/>
        <v>290.68723653999996</v>
      </c>
    </row>
    <row r="15" spans="8:32" ht="42.75" customHeight="1" thickBot="1">
      <c r="H15" s="206" t="s">
        <v>124</v>
      </c>
      <c r="I15" s="80">
        <f>POAI!C13</f>
        <v>0</v>
      </c>
      <c r="J15" s="93">
        <f>POAI!D13</f>
        <v>0</v>
      </c>
      <c r="K15" s="93">
        <f>POAI!E13</f>
        <v>20</v>
      </c>
      <c r="L15" s="93">
        <f>POAI!F13</f>
        <v>0</v>
      </c>
      <c r="M15" s="167">
        <f>POAI!G13</f>
        <v>0</v>
      </c>
      <c r="N15" s="73">
        <f t="shared" si="0"/>
        <v>20</v>
      </c>
      <c r="O15" s="70">
        <f t="shared" si="4"/>
        <v>0</v>
      </c>
      <c r="P15" s="71">
        <f t="shared" si="4"/>
        <v>0</v>
      </c>
      <c r="Q15" s="71">
        <f t="shared" si="4"/>
        <v>20.6</v>
      </c>
      <c r="R15" s="71">
        <f t="shared" si="4"/>
        <v>0</v>
      </c>
      <c r="S15" s="188">
        <f t="shared" si="4"/>
        <v>0</v>
      </c>
      <c r="T15" s="73">
        <f t="shared" si="1"/>
        <v>20.6</v>
      </c>
      <c r="U15" s="197">
        <f t="shared" si="5"/>
        <v>0</v>
      </c>
      <c r="V15" s="71">
        <f t="shared" si="5"/>
        <v>0</v>
      </c>
      <c r="W15" s="71">
        <f t="shared" si="5"/>
        <v>21.218000000000004</v>
      </c>
      <c r="X15" s="71">
        <f t="shared" si="5"/>
        <v>0</v>
      </c>
      <c r="Y15" s="72">
        <f t="shared" si="5"/>
        <v>0</v>
      </c>
      <c r="Z15" s="73">
        <f t="shared" si="2"/>
        <v>21.218000000000004</v>
      </c>
      <c r="AA15" s="70">
        <f t="shared" si="6"/>
        <v>0</v>
      </c>
      <c r="AB15" s="71">
        <f t="shared" si="6"/>
        <v>0</v>
      </c>
      <c r="AC15" s="71">
        <f t="shared" si="6"/>
        <v>21.854540000000004</v>
      </c>
      <c r="AD15" s="71">
        <f t="shared" si="6"/>
        <v>0</v>
      </c>
      <c r="AE15" s="188">
        <f t="shared" si="6"/>
        <v>0</v>
      </c>
      <c r="AF15" s="73">
        <f t="shared" si="3"/>
        <v>21.854540000000004</v>
      </c>
    </row>
    <row r="16" spans="8:32" ht="42.75" customHeight="1" thickBot="1">
      <c r="H16" s="18" t="s">
        <v>5</v>
      </c>
      <c r="I16" s="135">
        <f>SUM(I17:I19)</f>
        <v>2067.0000000000005</v>
      </c>
      <c r="J16" s="135">
        <f>SUM(J17:J19)</f>
        <v>65</v>
      </c>
      <c r="K16" s="135">
        <f>SUM(K17:K19)</f>
        <v>0</v>
      </c>
      <c r="L16" s="135">
        <f>SUM(L17:L19)</f>
        <v>1903</v>
      </c>
      <c r="M16" s="168">
        <f>SUM(M17:M19)</f>
        <v>0</v>
      </c>
      <c r="N16" s="10">
        <f t="shared" si="0"/>
        <v>4035.0000000000005</v>
      </c>
      <c r="O16" s="74">
        <f>SUM(O17:O19)</f>
        <v>2129.0100000000007</v>
      </c>
      <c r="P16" s="74">
        <f>SUM(P17:P19)</f>
        <v>66.95</v>
      </c>
      <c r="Q16" s="74">
        <f>SUM(Q17:Q19)</f>
        <v>0</v>
      </c>
      <c r="R16" s="74">
        <f>SUM(R17:R19)</f>
        <v>1960.0900000000001</v>
      </c>
      <c r="S16" s="158">
        <f>SUM(S17:S19)</f>
        <v>0</v>
      </c>
      <c r="T16" s="10">
        <f t="shared" si="1"/>
        <v>4156.050000000001</v>
      </c>
      <c r="U16" s="74">
        <f>SUM(U17:U19)</f>
        <v>2192.8803000000007</v>
      </c>
      <c r="V16" s="74">
        <f>SUM(V17:V19)</f>
        <v>68.9585</v>
      </c>
      <c r="W16" s="74">
        <f>SUM(W17:W19)</f>
        <v>0</v>
      </c>
      <c r="X16" s="74">
        <f>SUM(X17:X19)</f>
        <v>2018.8927</v>
      </c>
      <c r="Y16" s="74">
        <f>SUM(Y17:Y19)</f>
        <v>0</v>
      </c>
      <c r="Z16" s="10">
        <f t="shared" si="2"/>
        <v>4280.731500000001</v>
      </c>
      <c r="AA16" s="74">
        <f>SUM(AA17:AA19)</f>
        <v>2258.6667090000005</v>
      </c>
      <c r="AB16" s="74">
        <f>SUM(AB17:AB19)</f>
        <v>71.027255</v>
      </c>
      <c r="AC16" s="74">
        <f>SUM(AC17:AC19)</f>
        <v>0</v>
      </c>
      <c r="AD16" s="74">
        <f>SUM(AD17:AD19)</f>
        <v>2079.4594810000003</v>
      </c>
      <c r="AE16" s="158">
        <f>SUM(AE17:AE19)</f>
        <v>0</v>
      </c>
      <c r="AF16" s="10">
        <f t="shared" si="3"/>
        <v>4409.153445000001</v>
      </c>
    </row>
    <row r="17" spans="1:32" ht="42.75" customHeight="1">
      <c r="A17" s="40"/>
      <c r="B17" s="40"/>
      <c r="C17" s="40"/>
      <c r="D17" s="40"/>
      <c r="E17" s="40"/>
      <c r="F17" s="40"/>
      <c r="G17" s="40"/>
      <c r="H17" s="44" t="s">
        <v>13</v>
      </c>
      <c r="I17" s="75">
        <f>POAI!C15</f>
        <v>1923.3000000000004</v>
      </c>
      <c r="J17" s="75">
        <f>POAI!D15</f>
        <v>15</v>
      </c>
      <c r="K17" s="75">
        <f>POAI!E15</f>
        <v>0</v>
      </c>
      <c r="L17" s="75">
        <f>POAI!F15</f>
        <v>1903</v>
      </c>
      <c r="M17" s="169">
        <f>POAI!G15</f>
        <v>0</v>
      </c>
      <c r="N17" s="76">
        <f t="shared" si="0"/>
        <v>3841.3</v>
      </c>
      <c r="O17" s="75">
        <f aca="true" t="shared" si="7" ref="O17:S19">+I17*1.03</f>
        <v>1980.9990000000005</v>
      </c>
      <c r="P17" s="39">
        <f t="shared" si="7"/>
        <v>15.450000000000001</v>
      </c>
      <c r="Q17" s="39">
        <f t="shared" si="7"/>
        <v>0</v>
      </c>
      <c r="R17" s="75">
        <f t="shared" si="7"/>
        <v>1960.0900000000001</v>
      </c>
      <c r="S17" s="169">
        <f t="shared" si="7"/>
        <v>0</v>
      </c>
      <c r="T17" s="76">
        <f t="shared" si="1"/>
        <v>3956.5390000000007</v>
      </c>
      <c r="U17" s="75">
        <f aca="true" t="shared" si="8" ref="U17:Y19">+O17*1.03</f>
        <v>2040.4289700000006</v>
      </c>
      <c r="V17" s="39">
        <f t="shared" si="8"/>
        <v>15.9135</v>
      </c>
      <c r="W17" s="39">
        <f t="shared" si="8"/>
        <v>0</v>
      </c>
      <c r="X17" s="75">
        <f t="shared" si="8"/>
        <v>2018.8927</v>
      </c>
      <c r="Y17" s="75">
        <f t="shared" si="8"/>
        <v>0</v>
      </c>
      <c r="Z17" s="76">
        <f t="shared" si="2"/>
        <v>4075.235170000001</v>
      </c>
      <c r="AA17" s="75">
        <f aca="true" t="shared" si="9" ref="AA17:AE19">+U17*1.03</f>
        <v>2101.6418391000007</v>
      </c>
      <c r="AB17" s="39">
        <f t="shared" si="9"/>
        <v>16.390905</v>
      </c>
      <c r="AC17" s="39">
        <f t="shared" si="9"/>
        <v>0</v>
      </c>
      <c r="AD17" s="75">
        <f t="shared" si="9"/>
        <v>2079.4594810000003</v>
      </c>
      <c r="AE17" s="169">
        <f t="shared" si="9"/>
        <v>0</v>
      </c>
      <c r="AF17" s="76">
        <f t="shared" si="3"/>
        <v>4197.492225100001</v>
      </c>
    </row>
    <row r="18" spans="8:32" ht="42.75" customHeight="1">
      <c r="H18" s="23" t="s">
        <v>62</v>
      </c>
      <c r="I18" s="75">
        <f>POAI!C16</f>
        <v>143.7</v>
      </c>
      <c r="J18" s="75">
        <f>POAI!D16</f>
        <v>0</v>
      </c>
      <c r="K18" s="75">
        <f>POAI!E16</f>
        <v>0</v>
      </c>
      <c r="L18" s="75">
        <f>POAI!F16</f>
        <v>0</v>
      </c>
      <c r="M18" s="169">
        <f>POAI!G16</f>
        <v>0</v>
      </c>
      <c r="N18" s="69">
        <f t="shared" si="0"/>
        <v>143.7</v>
      </c>
      <c r="O18" s="77">
        <f t="shared" si="7"/>
        <v>148.011</v>
      </c>
      <c r="P18" s="7">
        <f t="shared" si="7"/>
        <v>0</v>
      </c>
      <c r="Q18" s="7">
        <f t="shared" si="7"/>
        <v>0</v>
      </c>
      <c r="R18" s="9">
        <f t="shared" si="7"/>
        <v>0</v>
      </c>
      <c r="S18" s="9">
        <f t="shared" si="7"/>
        <v>0</v>
      </c>
      <c r="T18" s="69">
        <f t="shared" si="1"/>
        <v>148.011</v>
      </c>
      <c r="U18" s="77">
        <f t="shared" si="8"/>
        <v>152.45133</v>
      </c>
      <c r="V18" s="7">
        <f t="shared" si="8"/>
        <v>0</v>
      </c>
      <c r="W18" s="7">
        <f t="shared" si="8"/>
        <v>0</v>
      </c>
      <c r="X18" s="9">
        <f t="shared" si="8"/>
        <v>0</v>
      </c>
      <c r="Y18" s="9">
        <f t="shared" si="8"/>
        <v>0</v>
      </c>
      <c r="Z18" s="69">
        <f t="shared" si="2"/>
        <v>152.45133</v>
      </c>
      <c r="AA18" s="77">
        <f t="shared" si="9"/>
        <v>157.02486990000003</v>
      </c>
      <c r="AB18" s="7">
        <f t="shared" si="9"/>
        <v>0</v>
      </c>
      <c r="AC18" s="7">
        <f t="shared" si="9"/>
        <v>0</v>
      </c>
      <c r="AD18" s="9">
        <f t="shared" si="9"/>
        <v>0</v>
      </c>
      <c r="AE18" s="9">
        <f t="shared" si="9"/>
        <v>0</v>
      </c>
      <c r="AF18" s="69">
        <f t="shared" si="3"/>
        <v>157.02486990000003</v>
      </c>
    </row>
    <row r="19" spans="8:32" ht="42.75" customHeight="1" thickBot="1">
      <c r="H19" s="30" t="s">
        <v>60</v>
      </c>
      <c r="I19" s="75">
        <f>POAI!C17</f>
        <v>0</v>
      </c>
      <c r="J19" s="75">
        <f>POAI!D17</f>
        <v>50</v>
      </c>
      <c r="K19" s="75">
        <f>POAI!E17</f>
        <v>0</v>
      </c>
      <c r="L19" s="75">
        <f>POAI!F17</f>
        <v>0</v>
      </c>
      <c r="M19" s="169">
        <f>POAI!G17</f>
        <v>0</v>
      </c>
      <c r="N19" s="79">
        <f t="shared" si="0"/>
        <v>50</v>
      </c>
      <c r="O19" s="78">
        <f t="shared" si="7"/>
        <v>0</v>
      </c>
      <c r="P19" s="41">
        <f t="shared" si="7"/>
        <v>51.5</v>
      </c>
      <c r="Q19" s="41">
        <f t="shared" si="7"/>
        <v>0</v>
      </c>
      <c r="R19" s="54">
        <f t="shared" si="7"/>
        <v>0</v>
      </c>
      <c r="S19" s="54">
        <f t="shared" si="7"/>
        <v>0</v>
      </c>
      <c r="T19" s="79">
        <f t="shared" si="1"/>
        <v>51.5</v>
      </c>
      <c r="U19" s="78">
        <f t="shared" si="8"/>
        <v>0</v>
      </c>
      <c r="V19" s="41">
        <f t="shared" si="8"/>
        <v>53.045</v>
      </c>
      <c r="W19" s="41">
        <f t="shared" si="8"/>
        <v>0</v>
      </c>
      <c r="X19" s="54">
        <f t="shared" si="8"/>
        <v>0</v>
      </c>
      <c r="Y19" s="54">
        <f t="shared" si="8"/>
        <v>0</v>
      </c>
      <c r="Z19" s="79">
        <f t="shared" si="2"/>
        <v>53.045</v>
      </c>
      <c r="AA19" s="78">
        <f t="shared" si="9"/>
        <v>0</v>
      </c>
      <c r="AB19" s="41">
        <f t="shared" si="9"/>
        <v>54.63635</v>
      </c>
      <c r="AC19" s="41">
        <f t="shared" si="9"/>
        <v>0</v>
      </c>
      <c r="AD19" s="54">
        <f t="shared" si="9"/>
        <v>0</v>
      </c>
      <c r="AE19" s="54">
        <f t="shared" si="9"/>
        <v>0</v>
      </c>
      <c r="AF19" s="79">
        <f t="shared" si="3"/>
        <v>54.63635</v>
      </c>
    </row>
    <row r="20" spans="8:32" ht="42.75" customHeight="1" thickBot="1">
      <c r="H20" s="24" t="s">
        <v>14</v>
      </c>
      <c r="I20" s="136">
        <f>SUM(I21:I23)</f>
        <v>30.99000000000001</v>
      </c>
      <c r="J20" s="136">
        <f>SUM(J21:J23)</f>
        <v>85.12</v>
      </c>
      <c r="K20" s="136">
        <f>SUM(K21:K23)</f>
        <v>0</v>
      </c>
      <c r="L20" s="136">
        <f>SUM(L21:L23)</f>
        <v>0</v>
      </c>
      <c r="M20" s="170">
        <f>SUM(M21:M23)</f>
        <v>30</v>
      </c>
      <c r="N20" s="10">
        <f t="shared" si="0"/>
        <v>146.11</v>
      </c>
      <c r="O20" s="74">
        <f>SUM(O21:O23)</f>
        <v>31.919700000000013</v>
      </c>
      <c r="P20" s="74">
        <f>SUM(P21:P23)</f>
        <v>87.67360000000002</v>
      </c>
      <c r="Q20" s="74">
        <f>SUM(Q21:Q23)</f>
        <v>0</v>
      </c>
      <c r="R20" s="74">
        <f>SUM(R21:R23)</f>
        <v>0</v>
      </c>
      <c r="S20" s="158">
        <f>SUM(S21:S23)</f>
        <v>30.900000000000002</v>
      </c>
      <c r="T20" s="10">
        <f t="shared" si="1"/>
        <v>150.49330000000003</v>
      </c>
      <c r="U20" s="74">
        <f>SUM(U21:U23)</f>
        <v>32.877291000000014</v>
      </c>
      <c r="V20" s="74">
        <f>SUM(V21:V23)</f>
        <v>90.303808</v>
      </c>
      <c r="W20" s="74">
        <f>SUM(W21:W23)</f>
        <v>0</v>
      </c>
      <c r="X20" s="74">
        <f>SUM(X21:X23)</f>
        <v>0</v>
      </c>
      <c r="Y20" s="74">
        <f>SUM(Y21:Y23)</f>
        <v>31.827</v>
      </c>
      <c r="Z20" s="10">
        <f t="shared" si="2"/>
        <v>155.00809900000002</v>
      </c>
      <c r="AA20" s="74">
        <f>SUM(AA21:AA23)</f>
        <v>33.863609730000015</v>
      </c>
      <c r="AB20" s="74">
        <f>SUM(AB21:AB23)</f>
        <v>93.01292224000001</v>
      </c>
      <c r="AC20" s="74">
        <f>SUM(AC21:AC23)</f>
        <v>0</v>
      </c>
      <c r="AD20" s="74">
        <f>SUM(AD21:AD23)</f>
        <v>0</v>
      </c>
      <c r="AE20" s="158">
        <f>SUM(AE21:AE23)</f>
        <v>32.78181</v>
      </c>
      <c r="AF20" s="10">
        <f t="shared" si="3"/>
        <v>159.65834197000004</v>
      </c>
    </row>
    <row r="21" spans="8:32" ht="42.75" customHeight="1">
      <c r="H21" s="45" t="s">
        <v>16</v>
      </c>
      <c r="I21" s="62">
        <f>POAI!C19</f>
        <v>0</v>
      </c>
      <c r="J21" s="89">
        <f>POAI!D19</f>
        <v>10</v>
      </c>
      <c r="K21" s="89">
        <f>POAI!E19</f>
        <v>0</v>
      </c>
      <c r="L21" s="89">
        <f>POAI!F19</f>
        <v>0</v>
      </c>
      <c r="M21" s="115">
        <f>POAI!G19</f>
        <v>0</v>
      </c>
      <c r="N21" s="65">
        <f t="shared" si="0"/>
        <v>10</v>
      </c>
      <c r="O21" s="62">
        <f aca="true" t="shared" si="10" ref="O21:S23">+I21*1.03</f>
        <v>0</v>
      </c>
      <c r="P21" s="63">
        <f t="shared" si="10"/>
        <v>10.3</v>
      </c>
      <c r="Q21" s="63">
        <f t="shared" si="10"/>
        <v>0</v>
      </c>
      <c r="R21" s="63">
        <f t="shared" si="10"/>
        <v>0</v>
      </c>
      <c r="S21" s="186">
        <f t="shared" si="10"/>
        <v>0</v>
      </c>
      <c r="T21" s="65">
        <f t="shared" si="1"/>
        <v>10.3</v>
      </c>
      <c r="U21" s="195">
        <f aca="true" t="shared" si="11" ref="U21:Y23">+O21*1.03</f>
        <v>0</v>
      </c>
      <c r="V21" s="63">
        <f t="shared" si="11"/>
        <v>10.609000000000002</v>
      </c>
      <c r="W21" s="63">
        <f t="shared" si="11"/>
        <v>0</v>
      </c>
      <c r="X21" s="63">
        <f t="shared" si="11"/>
        <v>0</v>
      </c>
      <c r="Y21" s="64">
        <f t="shared" si="11"/>
        <v>0</v>
      </c>
      <c r="Z21" s="65">
        <f t="shared" si="2"/>
        <v>10.609000000000002</v>
      </c>
      <c r="AA21" s="62">
        <f aca="true" t="shared" si="12" ref="AA21:AE23">+U21*1.03</f>
        <v>0</v>
      </c>
      <c r="AB21" s="63">
        <f t="shared" si="12"/>
        <v>10.927270000000002</v>
      </c>
      <c r="AC21" s="63">
        <f t="shared" si="12"/>
        <v>0</v>
      </c>
      <c r="AD21" s="63">
        <f t="shared" si="12"/>
        <v>0</v>
      </c>
      <c r="AE21" s="186">
        <f t="shared" si="12"/>
        <v>0</v>
      </c>
      <c r="AF21" s="65">
        <f t="shared" si="3"/>
        <v>10.927270000000002</v>
      </c>
    </row>
    <row r="22" spans="8:32" ht="42.75" customHeight="1">
      <c r="H22" s="27" t="s">
        <v>17</v>
      </c>
      <c r="I22" s="68">
        <f>POAI!C20</f>
        <v>10.490000000000009</v>
      </c>
      <c r="J22" s="91">
        <f>POAI!D20</f>
        <v>35</v>
      </c>
      <c r="K22" s="91">
        <f>POAI!E20</f>
        <v>0</v>
      </c>
      <c r="L22" s="91">
        <f>POAI!F20</f>
        <v>0</v>
      </c>
      <c r="M22" s="166">
        <f>POAI!G20</f>
        <v>0</v>
      </c>
      <c r="N22" s="69">
        <f t="shared" si="0"/>
        <v>45.49000000000001</v>
      </c>
      <c r="O22" s="68">
        <f t="shared" si="10"/>
        <v>10.80470000000001</v>
      </c>
      <c r="P22" s="14">
        <f t="shared" si="10"/>
        <v>36.050000000000004</v>
      </c>
      <c r="Q22" s="7">
        <f t="shared" si="10"/>
        <v>0</v>
      </c>
      <c r="R22" s="7">
        <f t="shared" si="10"/>
        <v>0</v>
      </c>
      <c r="S22" s="9">
        <f t="shared" si="10"/>
        <v>0</v>
      </c>
      <c r="T22" s="69">
        <f t="shared" si="1"/>
        <v>46.854700000000015</v>
      </c>
      <c r="U22" s="77">
        <f t="shared" si="11"/>
        <v>11.12884100000001</v>
      </c>
      <c r="V22" s="14">
        <f t="shared" si="11"/>
        <v>37.1315</v>
      </c>
      <c r="W22" s="7">
        <f t="shared" si="11"/>
        <v>0</v>
      </c>
      <c r="X22" s="7">
        <f t="shared" si="11"/>
        <v>0</v>
      </c>
      <c r="Y22" s="8">
        <f t="shared" si="11"/>
        <v>0</v>
      </c>
      <c r="Z22" s="69">
        <f t="shared" si="2"/>
        <v>48.26034100000001</v>
      </c>
      <c r="AA22" s="68">
        <f t="shared" si="12"/>
        <v>11.46270623000001</v>
      </c>
      <c r="AB22" s="14">
        <f t="shared" si="12"/>
        <v>38.245445000000004</v>
      </c>
      <c r="AC22" s="7">
        <f t="shared" si="12"/>
        <v>0</v>
      </c>
      <c r="AD22" s="7">
        <f t="shared" si="12"/>
        <v>0</v>
      </c>
      <c r="AE22" s="9">
        <f t="shared" si="12"/>
        <v>0</v>
      </c>
      <c r="AF22" s="69">
        <f t="shared" si="3"/>
        <v>49.70815123000001</v>
      </c>
    </row>
    <row r="23" spans="8:32" ht="63.75" customHeight="1" thickBot="1">
      <c r="H23" s="28" t="s">
        <v>18</v>
      </c>
      <c r="I23" s="80">
        <f>POAI!C21</f>
        <v>20.5</v>
      </c>
      <c r="J23" s="93">
        <f>POAI!D21</f>
        <v>40.120000000000005</v>
      </c>
      <c r="K23" s="93">
        <f>POAI!E21</f>
        <v>0</v>
      </c>
      <c r="L23" s="93">
        <f>POAI!F21</f>
        <v>0</v>
      </c>
      <c r="M23" s="167">
        <f>POAI!G21</f>
        <v>30</v>
      </c>
      <c r="N23" s="79">
        <f t="shared" si="0"/>
        <v>90.62</v>
      </c>
      <c r="O23" s="80">
        <f t="shared" si="10"/>
        <v>21.115000000000002</v>
      </c>
      <c r="P23" s="81">
        <f t="shared" si="10"/>
        <v>41.323600000000006</v>
      </c>
      <c r="Q23" s="81">
        <f t="shared" si="10"/>
        <v>0</v>
      </c>
      <c r="R23" s="81">
        <f t="shared" si="10"/>
        <v>0</v>
      </c>
      <c r="S23" s="189">
        <f t="shared" si="10"/>
        <v>30.900000000000002</v>
      </c>
      <c r="T23" s="79">
        <f t="shared" si="1"/>
        <v>93.33860000000001</v>
      </c>
      <c r="U23" s="198">
        <f t="shared" si="11"/>
        <v>21.748450000000002</v>
      </c>
      <c r="V23" s="81">
        <f t="shared" si="11"/>
        <v>42.563308000000006</v>
      </c>
      <c r="W23" s="81">
        <f t="shared" si="11"/>
        <v>0</v>
      </c>
      <c r="X23" s="81">
        <f t="shared" si="11"/>
        <v>0</v>
      </c>
      <c r="Y23" s="82">
        <f t="shared" si="11"/>
        <v>31.827</v>
      </c>
      <c r="Z23" s="79">
        <f t="shared" si="2"/>
        <v>96.13875800000001</v>
      </c>
      <c r="AA23" s="80">
        <f t="shared" si="12"/>
        <v>22.400903500000002</v>
      </c>
      <c r="AB23" s="81">
        <f t="shared" si="12"/>
        <v>43.840207240000005</v>
      </c>
      <c r="AC23" s="81">
        <f t="shared" si="12"/>
        <v>0</v>
      </c>
      <c r="AD23" s="81">
        <f t="shared" si="12"/>
        <v>0</v>
      </c>
      <c r="AE23" s="189">
        <f t="shared" si="12"/>
        <v>32.78181</v>
      </c>
      <c r="AF23" s="79">
        <f t="shared" si="3"/>
        <v>99.02292074000002</v>
      </c>
    </row>
    <row r="24" spans="8:32" ht="42.75" customHeight="1" thickBot="1">
      <c r="H24" s="25" t="s">
        <v>15</v>
      </c>
      <c r="I24" s="137">
        <f>SUM(I25:I31)</f>
        <v>61.32</v>
      </c>
      <c r="J24" s="137">
        <f>SUM(J25:J31)</f>
        <v>2.7</v>
      </c>
      <c r="K24" s="137">
        <f>SUM(K25:K31)</f>
        <v>0</v>
      </c>
      <c r="L24" s="137">
        <f>SUM(L25:L31)</f>
        <v>0</v>
      </c>
      <c r="M24" s="171">
        <f>SUM(M25:M31)</f>
        <v>0</v>
      </c>
      <c r="N24" s="10">
        <f t="shared" si="0"/>
        <v>64.02</v>
      </c>
      <c r="O24" s="74">
        <f>SUM(O25:O31)</f>
        <v>63.1596</v>
      </c>
      <c r="P24" s="74">
        <f>SUM(P25:P31)</f>
        <v>2.781</v>
      </c>
      <c r="Q24" s="74">
        <f>SUM(Q25:Q31)</f>
        <v>0</v>
      </c>
      <c r="R24" s="74">
        <f>SUM(R25:R31)</f>
        <v>0</v>
      </c>
      <c r="S24" s="158">
        <f>SUM(S25:S31)</f>
        <v>0</v>
      </c>
      <c r="T24" s="10">
        <f t="shared" si="1"/>
        <v>65.9406</v>
      </c>
      <c r="U24" s="74">
        <f>SUM(U25:U31)</f>
        <v>65.054388</v>
      </c>
      <c r="V24" s="74">
        <f>SUM(V25:V31)</f>
        <v>2.86443</v>
      </c>
      <c r="W24" s="74">
        <f>SUM(W25:W31)</f>
        <v>0</v>
      </c>
      <c r="X24" s="74">
        <f>SUM(X25:X31)</f>
        <v>0</v>
      </c>
      <c r="Y24" s="74">
        <f>SUM(Y25:Y31)</f>
        <v>0</v>
      </c>
      <c r="Z24" s="10">
        <f t="shared" si="2"/>
        <v>67.918818</v>
      </c>
      <c r="AA24" s="74">
        <f>SUM(AA25:AA31)</f>
        <v>67.00601964</v>
      </c>
      <c r="AB24" s="74">
        <f>SUM(AB25:AB31)</f>
        <v>2.9503629</v>
      </c>
      <c r="AC24" s="74">
        <f>SUM(AC25:AC31)</f>
        <v>0</v>
      </c>
      <c r="AD24" s="74">
        <f>SUM(AD25:AD31)</f>
        <v>0</v>
      </c>
      <c r="AE24" s="158">
        <f>SUM(AE25:AE31)</f>
        <v>0</v>
      </c>
      <c r="AF24" s="10">
        <f t="shared" si="3"/>
        <v>69.95638254</v>
      </c>
    </row>
    <row r="25" spans="8:32" ht="42.75" customHeight="1">
      <c r="H25" s="26" t="s">
        <v>19</v>
      </c>
      <c r="I25" s="83">
        <f>POAI!C23</f>
        <v>10</v>
      </c>
      <c r="J25" s="139">
        <f>POAI!D23</f>
        <v>0</v>
      </c>
      <c r="K25" s="139">
        <f>POAI!E23</f>
        <v>0</v>
      </c>
      <c r="L25" s="139">
        <f>POAI!F23</f>
        <v>0</v>
      </c>
      <c r="M25" s="172">
        <f>POAI!G23</f>
        <v>0</v>
      </c>
      <c r="N25" s="65">
        <f t="shared" si="0"/>
        <v>10</v>
      </c>
      <c r="O25" s="83">
        <f aca="true" t="shared" si="13" ref="O25:O31">+I25*1.03</f>
        <v>10.3</v>
      </c>
      <c r="P25" s="84">
        <f aca="true" t="shared" si="14" ref="P25:P31">+J25*1.03</f>
        <v>0</v>
      </c>
      <c r="Q25" s="84">
        <f aca="true" t="shared" si="15" ref="Q25:Q31">+K25*1.03</f>
        <v>0</v>
      </c>
      <c r="R25" s="84">
        <f aca="true" t="shared" si="16" ref="R25:R31">+L25*1.03</f>
        <v>0</v>
      </c>
      <c r="S25" s="190">
        <f aca="true" t="shared" si="17" ref="S25:S31">+M25*1.03</f>
        <v>0</v>
      </c>
      <c r="T25" s="65">
        <f t="shared" si="1"/>
        <v>10.3</v>
      </c>
      <c r="U25" s="199">
        <f aca="true" t="shared" si="18" ref="U25:U31">+O25*1.03</f>
        <v>10.609000000000002</v>
      </c>
      <c r="V25" s="84">
        <f aca="true" t="shared" si="19" ref="V25:V31">+P25*1.03</f>
        <v>0</v>
      </c>
      <c r="W25" s="84">
        <f aca="true" t="shared" si="20" ref="W25:W31">+Q25*1.03</f>
        <v>0</v>
      </c>
      <c r="X25" s="84">
        <f aca="true" t="shared" si="21" ref="X25:X31">+R25*1.03</f>
        <v>0</v>
      </c>
      <c r="Y25" s="85">
        <f aca="true" t="shared" si="22" ref="Y25:Y31">+S25*1.03</f>
        <v>0</v>
      </c>
      <c r="Z25" s="65">
        <f t="shared" si="2"/>
        <v>10.609000000000002</v>
      </c>
      <c r="AA25" s="83">
        <f aca="true" t="shared" si="23" ref="AA25:AA31">+U25*1.03</f>
        <v>10.927270000000002</v>
      </c>
      <c r="AB25" s="84">
        <f aca="true" t="shared" si="24" ref="AB25:AB31">+V25*1.03</f>
        <v>0</v>
      </c>
      <c r="AC25" s="84">
        <f aca="true" t="shared" si="25" ref="AC25:AC31">+W25*1.03</f>
        <v>0</v>
      </c>
      <c r="AD25" s="84">
        <f aca="true" t="shared" si="26" ref="AD25:AD31">+X25*1.03</f>
        <v>0</v>
      </c>
      <c r="AE25" s="190">
        <f aca="true" t="shared" si="27" ref="AE25:AE31">+Y25*1.03</f>
        <v>0</v>
      </c>
      <c r="AF25" s="65">
        <f t="shared" si="3"/>
        <v>10.927270000000002</v>
      </c>
    </row>
    <row r="26" spans="8:32" ht="42.75" customHeight="1">
      <c r="H26" s="27" t="s">
        <v>20</v>
      </c>
      <c r="I26" s="66">
        <f>POAI!C24</f>
        <v>11</v>
      </c>
      <c r="J26" s="138">
        <f>POAI!D24</f>
        <v>0</v>
      </c>
      <c r="K26" s="138">
        <f>POAI!E24</f>
        <v>0</v>
      </c>
      <c r="L26" s="138">
        <f>POAI!F24</f>
        <v>0</v>
      </c>
      <c r="M26" s="173">
        <f>POAI!G24</f>
        <v>0</v>
      </c>
      <c r="N26" s="69">
        <f t="shared" si="0"/>
        <v>11</v>
      </c>
      <c r="O26" s="66">
        <f t="shared" si="13"/>
        <v>11.33</v>
      </c>
      <c r="P26" s="14">
        <f t="shared" si="14"/>
        <v>0</v>
      </c>
      <c r="Q26" s="14">
        <f t="shared" si="15"/>
        <v>0</v>
      </c>
      <c r="R26" s="14">
        <f t="shared" si="16"/>
        <v>0</v>
      </c>
      <c r="S26" s="187">
        <f t="shared" si="17"/>
        <v>0</v>
      </c>
      <c r="T26" s="69">
        <f t="shared" si="1"/>
        <v>11.33</v>
      </c>
      <c r="U26" s="196">
        <f t="shared" si="18"/>
        <v>11.6699</v>
      </c>
      <c r="V26" s="14">
        <f t="shared" si="19"/>
        <v>0</v>
      </c>
      <c r="W26" s="14">
        <f t="shared" si="20"/>
        <v>0</v>
      </c>
      <c r="X26" s="14">
        <f t="shared" si="21"/>
        <v>0</v>
      </c>
      <c r="Y26" s="15">
        <f t="shared" si="22"/>
        <v>0</v>
      </c>
      <c r="Z26" s="69">
        <f t="shared" si="2"/>
        <v>11.6699</v>
      </c>
      <c r="AA26" s="66">
        <f t="shared" si="23"/>
        <v>12.019997</v>
      </c>
      <c r="AB26" s="14">
        <f t="shared" si="24"/>
        <v>0</v>
      </c>
      <c r="AC26" s="14">
        <f t="shared" si="25"/>
        <v>0</v>
      </c>
      <c r="AD26" s="14">
        <f t="shared" si="26"/>
        <v>0</v>
      </c>
      <c r="AE26" s="187">
        <f t="shared" si="27"/>
        <v>0</v>
      </c>
      <c r="AF26" s="69">
        <f t="shared" si="3"/>
        <v>12.019997</v>
      </c>
    </row>
    <row r="27" spans="8:32" ht="42.75" customHeight="1">
      <c r="H27" s="27" t="s">
        <v>21</v>
      </c>
      <c r="I27" s="66">
        <f>POAI!C25</f>
        <v>10</v>
      </c>
      <c r="J27" s="138">
        <f>POAI!D25</f>
        <v>0</v>
      </c>
      <c r="K27" s="138">
        <f>POAI!E25</f>
        <v>0</v>
      </c>
      <c r="L27" s="138">
        <f>POAI!F25</f>
        <v>0</v>
      </c>
      <c r="M27" s="173">
        <f>POAI!G25</f>
        <v>0</v>
      </c>
      <c r="N27" s="69">
        <f t="shared" si="0"/>
        <v>10</v>
      </c>
      <c r="O27" s="66">
        <f t="shared" si="13"/>
        <v>10.3</v>
      </c>
      <c r="P27" s="14">
        <f t="shared" si="14"/>
        <v>0</v>
      </c>
      <c r="Q27" s="14">
        <f t="shared" si="15"/>
        <v>0</v>
      </c>
      <c r="R27" s="14">
        <f t="shared" si="16"/>
        <v>0</v>
      </c>
      <c r="S27" s="187">
        <f t="shared" si="17"/>
        <v>0</v>
      </c>
      <c r="T27" s="69">
        <f t="shared" si="1"/>
        <v>10.3</v>
      </c>
      <c r="U27" s="196">
        <f t="shared" si="18"/>
        <v>10.609000000000002</v>
      </c>
      <c r="V27" s="14">
        <f t="shared" si="19"/>
        <v>0</v>
      </c>
      <c r="W27" s="14">
        <f t="shared" si="20"/>
        <v>0</v>
      </c>
      <c r="X27" s="14">
        <f t="shared" si="21"/>
        <v>0</v>
      </c>
      <c r="Y27" s="15">
        <f t="shared" si="22"/>
        <v>0</v>
      </c>
      <c r="Z27" s="69">
        <f t="shared" si="2"/>
        <v>10.609000000000002</v>
      </c>
      <c r="AA27" s="66">
        <f t="shared" si="23"/>
        <v>10.927270000000002</v>
      </c>
      <c r="AB27" s="14">
        <f t="shared" si="24"/>
        <v>0</v>
      </c>
      <c r="AC27" s="14">
        <f t="shared" si="25"/>
        <v>0</v>
      </c>
      <c r="AD27" s="14">
        <f t="shared" si="26"/>
        <v>0</v>
      </c>
      <c r="AE27" s="187">
        <f t="shared" si="27"/>
        <v>0</v>
      </c>
      <c r="AF27" s="69">
        <f t="shared" si="3"/>
        <v>10.927270000000002</v>
      </c>
    </row>
    <row r="28" spans="8:32" ht="42.75" customHeight="1">
      <c r="H28" s="27" t="s">
        <v>22</v>
      </c>
      <c r="I28" s="66">
        <f>POAI!C26</f>
        <v>6</v>
      </c>
      <c r="J28" s="138">
        <f>POAI!D26</f>
        <v>0</v>
      </c>
      <c r="K28" s="138">
        <f>POAI!E26</f>
        <v>0</v>
      </c>
      <c r="L28" s="138">
        <f>POAI!F26</f>
        <v>0</v>
      </c>
      <c r="M28" s="173">
        <f>POAI!G26</f>
        <v>0</v>
      </c>
      <c r="N28" s="69">
        <f t="shared" si="0"/>
        <v>6</v>
      </c>
      <c r="O28" s="66">
        <f t="shared" si="13"/>
        <v>6.18</v>
      </c>
      <c r="P28" s="14">
        <f t="shared" si="14"/>
        <v>0</v>
      </c>
      <c r="Q28" s="14">
        <f t="shared" si="15"/>
        <v>0</v>
      </c>
      <c r="R28" s="14">
        <f t="shared" si="16"/>
        <v>0</v>
      </c>
      <c r="S28" s="187">
        <f t="shared" si="17"/>
        <v>0</v>
      </c>
      <c r="T28" s="69">
        <f t="shared" si="1"/>
        <v>6.18</v>
      </c>
      <c r="U28" s="196">
        <f t="shared" si="18"/>
        <v>6.3654</v>
      </c>
      <c r="V28" s="14">
        <f t="shared" si="19"/>
        <v>0</v>
      </c>
      <c r="W28" s="14">
        <f t="shared" si="20"/>
        <v>0</v>
      </c>
      <c r="X28" s="14">
        <f t="shared" si="21"/>
        <v>0</v>
      </c>
      <c r="Y28" s="15">
        <f t="shared" si="22"/>
        <v>0</v>
      </c>
      <c r="Z28" s="69">
        <f t="shared" si="2"/>
        <v>6.3654</v>
      </c>
      <c r="AA28" s="66">
        <f t="shared" si="23"/>
        <v>6.556362</v>
      </c>
      <c r="AB28" s="14">
        <f t="shared" si="24"/>
        <v>0</v>
      </c>
      <c r="AC28" s="14">
        <f t="shared" si="25"/>
        <v>0</v>
      </c>
      <c r="AD28" s="14">
        <f t="shared" si="26"/>
        <v>0</v>
      </c>
      <c r="AE28" s="187">
        <f t="shared" si="27"/>
        <v>0</v>
      </c>
      <c r="AF28" s="69">
        <f t="shared" si="3"/>
        <v>6.556362</v>
      </c>
    </row>
    <row r="29" spans="8:32" ht="42.75" customHeight="1">
      <c r="H29" s="27" t="s">
        <v>23</v>
      </c>
      <c r="I29" s="66">
        <f>POAI!C27</f>
        <v>10.719999999999999</v>
      </c>
      <c r="J29" s="138">
        <f>POAI!D27</f>
        <v>2.7</v>
      </c>
      <c r="K29" s="138">
        <f>POAI!E27</f>
        <v>0</v>
      </c>
      <c r="L29" s="138">
        <f>POAI!F27</f>
        <v>0</v>
      </c>
      <c r="M29" s="173">
        <f>POAI!G27</f>
        <v>0</v>
      </c>
      <c r="N29" s="69">
        <f t="shared" si="0"/>
        <v>13.419999999999998</v>
      </c>
      <c r="O29" s="66">
        <f t="shared" si="13"/>
        <v>11.041599999999999</v>
      </c>
      <c r="P29" s="14">
        <f t="shared" si="14"/>
        <v>2.781</v>
      </c>
      <c r="Q29" s="14">
        <f t="shared" si="15"/>
        <v>0</v>
      </c>
      <c r="R29" s="14">
        <f t="shared" si="16"/>
        <v>0</v>
      </c>
      <c r="S29" s="187">
        <f t="shared" si="17"/>
        <v>0</v>
      </c>
      <c r="T29" s="69">
        <f t="shared" si="1"/>
        <v>13.8226</v>
      </c>
      <c r="U29" s="196">
        <f t="shared" si="18"/>
        <v>11.372848</v>
      </c>
      <c r="V29" s="14">
        <f t="shared" si="19"/>
        <v>2.86443</v>
      </c>
      <c r="W29" s="14">
        <f t="shared" si="20"/>
        <v>0</v>
      </c>
      <c r="X29" s="14">
        <f t="shared" si="21"/>
        <v>0</v>
      </c>
      <c r="Y29" s="15">
        <f t="shared" si="22"/>
        <v>0</v>
      </c>
      <c r="Z29" s="69">
        <f t="shared" si="2"/>
        <v>14.237278</v>
      </c>
      <c r="AA29" s="66">
        <f t="shared" si="23"/>
        <v>11.71403344</v>
      </c>
      <c r="AB29" s="14">
        <f t="shared" si="24"/>
        <v>2.9503629</v>
      </c>
      <c r="AC29" s="14">
        <f t="shared" si="25"/>
        <v>0</v>
      </c>
      <c r="AD29" s="14">
        <f t="shared" si="26"/>
        <v>0</v>
      </c>
      <c r="AE29" s="187">
        <f t="shared" si="27"/>
        <v>0</v>
      </c>
      <c r="AF29" s="69">
        <f t="shared" si="3"/>
        <v>14.66439634</v>
      </c>
    </row>
    <row r="30" spans="8:32" ht="56.25" customHeight="1">
      <c r="H30" s="27" t="s">
        <v>24</v>
      </c>
      <c r="I30" s="66">
        <f>POAI!C28</f>
        <v>9.6</v>
      </c>
      <c r="J30" s="138">
        <f>POAI!D28</f>
        <v>0</v>
      </c>
      <c r="K30" s="138">
        <f>POAI!E28</f>
        <v>0</v>
      </c>
      <c r="L30" s="138">
        <f>POAI!F28</f>
        <v>0</v>
      </c>
      <c r="M30" s="173">
        <f>POAI!G28</f>
        <v>0</v>
      </c>
      <c r="N30" s="69">
        <f t="shared" si="0"/>
        <v>9.6</v>
      </c>
      <c r="O30" s="66">
        <f t="shared" si="13"/>
        <v>9.888</v>
      </c>
      <c r="P30" s="14">
        <f t="shared" si="14"/>
        <v>0</v>
      </c>
      <c r="Q30" s="14">
        <f t="shared" si="15"/>
        <v>0</v>
      </c>
      <c r="R30" s="14">
        <f t="shared" si="16"/>
        <v>0</v>
      </c>
      <c r="S30" s="187">
        <f t="shared" si="17"/>
        <v>0</v>
      </c>
      <c r="T30" s="69">
        <f t="shared" si="1"/>
        <v>9.888</v>
      </c>
      <c r="U30" s="196">
        <f t="shared" si="18"/>
        <v>10.18464</v>
      </c>
      <c r="V30" s="14">
        <f t="shared" si="19"/>
        <v>0</v>
      </c>
      <c r="W30" s="14">
        <f t="shared" si="20"/>
        <v>0</v>
      </c>
      <c r="X30" s="14">
        <f t="shared" si="21"/>
        <v>0</v>
      </c>
      <c r="Y30" s="15">
        <f t="shared" si="22"/>
        <v>0</v>
      </c>
      <c r="Z30" s="69">
        <f t="shared" si="2"/>
        <v>10.18464</v>
      </c>
      <c r="AA30" s="66">
        <f t="shared" si="23"/>
        <v>10.4901792</v>
      </c>
      <c r="AB30" s="14">
        <f t="shared" si="24"/>
        <v>0</v>
      </c>
      <c r="AC30" s="14">
        <f t="shared" si="25"/>
        <v>0</v>
      </c>
      <c r="AD30" s="14">
        <f t="shared" si="26"/>
        <v>0</v>
      </c>
      <c r="AE30" s="187">
        <f t="shared" si="27"/>
        <v>0</v>
      </c>
      <c r="AF30" s="69">
        <f t="shared" si="3"/>
        <v>10.4901792</v>
      </c>
    </row>
    <row r="31" spans="8:32" ht="42.75" customHeight="1" thickBot="1">
      <c r="H31" s="28" t="s">
        <v>25</v>
      </c>
      <c r="I31" s="86">
        <f>POAI!C29</f>
        <v>4</v>
      </c>
      <c r="J31" s="140">
        <f>POAI!D29</f>
        <v>0</v>
      </c>
      <c r="K31" s="140">
        <f>POAI!E29</f>
        <v>0</v>
      </c>
      <c r="L31" s="140">
        <f>POAI!F29</f>
        <v>0</v>
      </c>
      <c r="M31" s="174">
        <f>POAI!G29</f>
        <v>0</v>
      </c>
      <c r="N31" s="79">
        <f t="shared" si="0"/>
        <v>4</v>
      </c>
      <c r="O31" s="86">
        <f t="shared" si="13"/>
        <v>4.12</v>
      </c>
      <c r="P31" s="87">
        <f t="shared" si="14"/>
        <v>0</v>
      </c>
      <c r="Q31" s="87">
        <f t="shared" si="15"/>
        <v>0</v>
      </c>
      <c r="R31" s="87">
        <f t="shared" si="16"/>
        <v>0</v>
      </c>
      <c r="S31" s="191">
        <f t="shared" si="17"/>
        <v>0</v>
      </c>
      <c r="T31" s="79">
        <f t="shared" si="1"/>
        <v>4.12</v>
      </c>
      <c r="U31" s="200">
        <f t="shared" si="18"/>
        <v>4.2436</v>
      </c>
      <c r="V31" s="87">
        <f t="shared" si="19"/>
        <v>0</v>
      </c>
      <c r="W31" s="87">
        <f t="shared" si="20"/>
        <v>0</v>
      </c>
      <c r="X31" s="87">
        <f t="shared" si="21"/>
        <v>0</v>
      </c>
      <c r="Y31" s="88">
        <f t="shared" si="22"/>
        <v>0</v>
      </c>
      <c r="Z31" s="79">
        <f t="shared" si="2"/>
        <v>4.2436</v>
      </c>
      <c r="AA31" s="86">
        <f t="shared" si="23"/>
        <v>4.370908</v>
      </c>
      <c r="AB31" s="87">
        <f t="shared" si="24"/>
        <v>0</v>
      </c>
      <c r="AC31" s="87">
        <f t="shared" si="25"/>
        <v>0</v>
      </c>
      <c r="AD31" s="87">
        <f t="shared" si="26"/>
        <v>0</v>
      </c>
      <c r="AE31" s="191">
        <f t="shared" si="27"/>
        <v>0</v>
      </c>
      <c r="AF31" s="79">
        <f t="shared" si="3"/>
        <v>4.370908</v>
      </c>
    </row>
    <row r="32" spans="8:32" ht="42.75" customHeight="1" thickBot="1">
      <c r="H32" s="25" t="s">
        <v>26</v>
      </c>
      <c r="I32" s="137">
        <f>SUM(I33:I37)</f>
        <v>84.4</v>
      </c>
      <c r="J32" s="137">
        <f>SUM(J33:J37)</f>
        <v>0</v>
      </c>
      <c r="K32" s="137">
        <f>SUM(K33:K37)</f>
        <v>0</v>
      </c>
      <c r="L32" s="137">
        <f>SUM(L33:L37)</f>
        <v>0</v>
      </c>
      <c r="M32" s="171">
        <f>SUM(M33:M37)</f>
        <v>0</v>
      </c>
      <c r="N32" s="10">
        <f t="shared" si="0"/>
        <v>84.4</v>
      </c>
      <c r="O32" s="74">
        <f>SUM(O33:O37)</f>
        <v>86.932</v>
      </c>
      <c r="P32" s="74">
        <f>SUM(P33:P37)</f>
        <v>0</v>
      </c>
      <c r="Q32" s="74">
        <f>SUM(Q33:Q37)</f>
        <v>0</v>
      </c>
      <c r="R32" s="74">
        <f>SUM(R33:R37)</f>
        <v>0</v>
      </c>
      <c r="S32" s="158">
        <f>SUM(S33:S37)</f>
        <v>0</v>
      </c>
      <c r="T32" s="10">
        <f t="shared" si="1"/>
        <v>86.932</v>
      </c>
      <c r="U32" s="74">
        <f>SUM(U33:U37)</f>
        <v>89.53996000000001</v>
      </c>
      <c r="V32" s="74">
        <f>SUM(V33:V37)</f>
        <v>0</v>
      </c>
      <c r="W32" s="74">
        <f>SUM(W33:W37)</f>
        <v>0</v>
      </c>
      <c r="X32" s="74">
        <f>SUM(X33:X37)</f>
        <v>0</v>
      </c>
      <c r="Y32" s="74">
        <f>SUM(Y33:Y37)</f>
        <v>0</v>
      </c>
      <c r="Z32" s="10">
        <f t="shared" si="2"/>
        <v>89.53996000000001</v>
      </c>
      <c r="AA32" s="74">
        <f>SUM(AA33:AA37)</f>
        <v>92.22615880000001</v>
      </c>
      <c r="AB32" s="74">
        <f>SUM(AB33:AB37)</f>
        <v>0</v>
      </c>
      <c r="AC32" s="74">
        <f>SUM(AC33:AC37)</f>
        <v>0</v>
      </c>
      <c r="AD32" s="74">
        <f>SUM(AD33:AD37)</f>
        <v>0</v>
      </c>
      <c r="AE32" s="158">
        <f>SUM(AE33:AE37)</f>
        <v>0</v>
      </c>
      <c r="AF32" s="10">
        <f t="shared" si="3"/>
        <v>92.22615880000001</v>
      </c>
    </row>
    <row r="33" spans="8:32" ht="42.75" customHeight="1">
      <c r="H33" s="26" t="s">
        <v>27</v>
      </c>
      <c r="I33" s="62">
        <f>POAI!C31</f>
        <v>10</v>
      </c>
      <c r="J33" s="89">
        <f>POAI!D31</f>
        <v>0</v>
      </c>
      <c r="K33" s="89">
        <f>POAI!E31</f>
        <v>0</v>
      </c>
      <c r="L33" s="89">
        <f>POAI!F31</f>
        <v>0</v>
      </c>
      <c r="M33" s="115">
        <f>POAI!G31</f>
        <v>0</v>
      </c>
      <c r="N33" s="65">
        <f t="shared" si="0"/>
        <v>10</v>
      </c>
      <c r="O33" s="62">
        <f aca="true" t="shared" si="28" ref="O33:S37">+I33*1.03</f>
        <v>10.3</v>
      </c>
      <c r="P33" s="89">
        <f t="shared" si="28"/>
        <v>0</v>
      </c>
      <c r="Q33" s="89">
        <f t="shared" si="28"/>
        <v>0</v>
      </c>
      <c r="R33" s="89">
        <f t="shared" si="28"/>
        <v>0</v>
      </c>
      <c r="S33" s="115">
        <f t="shared" si="28"/>
        <v>0</v>
      </c>
      <c r="T33" s="65">
        <f t="shared" si="1"/>
        <v>10.3</v>
      </c>
      <c r="U33" s="195">
        <f aca="true" t="shared" si="29" ref="U33:Y37">+O33*1.03</f>
        <v>10.609000000000002</v>
      </c>
      <c r="V33" s="89">
        <f t="shared" si="29"/>
        <v>0</v>
      </c>
      <c r="W33" s="89">
        <f t="shared" si="29"/>
        <v>0</v>
      </c>
      <c r="X33" s="89">
        <f t="shared" si="29"/>
        <v>0</v>
      </c>
      <c r="Y33" s="90">
        <f t="shared" si="29"/>
        <v>0</v>
      </c>
      <c r="Z33" s="65">
        <f t="shared" si="2"/>
        <v>10.609000000000002</v>
      </c>
      <c r="AA33" s="62">
        <f aca="true" t="shared" si="30" ref="AA33:AE37">+U33*1.03</f>
        <v>10.927270000000002</v>
      </c>
      <c r="AB33" s="89">
        <f t="shared" si="30"/>
        <v>0</v>
      </c>
      <c r="AC33" s="89">
        <f t="shared" si="30"/>
        <v>0</v>
      </c>
      <c r="AD33" s="89">
        <f t="shared" si="30"/>
        <v>0</v>
      </c>
      <c r="AE33" s="115">
        <f t="shared" si="30"/>
        <v>0</v>
      </c>
      <c r="AF33" s="65">
        <f t="shared" si="3"/>
        <v>10.927270000000002</v>
      </c>
    </row>
    <row r="34" spans="8:32" ht="42.75" customHeight="1">
      <c r="H34" s="27" t="s">
        <v>28</v>
      </c>
      <c r="I34" s="68">
        <f>POAI!C32</f>
        <v>10</v>
      </c>
      <c r="J34" s="91">
        <f>POAI!D32</f>
        <v>0</v>
      </c>
      <c r="K34" s="91">
        <f>POAI!E32</f>
        <v>0</v>
      </c>
      <c r="L34" s="91">
        <f>POAI!F32</f>
        <v>0</v>
      </c>
      <c r="M34" s="166">
        <f>POAI!G32</f>
        <v>0</v>
      </c>
      <c r="N34" s="65">
        <f t="shared" si="0"/>
        <v>10</v>
      </c>
      <c r="O34" s="68">
        <f t="shared" si="28"/>
        <v>10.3</v>
      </c>
      <c r="P34" s="91">
        <f t="shared" si="28"/>
        <v>0</v>
      </c>
      <c r="Q34" s="91">
        <f t="shared" si="28"/>
        <v>0</v>
      </c>
      <c r="R34" s="91">
        <f t="shared" si="28"/>
        <v>0</v>
      </c>
      <c r="S34" s="166">
        <f t="shared" si="28"/>
        <v>0</v>
      </c>
      <c r="T34" s="65">
        <f t="shared" si="1"/>
        <v>10.3</v>
      </c>
      <c r="U34" s="77">
        <f t="shared" si="29"/>
        <v>10.609000000000002</v>
      </c>
      <c r="V34" s="91">
        <f t="shared" si="29"/>
        <v>0</v>
      </c>
      <c r="W34" s="91">
        <f t="shared" si="29"/>
        <v>0</v>
      </c>
      <c r="X34" s="91">
        <f t="shared" si="29"/>
        <v>0</v>
      </c>
      <c r="Y34" s="92">
        <f t="shared" si="29"/>
        <v>0</v>
      </c>
      <c r="Z34" s="65">
        <f t="shared" si="2"/>
        <v>10.609000000000002</v>
      </c>
      <c r="AA34" s="68">
        <f t="shared" si="30"/>
        <v>10.927270000000002</v>
      </c>
      <c r="AB34" s="91">
        <f t="shared" si="30"/>
        <v>0</v>
      </c>
      <c r="AC34" s="91">
        <f t="shared" si="30"/>
        <v>0</v>
      </c>
      <c r="AD34" s="91">
        <f t="shared" si="30"/>
        <v>0</v>
      </c>
      <c r="AE34" s="166">
        <f t="shared" si="30"/>
        <v>0</v>
      </c>
      <c r="AF34" s="65">
        <f t="shared" si="3"/>
        <v>10.927270000000002</v>
      </c>
    </row>
    <row r="35" spans="8:32" ht="42.75" customHeight="1">
      <c r="H35" s="27" t="s">
        <v>29</v>
      </c>
      <c r="I35" s="68">
        <f>POAI!C33</f>
        <v>37</v>
      </c>
      <c r="J35" s="91">
        <f>POAI!D33</f>
        <v>0</v>
      </c>
      <c r="K35" s="91">
        <f>POAI!E33</f>
        <v>0</v>
      </c>
      <c r="L35" s="91">
        <f>POAI!F33</f>
        <v>0</v>
      </c>
      <c r="M35" s="166">
        <f>POAI!G33</f>
        <v>0</v>
      </c>
      <c r="N35" s="65">
        <f t="shared" si="0"/>
        <v>37</v>
      </c>
      <c r="O35" s="68">
        <f t="shared" si="28"/>
        <v>38.11</v>
      </c>
      <c r="P35" s="91">
        <f t="shared" si="28"/>
        <v>0</v>
      </c>
      <c r="Q35" s="91">
        <f t="shared" si="28"/>
        <v>0</v>
      </c>
      <c r="R35" s="91">
        <f t="shared" si="28"/>
        <v>0</v>
      </c>
      <c r="S35" s="166">
        <f t="shared" si="28"/>
        <v>0</v>
      </c>
      <c r="T35" s="65">
        <f t="shared" si="1"/>
        <v>38.11</v>
      </c>
      <c r="U35" s="77">
        <f t="shared" si="29"/>
        <v>39.2533</v>
      </c>
      <c r="V35" s="91">
        <f t="shared" si="29"/>
        <v>0</v>
      </c>
      <c r="W35" s="91">
        <f t="shared" si="29"/>
        <v>0</v>
      </c>
      <c r="X35" s="91">
        <f t="shared" si="29"/>
        <v>0</v>
      </c>
      <c r="Y35" s="92">
        <f t="shared" si="29"/>
        <v>0</v>
      </c>
      <c r="Z35" s="65">
        <f t="shared" si="2"/>
        <v>39.2533</v>
      </c>
      <c r="AA35" s="68">
        <f t="shared" si="30"/>
        <v>40.430899000000004</v>
      </c>
      <c r="AB35" s="91">
        <f t="shared" si="30"/>
        <v>0</v>
      </c>
      <c r="AC35" s="91">
        <f t="shared" si="30"/>
        <v>0</v>
      </c>
      <c r="AD35" s="91">
        <f t="shared" si="30"/>
        <v>0</v>
      </c>
      <c r="AE35" s="166">
        <f t="shared" si="30"/>
        <v>0</v>
      </c>
      <c r="AF35" s="65">
        <f t="shared" si="3"/>
        <v>40.430899000000004</v>
      </c>
    </row>
    <row r="36" spans="8:32" ht="42.75" customHeight="1">
      <c r="H36" s="27" t="s">
        <v>30</v>
      </c>
      <c r="I36" s="68">
        <f>POAI!C34</f>
        <v>15</v>
      </c>
      <c r="J36" s="91">
        <f>POAI!D34</f>
        <v>0</v>
      </c>
      <c r="K36" s="91">
        <f>POAI!E34</f>
        <v>0</v>
      </c>
      <c r="L36" s="91">
        <f>POAI!F34</f>
        <v>0</v>
      </c>
      <c r="M36" s="166">
        <f>POAI!G34</f>
        <v>0</v>
      </c>
      <c r="N36" s="65">
        <f t="shared" si="0"/>
        <v>15</v>
      </c>
      <c r="O36" s="68">
        <f t="shared" si="28"/>
        <v>15.450000000000001</v>
      </c>
      <c r="P36" s="91">
        <f t="shared" si="28"/>
        <v>0</v>
      </c>
      <c r="Q36" s="91">
        <f t="shared" si="28"/>
        <v>0</v>
      </c>
      <c r="R36" s="91">
        <f t="shared" si="28"/>
        <v>0</v>
      </c>
      <c r="S36" s="166">
        <f t="shared" si="28"/>
        <v>0</v>
      </c>
      <c r="T36" s="65">
        <f t="shared" si="1"/>
        <v>15.450000000000001</v>
      </c>
      <c r="U36" s="77">
        <f t="shared" si="29"/>
        <v>15.9135</v>
      </c>
      <c r="V36" s="91">
        <f t="shared" si="29"/>
        <v>0</v>
      </c>
      <c r="W36" s="91">
        <f t="shared" si="29"/>
        <v>0</v>
      </c>
      <c r="X36" s="91">
        <f t="shared" si="29"/>
        <v>0</v>
      </c>
      <c r="Y36" s="92">
        <f t="shared" si="29"/>
        <v>0</v>
      </c>
      <c r="Z36" s="65">
        <f t="shared" si="2"/>
        <v>15.9135</v>
      </c>
      <c r="AA36" s="68">
        <f t="shared" si="30"/>
        <v>16.390905</v>
      </c>
      <c r="AB36" s="91">
        <f t="shared" si="30"/>
        <v>0</v>
      </c>
      <c r="AC36" s="91">
        <f t="shared" si="30"/>
        <v>0</v>
      </c>
      <c r="AD36" s="91">
        <f t="shared" si="30"/>
        <v>0</v>
      </c>
      <c r="AE36" s="166">
        <f t="shared" si="30"/>
        <v>0</v>
      </c>
      <c r="AF36" s="65">
        <f t="shared" si="3"/>
        <v>16.390905</v>
      </c>
    </row>
    <row r="37" spans="8:32" ht="42.75" customHeight="1" thickBot="1">
      <c r="H37" s="28" t="s">
        <v>31</v>
      </c>
      <c r="I37" s="80">
        <f>POAI!C35</f>
        <v>12.4</v>
      </c>
      <c r="J37" s="93">
        <f>POAI!D35</f>
        <v>0</v>
      </c>
      <c r="K37" s="93">
        <f>POAI!E35</f>
        <v>0</v>
      </c>
      <c r="L37" s="93">
        <f>POAI!F35</f>
        <v>0</v>
      </c>
      <c r="M37" s="167">
        <f>POAI!G35</f>
        <v>0</v>
      </c>
      <c r="N37" s="65">
        <f t="shared" si="0"/>
        <v>12.4</v>
      </c>
      <c r="O37" s="80">
        <f t="shared" si="28"/>
        <v>12.772</v>
      </c>
      <c r="P37" s="93">
        <f t="shared" si="28"/>
        <v>0</v>
      </c>
      <c r="Q37" s="93">
        <f t="shared" si="28"/>
        <v>0</v>
      </c>
      <c r="R37" s="93">
        <f t="shared" si="28"/>
        <v>0</v>
      </c>
      <c r="S37" s="167">
        <f t="shared" si="28"/>
        <v>0</v>
      </c>
      <c r="T37" s="65">
        <f t="shared" si="1"/>
        <v>12.772</v>
      </c>
      <c r="U37" s="198">
        <f t="shared" si="29"/>
        <v>13.15516</v>
      </c>
      <c r="V37" s="93">
        <f t="shared" si="29"/>
        <v>0</v>
      </c>
      <c r="W37" s="93">
        <f t="shared" si="29"/>
        <v>0</v>
      </c>
      <c r="X37" s="93">
        <f t="shared" si="29"/>
        <v>0</v>
      </c>
      <c r="Y37" s="94">
        <f t="shared" si="29"/>
        <v>0</v>
      </c>
      <c r="Z37" s="65">
        <f t="shared" si="2"/>
        <v>13.15516</v>
      </c>
      <c r="AA37" s="80">
        <f t="shared" si="30"/>
        <v>13.5498148</v>
      </c>
      <c r="AB37" s="93">
        <f t="shared" si="30"/>
        <v>0</v>
      </c>
      <c r="AC37" s="93">
        <f t="shared" si="30"/>
        <v>0</v>
      </c>
      <c r="AD37" s="93">
        <f t="shared" si="30"/>
        <v>0</v>
      </c>
      <c r="AE37" s="167">
        <f t="shared" si="30"/>
        <v>0</v>
      </c>
      <c r="AF37" s="65">
        <f t="shared" si="3"/>
        <v>13.5498148</v>
      </c>
    </row>
    <row r="38" spans="8:32" ht="54" customHeight="1" thickBot="1">
      <c r="H38" s="29" t="s">
        <v>137</v>
      </c>
      <c r="I38" s="141">
        <f>I39+I41+I45</f>
        <v>186.23000000000002</v>
      </c>
      <c r="J38" s="141">
        <f>J39+J41+J45</f>
        <v>21</v>
      </c>
      <c r="K38" s="141">
        <f>K39+K41+K45</f>
        <v>0</v>
      </c>
      <c r="L38" s="141">
        <f>L39+L41+L45</f>
        <v>0</v>
      </c>
      <c r="M38" s="141">
        <f>M39+M41+M45</f>
        <v>0</v>
      </c>
      <c r="N38" s="11">
        <f>SUM(I38:M38)</f>
        <v>207.23000000000002</v>
      </c>
      <c r="O38" s="58">
        <f>O39+O41+O45</f>
        <v>191.81690000000003</v>
      </c>
      <c r="P38" s="58">
        <f>P39+P41+P45</f>
        <v>21.630000000000003</v>
      </c>
      <c r="Q38" s="58">
        <f>Q39+Q41+Q45</f>
        <v>0</v>
      </c>
      <c r="R38" s="58">
        <f>R39+R41+R45</f>
        <v>0</v>
      </c>
      <c r="S38" s="164">
        <f>S39+S41+S45</f>
        <v>0</v>
      </c>
      <c r="T38" s="11">
        <f>SUM(O38:S38)</f>
        <v>213.44690000000003</v>
      </c>
      <c r="U38" s="58">
        <f>U39+U41+U45</f>
        <v>197.57140700000002</v>
      </c>
      <c r="V38" s="58">
        <f>V39+V41+V45</f>
        <v>22.2789</v>
      </c>
      <c r="W38" s="58">
        <f>W39+W41+W45</f>
        <v>0</v>
      </c>
      <c r="X38" s="58">
        <f>X39+X41+X45</f>
        <v>0</v>
      </c>
      <c r="Y38" s="58">
        <f>Y39+Y41+Y45</f>
        <v>0</v>
      </c>
      <c r="Z38" s="11">
        <f>SUM(U38:Y38)</f>
        <v>219.85030700000002</v>
      </c>
      <c r="AA38" s="58">
        <f>AA39+AA41+AA45</f>
        <v>203.49854921000002</v>
      </c>
      <c r="AB38" s="58">
        <f>AB39+AB41+AB45</f>
        <v>22.947267</v>
      </c>
      <c r="AC38" s="58">
        <f>AC39+AC41+AC45</f>
        <v>0</v>
      </c>
      <c r="AD38" s="58">
        <f>AD39+AD41+AD45</f>
        <v>0</v>
      </c>
      <c r="AE38" s="164">
        <f>AE39+AE41+AE45</f>
        <v>0</v>
      </c>
      <c r="AF38" s="11">
        <f>SUM(AA38:AE38)</f>
        <v>226.44581621000003</v>
      </c>
    </row>
    <row r="39" spans="8:32" ht="42.75" customHeight="1" thickBot="1">
      <c r="H39" s="25" t="s">
        <v>32</v>
      </c>
      <c r="I39" s="74">
        <f>SUM(I40)</f>
        <v>40</v>
      </c>
      <c r="J39" s="74">
        <f>SUM(J40)</f>
        <v>0</v>
      </c>
      <c r="K39" s="74">
        <f>SUM(K40)</f>
        <v>0</v>
      </c>
      <c r="L39" s="74">
        <v>0</v>
      </c>
      <c r="M39" s="158">
        <v>0</v>
      </c>
      <c r="N39" s="10">
        <f aca="true" t="shared" si="31" ref="N39:N71">SUM(I39:M39)</f>
        <v>40</v>
      </c>
      <c r="O39" s="74">
        <f>SUM(O40)</f>
        <v>41.2</v>
      </c>
      <c r="P39" s="74">
        <f>SUM(P40)</f>
        <v>0</v>
      </c>
      <c r="Q39" s="74">
        <f>SUM(Q40)</f>
        <v>0</v>
      </c>
      <c r="R39" s="74">
        <f>SUM(R40)</f>
        <v>0</v>
      </c>
      <c r="S39" s="158">
        <f>SUM(S40)</f>
        <v>0</v>
      </c>
      <c r="T39" s="10">
        <f t="shared" si="1"/>
        <v>41.2</v>
      </c>
      <c r="U39" s="74">
        <f>SUM(U40)</f>
        <v>42.43600000000001</v>
      </c>
      <c r="V39" s="74">
        <f>SUM(V40)</f>
        <v>0</v>
      </c>
      <c r="W39" s="74">
        <f>SUM(W40)</f>
        <v>0</v>
      </c>
      <c r="X39" s="74">
        <f>SUM(X40)</f>
        <v>0</v>
      </c>
      <c r="Y39" s="74">
        <f>SUM(Y40)</f>
        <v>0</v>
      </c>
      <c r="Z39" s="10">
        <f t="shared" si="2"/>
        <v>42.43600000000001</v>
      </c>
      <c r="AA39" s="74">
        <f>SUM(AA40)</f>
        <v>43.70908000000001</v>
      </c>
      <c r="AB39" s="74">
        <f>SUM(AB40)</f>
        <v>0</v>
      </c>
      <c r="AC39" s="74">
        <f>SUM(AC40)</f>
        <v>0</v>
      </c>
      <c r="AD39" s="74">
        <f>SUM(AD40)</f>
        <v>0</v>
      </c>
      <c r="AE39" s="158">
        <f>SUM(AE40)</f>
        <v>0</v>
      </c>
      <c r="AF39" s="10">
        <f t="shared" si="3"/>
        <v>43.70908000000001</v>
      </c>
    </row>
    <row r="40" spans="8:32" ht="42.75" customHeight="1" thickBot="1">
      <c r="H40" s="30" t="s">
        <v>33</v>
      </c>
      <c r="I40" s="127">
        <f>POAI!C38</f>
        <v>40</v>
      </c>
      <c r="J40" s="127">
        <f>POAI!D38</f>
        <v>0</v>
      </c>
      <c r="K40" s="127">
        <f>POAI!E38</f>
        <v>0</v>
      </c>
      <c r="L40" s="127">
        <f>POAI!F38</f>
        <v>0</v>
      </c>
      <c r="M40" s="183">
        <f>POAI!G38</f>
        <v>0</v>
      </c>
      <c r="N40" s="98">
        <f t="shared" si="31"/>
        <v>40</v>
      </c>
      <c r="O40" s="127">
        <f>+I40*1.03</f>
        <v>41.2</v>
      </c>
      <c r="P40" s="96">
        <f>+J40*1.03</f>
        <v>0</v>
      </c>
      <c r="Q40" s="96">
        <f>+K40*1.03</f>
        <v>0</v>
      </c>
      <c r="R40" s="97">
        <f>+L40*1.03</f>
        <v>0</v>
      </c>
      <c r="S40" s="97">
        <f>+M40*1.03</f>
        <v>0</v>
      </c>
      <c r="T40" s="98">
        <f t="shared" si="1"/>
        <v>41.2</v>
      </c>
      <c r="U40" s="95">
        <f>+O40*1.03</f>
        <v>42.43600000000001</v>
      </c>
      <c r="V40" s="96">
        <f>+P40*1.03</f>
        <v>0</v>
      </c>
      <c r="W40" s="96">
        <f>+Q40*1.03</f>
        <v>0</v>
      </c>
      <c r="X40" s="97">
        <f>+R40*1.03</f>
        <v>0</v>
      </c>
      <c r="Y40" s="97">
        <f>+S40*1.03</f>
        <v>0</v>
      </c>
      <c r="Z40" s="98">
        <f t="shared" si="2"/>
        <v>42.43600000000001</v>
      </c>
      <c r="AA40" s="127">
        <f>+U40*1.03</f>
        <v>43.70908000000001</v>
      </c>
      <c r="AB40" s="96">
        <f>+V40*1.03</f>
        <v>0</v>
      </c>
      <c r="AC40" s="96">
        <f>+W40*1.03</f>
        <v>0</v>
      </c>
      <c r="AD40" s="97">
        <f>+X40*1.03</f>
        <v>0</v>
      </c>
      <c r="AE40" s="97">
        <f>+Y40*1.03</f>
        <v>0</v>
      </c>
      <c r="AF40" s="98">
        <f t="shared" si="3"/>
        <v>43.70908000000001</v>
      </c>
    </row>
    <row r="41" spans="8:32" ht="42.75" customHeight="1" thickBot="1">
      <c r="H41" s="25" t="s">
        <v>39</v>
      </c>
      <c r="I41" s="136">
        <f>SUM(I42:I44)</f>
        <v>40</v>
      </c>
      <c r="J41" s="136">
        <f>SUM(J42:J44)</f>
        <v>0</v>
      </c>
      <c r="K41" s="136">
        <f>SUM(K42:K44)</f>
        <v>0</v>
      </c>
      <c r="L41" s="136">
        <f>SUM(L42:L44)</f>
        <v>0</v>
      </c>
      <c r="M41" s="136">
        <f>SUM(M42:M44)</f>
        <v>0</v>
      </c>
      <c r="N41" s="10">
        <f t="shared" si="31"/>
        <v>40</v>
      </c>
      <c r="O41" s="74">
        <f>SUM(O42:O44)</f>
        <v>41.2</v>
      </c>
      <c r="P41" s="74">
        <f>SUM(P42:P44)</f>
        <v>0</v>
      </c>
      <c r="Q41" s="74">
        <f>SUM(Q42:Q44)</f>
        <v>0</v>
      </c>
      <c r="R41" s="74">
        <f>SUM(R42:R44)</f>
        <v>0</v>
      </c>
      <c r="S41" s="74">
        <f>SUM(S42:S44)</f>
        <v>0</v>
      </c>
      <c r="T41" s="10">
        <f t="shared" si="1"/>
        <v>41.2</v>
      </c>
      <c r="U41" s="74">
        <f>SUM(U42:U44)</f>
        <v>42.436</v>
      </c>
      <c r="V41" s="74">
        <f>SUM(V42:V44)</f>
        <v>0</v>
      </c>
      <c r="W41" s="74">
        <f>SUM(W42:W44)</f>
        <v>0</v>
      </c>
      <c r="X41" s="74">
        <f>SUM(X42:X44)</f>
        <v>0</v>
      </c>
      <c r="Y41" s="74">
        <f>SUM(Y42:Y44)</f>
        <v>0</v>
      </c>
      <c r="Z41" s="10">
        <f t="shared" si="2"/>
        <v>42.436</v>
      </c>
      <c r="AA41" s="74">
        <f>SUM(AA42:AA44)</f>
        <v>43.70908</v>
      </c>
      <c r="AB41" s="74">
        <f>SUM(AB42:AB44)</f>
        <v>0</v>
      </c>
      <c r="AC41" s="74">
        <f>SUM(AC42:AC44)</f>
        <v>0</v>
      </c>
      <c r="AD41" s="74">
        <f>SUM(AD42:AD44)</f>
        <v>0</v>
      </c>
      <c r="AE41" s="74">
        <f>SUM(AE42:AE44)</f>
        <v>0</v>
      </c>
      <c r="AF41" s="10">
        <f t="shared" si="3"/>
        <v>43.70908</v>
      </c>
    </row>
    <row r="42" spans="8:32" ht="42.75" customHeight="1">
      <c r="H42" s="26" t="s">
        <v>134</v>
      </c>
      <c r="I42" s="62">
        <f>POAI!C40</f>
        <v>10</v>
      </c>
      <c r="J42" s="89">
        <f>POAI!D40</f>
        <v>0</v>
      </c>
      <c r="K42" s="89">
        <f>POAI!E40</f>
        <v>0</v>
      </c>
      <c r="L42" s="89">
        <f>POAI!F40</f>
        <v>0</v>
      </c>
      <c r="M42" s="115">
        <f>POAI!G40</f>
        <v>0</v>
      </c>
      <c r="N42" s="117">
        <f>SUM(I42:M42)</f>
        <v>10</v>
      </c>
      <c r="O42" s="62">
        <f>+I42*1.03</f>
        <v>10.3</v>
      </c>
      <c r="P42" s="89">
        <f>+J42*1.03</f>
        <v>0</v>
      </c>
      <c r="Q42" s="89">
        <f>+K42*1.03</f>
        <v>0</v>
      </c>
      <c r="R42" s="89">
        <f>+L42*1.03</f>
        <v>0</v>
      </c>
      <c r="S42" s="115">
        <f>+M42*1.03</f>
        <v>0</v>
      </c>
      <c r="T42" s="117">
        <f>SUM(O42:S42)</f>
        <v>10.3</v>
      </c>
      <c r="U42" s="195">
        <f>+O42*1.03</f>
        <v>10.609000000000002</v>
      </c>
      <c r="V42" s="89">
        <f>+P42*1.03</f>
        <v>0</v>
      </c>
      <c r="W42" s="89">
        <f>+Q42*1.03</f>
        <v>0</v>
      </c>
      <c r="X42" s="89">
        <f>+R42*1.03</f>
        <v>0</v>
      </c>
      <c r="Y42" s="90">
        <f>+S42*1.03</f>
        <v>0</v>
      </c>
      <c r="Z42" s="117">
        <f>SUM(U42:Y42)</f>
        <v>10.609000000000002</v>
      </c>
      <c r="AA42" s="62">
        <f>+U42*1.03</f>
        <v>10.927270000000002</v>
      </c>
      <c r="AB42" s="89">
        <f>+V42*1.03</f>
        <v>0</v>
      </c>
      <c r="AC42" s="89">
        <f>+W42*1.03</f>
        <v>0</v>
      </c>
      <c r="AD42" s="89">
        <f>+X42*1.03</f>
        <v>0</v>
      </c>
      <c r="AE42" s="115">
        <f>+Y42*1.03</f>
        <v>0</v>
      </c>
      <c r="AF42" s="117">
        <f>SUM(AA42:AE42)</f>
        <v>10.927270000000002</v>
      </c>
    </row>
    <row r="43" spans="8:32" ht="42.75" customHeight="1">
      <c r="H43" s="26" t="s">
        <v>139</v>
      </c>
      <c r="I43" s="155">
        <f>POAI!C41</f>
        <v>15</v>
      </c>
      <c r="J43" s="156">
        <f>POAI!D41</f>
        <v>0</v>
      </c>
      <c r="K43" s="156">
        <f>POAI!E41</f>
        <v>0</v>
      </c>
      <c r="L43" s="156">
        <f>POAI!F41</f>
        <v>0</v>
      </c>
      <c r="M43" s="247">
        <f>POAI!G41</f>
        <v>0</v>
      </c>
      <c r="N43" s="65">
        <f t="shared" si="31"/>
        <v>15</v>
      </c>
      <c r="O43" s="155">
        <f aca="true" t="shared" si="32" ref="O43:S44">+I43*1.03</f>
        <v>15.450000000000001</v>
      </c>
      <c r="P43" s="156">
        <f t="shared" si="32"/>
        <v>0</v>
      </c>
      <c r="Q43" s="156">
        <f t="shared" si="32"/>
        <v>0</v>
      </c>
      <c r="R43" s="156">
        <f t="shared" si="32"/>
        <v>0</v>
      </c>
      <c r="S43" s="247">
        <f t="shared" si="32"/>
        <v>0</v>
      </c>
      <c r="T43" s="65">
        <f t="shared" si="1"/>
        <v>15.450000000000001</v>
      </c>
      <c r="U43" s="248">
        <f aca="true" t="shared" si="33" ref="U43:Y44">+O43*1.03</f>
        <v>15.9135</v>
      </c>
      <c r="V43" s="156">
        <f t="shared" si="33"/>
        <v>0</v>
      </c>
      <c r="W43" s="156">
        <f t="shared" si="33"/>
        <v>0</v>
      </c>
      <c r="X43" s="156">
        <f t="shared" si="33"/>
        <v>0</v>
      </c>
      <c r="Y43" s="157">
        <f t="shared" si="33"/>
        <v>0</v>
      </c>
      <c r="Z43" s="65">
        <f t="shared" si="2"/>
        <v>15.9135</v>
      </c>
      <c r="AA43" s="155">
        <f aca="true" t="shared" si="34" ref="AA43:AE44">+U43*1.03</f>
        <v>16.390905</v>
      </c>
      <c r="AB43" s="156">
        <f t="shared" si="34"/>
        <v>0</v>
      </c>
      <c r="AC43" s="156">
        <f t="shared" si="34"/>
        <v>0</v>
      </c>
      <c r="AD43" s="156">
        <f t="shared" si="34"/>
        <v>0</v>
      </c>
      <c r="AE43" s="247">
        <f t="shared" si="34"/>
        <v>0</v>
      </c>
      <c r="AF43" s="65">
        <f t="shared" si="3"/>
        <v>16.390905</v>
      </c>
    </row>
    <row r="44" spans="8:32" ht="48.75" customHeight="1" thickBot="1">
      <c r="H44" s="28" t="s">
        <v>140</v>
      </c>
      <c r="I44" s="80">
        <f>POAI!C42</f>
        <v>15</v>
      </c>
      <c r="J44" s="93">
        <f>POAI!D42</f>
        <v>0</v>
      </c>
      <c r="K44" s="93">
        <f>POAI!E42</f>
        <v>0</v>
      </c>
      <c r="L44" s="93">
        <f>POAI!F42</f>
        <v>0</v>
      </c>
      <c r="M44" s="167">
        <f>POAI!G42</f>
        <v>0</v>
      </c>
      <c r="N44" s="65">
        <f t="shared" si="31"/>
        <v>15</v>
      </c>
      <c r="O44" s="80">
        <f t="shared" si="32"/>
        <v>15.450000000000001</v>
      </c>
      <c r="P44" s="93">
        <f t="shared" si="32"/>
        <v>0</v>
      </c>
      <c r="Q44" s="93">
        <f t="shared" si="32"/>
        <v>0</v>
      </c>
      <c r="R44" s="93">
        <f t="shared" si="32"/>
        <v>0</v>
      </c>
      <c r="S44" s="167">
        <f t="shared" si="32"/>
        <v>0</v>
      </c>
      <c r="T44" s="65">
        <f t="shared" si="1"/>
        <v>15.450000000000001</v>
      </c>
      <c r="U44" s="198">
        <f t="shared" si="33"/>
        <v>15.9135</v>
      </c>
      <c r="V44" s="93">
        <f t="shared" si="33"/>
        <v>0</v>
      </c>
      <c r="W44" s="93">
        <f t="shared" si="33"/>
        <v>0</v>
      </c>
      <c r="X44" s="93">
        <f t="shared" si="33"/>
        <v>0</v>
      </c>
      <c r="Y44" s="94">
        <f t="shared" si="33"/>
        <v>0</v>
      </c>
      <c r="Z44" s="65">
        <f t="shared" si="2"/>
        <v>15.9135</v>
      </c>
      <c r="AA44" s="80">
        <f t="shared" si="34"/>
        <v>16.390905</v>
      </c>
      <c r="AB44" s="93">
        <f t="shared" si="34"/>
        <v>0</v>
      </c>
      <c r="AC44" s="93">
        <f t="shared" si="34"/>
        <v>0</v>
      </c>
      <c r="AD44" s="93">
        <f t="shared" si="34"/>
        <v>0</v>
      </c>
      <c r="AE44" s="167">
        <f t="shared" si="34"/>
        <v>0</v>
      </c>
      <c r="AF44" s="65">
        <f t="shared" si="3"/>
        <v>16.390905</v>
      </c>
    </row>
    <row r="45" spans="8:32" ht="42.75" customHeight="1" thickBot="1">
      <c r="H45" s="25" t="s">
        <v>65</v>
      </c>
      <c r="I45" s="137">
        <f>SUM(I46:I48)</f>
        <v>106.23</v>
      </c>
      <c r="J45" s="137">
        <f>SUM(J46:J48)</f>
        <v>21</v>
      </c>
      <c r="K45" s="137">
        <f>SUM(K46:K48)</f>
        <v>0</v>
      </c>
      <c r="L45" s="137">
        <f>SUM(L46:L48)</f>
        <v>0</v>
      </c>
      <c r="M45" s="171">
        <f>SUM(M46:M48)</f>
        <v>0</v>
      </c>
      <c r="N45" s="10">
        <f t="shared" si="31"/>
        <v>127.23</v>
      </c>
      <c r="O45" s="74">
        <f>SUM(O46:O48)</f>
        <v>109.41690000000001</v>
      </c>
      <c r="P45" s="74">
        <f>SUM(P46:P48)</f>
        <v>21.630000000000003</v>
      </c>
      <c r="Q45" s="74">
        <f>SUM(Q46:Q48)</f>
        <v>0</v>
      </c>
      <c r="R45" s="74">
        <f>SUM(R46:R48)</f>
        <v>0</v>
      </c>
      <c r="S45" s="158">
        <f>SUM(S46:S48)</f>
        <v>0</v>
      </c>
      <c r="T45" s="10">
        <f t="shared" si="1"/>
        <v>131.04690000000002</v>
      </c>
      <c r="U45" s="74">
        <f>SUM(U46:U48)</f>
        <v>112.69940700000001</v>
      </c>
      <c r="V45" s="74">
        <f>SUM(V46:V48)</f>
        <v>22.2789</v>
      </c>
      <c r="W45" s="74">
        <f>SUM(W46:W48)</f>
        <v>0</v>
      </c>
      <c r="X45" s="74">
        <f>SUM(X46:X48)</f>
        <v>0</v>
      </c>
      <c r="Y45" s="74">
        <f>SUM(Y46:Y48)</f>
        <v>0</v>
      </c>
      <c r="Z45" s="10">
        <f t="shared" si="2"/>
        <v>134.978307</v>
      </c>
      <c r="AA45" s="74">
        <f>SUM(AA46:AA48)</f>
        <v>116.08038921000002</v>
      </c>
      <c r="AB45" s="74">
        <f>SUM(AB46:AB48)</f>
        <v>22.947267</v>
      </c>
      <c r="AC45" s="74">
        <f>SUM(AC46:AC48)</f>
        <v>0</v>
      </c>
      <c r="AD45" s="74">
        <f>SUM(AD46:AD48)</f>
        <v>0</v>
      </c>
      <c r="AE45" s="158">
        <f>SUM(AE46:AE48)</f>
        <v>0</v>
      </c>
      <c r="AF45" s="10">
        <f t="shared" si="3"/>
        <v>139.02765621000003</v>
      </c>
    </row>
    <row r="46" spans="8:32" ht="42.75" customHeight="1">
      <c r="H46" s="26" t="s">
        <v>66</v>
      </c>
      <c r="I46" s="62">
        <f>POAI!C44</f>
        <v>35</v>
      </c>
      <c r="J46" s="89">
        <f>POAI!D44</f>
        <v>0</v>
      </c>
      <c r="K46" s="89">
        <f>POAI!E44</f>
        <v>0</v>
      </c>
      <c r="L46" s="89">
        <f>POAI!F44</f>
        <v>0</v>
      </c>
      <c r="M46" s="115">
        <f>POAI!G44</f>
        <v>0</v>
      </c>
      <c r="N46" s="65">
        <f t="shared" si="31"/>
        <v>35</v>
      </c>
      <c r="O46" s="62">
        <f aca="true" t="shared" si="35" ref="O46:S48">+I46*1.03</f>
        <v>36.050000000000004</v>
      </c>
      <c r="P46" s="63">
        <f t="shared" si="35"/>
        <v>0</v>
      </c>
      <c r="Q46" s="63">
        <f t="shared" si="35"/>
        <v>0</v>
      </c>
      <c r="R46" s="63">
        <f t="shared" si="35"/>
        <v>0</v>
      </c>
      <c r="S46" s="186">
        <f t="shared" si="35"/>
        <v>0</v>
      </c>
      <c r="T46" s="65">
        <f t="shared" si="1"/>
        <v>36.050000000000004</v>
      </c>
      <c r="U46" s="195">
        <f aca="true" t="shared" si="36" ref="U46:Y48">+O46*1.03</f>
        <v>37.1315</v>
      </c>
      <c r="V46" s="63">
        <f t="shared" si="36"/>
        <v>0</v>
      </c>
      <c r="W46" s="63">
        <f t="shared" si="36"/>
        <v>0</v>
      </c>
      <c r="X46" s="63">
        <f t="shared" si="36"/>
        <v>0</v>
      </c>
      <c r="Y46" s="64">
        <f t="shared" si="36"/>
        <v>0</v>
      </c>
      <c r="Z46" s="65">
        <f t="shared" si="2"/>
        <v>37.1315</v>
      </c>
      <c r="AA46" s="62">
        <f aca="true" t="shared" si="37" ref="AA46:AE48">+U46*1.03</f>
        <v>38.245445000000004</v>
      </c>
      <c r="AB46" s="63">
        <f t="shared" si="37"/>
        <v>0</v>
      </c>
      <c r="AC46" s="63">
        <f t="shared" si="37"/>
        <v>0</v>
      </c>
      <c r="AD46" s="63">
        <f t="shared" si="37"/>
        <v>0</v>
      </c>
      <c r="AE46" s="186">
        <f t="shared" si="37"/>
        <v>0</v>
      </c>
      <c r="AF46" s="65">
        <f t="shared" si="3"/>
        <v>38.245445000000004</v>
      </c>
    </row>
    <row r="47" spans="8:32" ht="80.25" customHeight="1">
      <c r="H47" s="27" t="str">
        <f>POAI!B45</f>
        <v>2.3.2 APOYO A PROYECTOS PRODUCTIVOS, GRANJAS FAMILIARES Y FORTALECIMIENTO DE LA INFRAESTRUCTURA PARA LA PRODUCCION RURALY LA COMERCIALIZACION.</v>
      </c>
      <c r="I47" s="68">
        <f>POAI!C45</f>
        <v>56.230000000000004</v>
      </c>
      <c r="J47" s="91">
        <f>POAI!D45</f>
        <v>16</v>
      </c>
      <c r="K47" s="91">
        <f>POAI!E45</f>
        <v>0</v>
      </c>
      <c r="L47" s="91">
        <f>POAI!F45</f>
        <v>0</v>
      </c>
      <c r="M47" s="166">
        <f>POAI!G45</f>
        <v>0</v>
      </c>
      <c r="N47" s="69">
        <f t="shared" si="31"/>
        <v>72.23</v>
      </c>
      <c r="O47" s="68">
        <f t="shared" si="35"/>
        <v>57.916900000000005</v>
      </c>
      <c r="P47" s="7">
        <f t="shared" si="35"/>
        <v>16.48</v>
      </c>
      <c r="Q47" s="7">
        <f t="shared" si="35"/>
        <v>0</v>
      </c>
      <c r="R47" s="7">
        <f t="shared" si="35"/>
        <v>0</v>
      </c>
      <c r="S47" s="9">
        <f t="shared" si="35"/>
        <v>0</v>
      </c>
      <c r="T47" s="69">
        <f t="shared" si="1"/>
        <v>74.3969</v>
      </c>
      <c r="U47" s="77">
        <f t="shared" si="36"/>
        <v>59.654407000000006</v>
      </c>
      <c r="V47" s="7">
        <f t="shared" si="36"/>
        <v>16.9744</v>
      </c>
      <c r="W47" s="7">
        <f t="shared" si="36"/>
        <v>0</v>
      </c>
      <c r="X47" s="7">
        <f t="shared" si="36"/>
        <v>0</v>
      </c>
      <c r="Y47" s="8">
        <f t="shared" si="36"/>
        <v>0</v>
      </c>
      <c r="Z47" s="69">
        <f t="shared" si="2"/>
        <v>76.62880700000001</v>
      </c>
      <c r="AA47" s="68">
        <f t="shared" si="37"/>
        <v>61.44403921000001</v>
      </c>
      <c r="AB47" s="7">
        <f t="shared" si="37"/>
        <v>17.483632</v>
      </c>
      <c r="AC47" s="7">
        <f t="shared" si="37"/>
        <v>0</v>
      </c>
      <c r="AD47" s="7">
        <f t="shared" si="37"/>
        <v>0</v>
      </c>
      <c r="AE47" s="9">
        <f t="shared" si="37"/>
        <v>0</v>
      </c>
      <c r="AF47" s="69">
        <f t="shared" si="3"/>
        <v>78.92767121</v>
      </c>
    </row>
    <row r="48" spans="8:32" ht="42.75" customHeight="1" thickBot="1">
      <c r="H48" s="31" t="s">
        <v>67</v>
      </c>
      <c r="I48" s="80">
        <f>POAI!C46</f>
        <v>15</v>
      </c>
      <c r="J48" s="93">
        <f>POAI!D46</f>
        <v>5</v>
      </c>
      <c r="K48" s="93">
        <f>POAI!E46</f>
        <v>0</v>
      </c>
      <c r="L48" s="93">
        <f>POAI!F46</f>
        <v>0</v>
      </c>
      <c r="M48" s="167">
        <f>POAI!G46</f>
        <v>0</v>
      </c>
      <c r="N48" s="102">
        <f t="shared" si="31"/>
        <v>20</v>
      </c>
      <c r="O48" s="99">
        <f t="shared" si="35"/>
        <v>15.450000000000001</v>
      </c>
      <c r="P48" s="100">
        <f t="shared" si="35"/>
        <v>5.15</v>
      </c>
      <c r="Q48" s="100">
        <f t="shared" si="35"/>
        <v>0</v>
      </c>
      <c r="R48" s="100">
        <f t="shared" si="35"/>
        <v>0</v>
      </c>
      <c r="S48" s="192">
        <f t="shared" si="35"/>
        <v>0</v>
      </c>
      <c r="T48" s="102">
        <f t="shared" si="1"/>
        <v>20.6</v>
      </c>
      <c r="U48" s="201">
        <f t="shared" si="36"/>
        <v>15.9135</v>
      </c>
      <c r="V48" s="100">
        <f t="shared" si="36"/>
        <v>5.304500000000001</v>
      </c>
      <c r="W48" s="100">
        <f t="shared" si="36"/>
        <v>0</v>
      </c>
      <c r="X48" s="100">
        <f t="shared" si="36"/>
        <v>0</v>
      </c>
      <c r="Y48" s="101">
        <f t="shared" si="36"/>
        <v>0</v>
      </c>
      <c r="Z48" s="102">
        <f t="shared" si="2"/>
        <v>21.218000000000004</v>
      </c>
      <c r="AA48" s="99">
        <f t="shared" si="37"/>
        <v>16.390905</v>
      </c>
      <c r="AB48" s="100">
        <f t="shared" si="37"/>
        <v>5.463635000000001</v>
      </c>
      <c r="AC48" s="100">
        <f t="shared" si="37"/>
        <v>0</v>
      </c>
      <c r="AD48" s="100">
        <f t="shared" si="37"/>
        <v>0</v>
      </c>
      <c r="AE48" s="192">
        <f t="shared" si="37"/>
        <v>0</v>
      </c>
      <c r="AF48" s="102">
        <f t="shared" si="3"/>
        <v>21.85454</v>
      </c>
    </row>
    <row r="49" spans="8:32" ht="42.75" customHeight="1" thickBot="1">
      <c r="H49" s="29" t="s">
        <v>136</v>
      </c>
      <c r="I49" s="58">
        <f>I50+I57+I52+I55+I59</f>
        <v>936.9599999999999</v>
      </c>
      <c r="J49" s="58">
        <f>J50+J57+J52+J55+J59</f>
        <v>235.73000000000002</v>
      </c>
      <c r="K49" s="58">
        <f>K50+K57+K52+K55+K59</f>
        <v>30</v>
      </c>
      <c r="L49" s="58">
        <f>L50+L57+L52+L55+L59</f>
        <v>0</v>
      </c>
      <c r="M49" s="58">
        <f>M50+M57+M52+M55+M59</f>
        <v>0</v>
      </c>
      <c r="N49" s="59">
        <f t="shared" si="31"/>
        <v>1202.69</v>
      </c>
      <c r="O49" s="58">
        <f>O50+O57+O52+O55+O59</f>
        <v>965.0687999999999</v>
      </c>
      <c r="P49" s="58">
        <f>P50+P57+P52+P55+P59</f>
        <v>242.8019</v>
      </c>
      <c r="Q49" s="58">
        <f>Q50+Q57+Q52+Q55+Q59</f>
        <v>30.900000000000002</v>
      </c>
      <c r="R49" s="58">
        <f>R50+R57+R52+R55+R59</f>
        <v>0</v>
      </c>
      <c r="S49" s="58">
        <f>S50+S57+S52+S55+S59</f>
        <v>0</v>
      </c>
      <c r="T49" s="59">
        <f t="shared" si="1"/>
        <v>1238.7707</v>
      </c>
      <c r="U49" s="58">
        <f>U50+U57+U52+U55+U59</f>
        <v>994.0208640000001</v>
      </c>
      <c r="V49" s="58">
        <f>V50+V57+V52+V55+V59</f>
        <v>250.085957</v>
      </c>
      <c r="W49" s="58">
        <f>W50+W57+W52+W55+W59</f>
        <v>31.827</v>
      </c>
      <c r="X49" s="58">
        <f>X50+X57+X52+X55+X59</f>
        <v>0</v>
      </c>
      <c r="Y49" s="58">
        <f>Y50+Y57+Y52+Y55+Y59</f>
        <v>0</v>
      </c>
      <c r="Z49" s="58">
        <f t="shared" si="2"/>
        <v>1275.933821</v>
      </c>
      <c r="AA49" s="58">
        <f>AA50+AA57+AA52+AA55+AA59</f>
        <v>1023.8414899200001</v>
      </c>
      <c r="AB49" s="58">
        <f>AB50+AB57+AB52+AB55+AB59</f>
        <v>257.58853571000003</v>
      </c>
      <c r="AC49" s="58">
        <f>AC50+AC57+AC52+AC55+AC59</f>
        <v>32.78181</v>
      </c>
      <c r="AD49" s="58">
        <f>AD50+AD57+AD52+AD55+AD59</f>
        <v>0</v>
      </c>
      <c r="AE49" s="58">
        <f>AE50+AE57+AE52+AE55+AE59</f>
        <v>0</v>
      </c>
      <c r="AF49" s="59">
        <f t="shared" si="3"/>
        <v>1314.21183563</v>
      </c>
    </row>
    <row r="50" spans="8:32" ht="42.75" customHeight="1" thickBot="1">
      <c r="H50" s="32" t="s">
        <v>34</v>
      </c>
      <c r="I50" s="74">
        <f>SUM(I51:I51)</f>
        <v>670</v>
      </c>
      <c r="J50" s="74">
        <f>SUM(J51:J51)</f>
        <v>0</v>
      </c>
      <c r="K50" s="74">
        <f>SUM(K51:K51)</f>
        <v>0</v>
      </c>
      <c r="L50" s="74">
        <f>SUM(L51:L51)</f>
        <v>0</v>
      </c>
      <c r="M50" s="158">
        <f>SUM(M51:M51)</f>
        <v>0</v>
      </c>
      <c r="N50" s="10">
        <f t="shared" si="31"/>
        <v>670</v>
      </c>
      <c r="O50" s="74">
        <f>SUM(O51:O51)</f>
        <v>690.1</v>
      </c>
      <c r="P50" s="74">
        <f>SUM(P51:P51)</f>
        <v>0</v>
      </c>
      <c r="Q50" s="74">
        <f>SUM(Q51:Q51)</f>
        <v>0</v>
      </c>
      <c r="R50" s="74">
        <f>SUM(R51:R51)</f>
        <v>0</v>
      </c>
      <c r="S50" s="158">
        <f>SUM(S51:S51)</f>
        <v>0</v>
      </c>
      <c r="T50" s="10">
        <f t="shared" si="1"/>
        <v>690.1</v>
      </c>
      <c r="U50" s="74">
        <f>SUM(U51:U51)</f>
        <v>710.803</v>
      </c>
      <c r="V50" s="74">
        <f>SUM(V51:V51)</f>
        <v>0</v>
      </c>
      <c r="W50" s="74">
        <f>SUM(W51:W51)</f>
        <v>0</v>
      </c>
      <c r="X50" s="74">
        <f>SUM(X51:X51)</f>
        <v>0</v>
      </c>
      <c r="Y50" s="74">
        <f>SUM(Y51:Y51)</f>
        <v>0</v>
      </c>
      <c r="Z50" s="10">
        <f t="shared" si="2"/>
        <v>710.803</v>
      </c>
      <c r="AA50" s="74">
        <f>SUM(AA51:AA51)</f>
        <v>732.1270900000001</v>
      </c>
      <c r="AB50" s="74">
        <f>SUM(AB51:AB51)</f>
        <v>0</v>
      </c>
      <c r="AC50" s="74">
        <f>SUM(AC51:AC51)</f>
        <v>0</v>
      </c>
      <c r="AD50" s="74">
        <f>SUM(AD51:AD51)</f>
        <v>0</v>
      </c>
      <c r="AE50" s="158">
        <f>SUM(AE51:AE51)</f>
        <v>0</v>
      </c>
      <c r="AF50" s="10">
        <f t="shared" si="3"/>
        <v>732.1270900000001</v>
      </c>
    </row>
    <row r="51" spans="8:32" ht="42.75" customHeight="1" thickBot="1">
      <c r="H51" s="27" t="s">
        <v>35</v>
      </c>
      <c r="I51" s="111">
        <f>POAI!C49</f>
        <v>670</v>
      </c>
      <c r="J51" s="111">
        <f>POAI!D49</f>
        <v>0</v>
      </c>
      <c r="K51" s="111">
        <f>POAI!E49</f>
        <v>0</v>
      </c>
      <c r="L51" s="111">
        <f>POAI!F49</f>
        <v>0</v>
      </c>
      <c r="M51" s="177">
        <f>POAI!G49</f>
        <v>0</v>
      </c>
      <c r="N51" s="114">
        <f t="shared" si="31"/>
        <v>670</v>
      </c>
      <c r="O51" s="111">
        <f>+I51*1.03</f>
        <v>690.1</v>
      </c>
      <c r="P51" s="112">
        <f>+J51*1.03</f>
        <v>0</v>
      </c>
      <c r="Q51" s="112">
        <f>+K51*1.03</f>
        <v>0</v>
      </c>
      <c r="R51" s="113">
        <f>+L51*1.03</f>
        <v>0</v>
      </c>
      <c r="S51" s="113">
        <f>+M51*1.03</f>
        <v>0</v>
      </c>
      <c r="T51" s="114">
        <f t="shared" si="1"/>
        <v>690.1</v>
      </c>
      <c r="U51" s="111">
        <f>+O51*1.03</f>
        <v>710.803</v>
      </c>
      <c r="V51" s="112">
        <f>+P51*1.03</f>
        <v>0</v>
      </c>
      <c r="W51" s="112">
        <f>+Q51*1.03</f>
        <v>0</v>
      </c>
      <c r="X51" s="113">
        <f>+R51*1.03</f>
        <v>0</v>
      </c>
      <c r="Y51" s="113">
        <f>+S51*1.03</f>
        <v>0</v>
      </c>
      <c r="Z51" s="114">
        <f t="shared" si="2"/>
        <v>710.803</v>
      </c>
      <c r="AA51" s="111">
        <f>+U51*1.03</f>
        <v>732.1270900000001</v>
      </c>
      <c r="AB51" s="112">
        <f>+V51*1.03</f>
        <v>0</v>
      </c>
      <c r="AC51" s="112">
        <f>+W51*1.03</f>
        <v>0</v>
      </c>
      <c r="AD51" s="113">
        <f>+X51*1.03</f>
        <v>0</v>
      </c>
      <c r="AE51" s="113">
        <f>+Y51*1.03</f>
        <v>0</v>
      </c>
      <c r="AF51" s="114">
        <f t="shared" si="3"/>
        <v>732.1270900000001</v>
      </c>
    </row>
    <row r="52" spans="8:32" ht="42.75" customHeight="1" thickBot="1">
      <c r="H52" s="25" t="s">
        <v>149</v>
      </c>
      <c r="I52" s="137">
        <f>SUM(I53:I54)</f>
        <v>40.55</v>
      </c>
      <c r="J52" s="137">
        <f>SUM(J53:J54)</f>
        <v>0</v>
      </c>
      <c r="K52" s="137">
        <f>SUM(K53:K54)</f>
        <v>0</v>
      </c>
      <c r="L52" s="137">
        <f>SUM(L53:L54)</f>
        <v>0</v>
      </c>
      <c r="M52" s="171">
        <f>SUM(M53:M54)</f>
        <v>0</v>
      </c>
      <c r="N52" s="116">
        <f t="shared" si="31"/>
        <v>40.55</v>
      </c>
      <c r="O52" s="74">
        <f>SUM(O53:O54)</f>
        <v>41.7665</v>
      </c>
      <c r="P52" s="74">
        <f>SUM(P53:P54)</f>
        <v>0</v>
      </c>
      <c r="Q52" s="74">
        <f>SUM(Q53:Q54)</f>
        <v>0</v>
      </c>
      <c r="R52" s="74">
        <f>SUM(R53:R54)</f>
        <v>0</v>
      </c>
      <c r="S52" s="158">
        <f>SUM(S53:S54)</f>
        <v>0</v>
      </c>
      <c r="T52" s="116">
        <f t="shared" si="1"/>
        <v>41.7665</v>
      </c>
      <c r="U52" s="74">
        <f>SUM(U53:U54)</f>
        <v>43.019495</v>
      </c>
      <c r="V52" s="74">
        <f>SUM(V53:V54)</f>
        <v>0</v>
      </c>
      <c r="W52" s="74">
        <f>SUM(W53:W54)</f>
        <v>0</v>
      </c>
      <c r="X52" s="74">
        <f>SUM(X53:X54)</f>
        <v>0</v>
      </c>
      <c r="Y52" s="74">
        <f>SUM(Y53:Y54)</f>
        <v>0</v>
      </c>
      <c r="Z52" s="61">
        <f t="shared" si="2"/>
        <v>43.019495</v>
      </c>
      <c r="AA52" s="74">
        <f>SUM(AA53:AA54)</f>
        <v>44.31007985</v>
      </c>
      <c r="AB52" s="74">
        <f>SUM(AB53:AB54)</f>
        <v>0</v>
      </c>
      <c r="AC52" s="74">
        <f>SUM(AC53:AC54)</f>
        <v>0</v>
      </c>
      <c r="AD52" s="74">
        <f>SUM(AD53:AD54)</f>
        <v>0</v>
      </c>
      <c r="AE52" s="158">
        <f>SUM(AE53:AE54)</f>
        <v>0</v>
      </c>
      <c r="AF52" s="116">
        <f t="shared" si="3"/>
        <v>44.31007985</v>
      </c>
    </row>
    <row r="53" spans="8:32" ht="33.75" customHeight="1">
      <c r="H53" s="43" t="s">
        <v>143</v>
      </c>
      <c r="I53" s="62">
        <f>POAI!C51</f>
        <v>30.55</v>
      </c>
      <c r="J53" s="89">
        <f>POAI!D51</f>
        <v>0</v>
      </c>
      <c r="K53" s="89">
        <f>POAI!E51</f>
        <v>0</v>
      </c>
      <c r="L53" s="89">
        <f>POAI!F51</f>
        <v>0</v>
      </c>
      <c r="M53" s="115">
        <f>POAI!G51</f>
        <v>0</v>
      </c>
      <c r="N53" s="65">
        <f t="shared" si="31"/>
        <v>30.55</v>
      </c>
      <c r="O53" s="62">
        <f aca="true" t="shared" si="38" ref="O53:S54">+I53*1.03</f>
        <v>31.4665</v>
      </c>
      <c r="P53" s="89">
        <f t="shared" si="38"/>
        <v>0</v>
      </c>
      <c r="Q53" s="89">
        <f t="shared" si="38"/>
        <v>0</v>
      </c>
      <c r="R53" s="89">
        <f t="shared" si="38"/>
        <v>0</v>
      </c>
      <c r="S53" s="115">
        <f t="shared" si="38"/>
        <v>0</v>
      </c>
      <c r="T53" s="65">
        <f t="shared" si="1"/>
        <v>31.4665</v>
      </c>
      <c r="U53" s="195">
        <f aca="true" t="shared" si="39" ref="U53:Y54">+O53*1.03</f>
        <v>32.410495</v>
      </c>
      <c r="V53" s="89">
        <f t="shared" si="39"/>
        <v>0</v>
      </c>
      <c r="W53" s="89">
        <f t="shared" si="39"/>
        <v>0</v>
      </c>
      <c r="X53" s="89">
        <f t="shared" si="39"/>
        <v>0</v>
      </c>
      <c r="Y53" s="90">
        <f t="shared" si="39"/>
        <v>0</v>
      </c>
      <c r="Z53" s="65">
        <f t="shared" si="2"/>
        <v>32.410495</v>
      </c>
      <c r="AA53" s="62">
        <f aca="true" t="shared" si="40" ref="AA53:AE54">+U53*1.03</f>
        <v>33.38280985</v>
      </c>
      <c r="AB53" s="89">
        <f t="shared" si="40"/>
        <v>0</v>
      </c>
      <c r="AC53" s="89">
        <f t="shared" si="40"/>
        <v>0</v>
      </c>
      <c r="AD53" s="89">
        <f t="shared" si="40"/>
        <v>0</v>
      </c>
      <c r="AE53" s="115">
        <f t="shared" si="40"/>
        <v>0</v>
      </c>
      <c r="AF53" s="65">
        <f t="shared" si="3"/>
        <v>33.38280985</v>
      </c>
    </row>
    <row r="54" spans="8:32" ht="33.75" customHeight="1" thickBot="1">
      <c r="H54" s="46" t="s">
        <v>150</v>
      </c>
      <c r="I54" s="80">
        <f>POAI!C52</f>
        <v>10</v>
      </c>
      <c r="J54" s="93">
        <f>POAI!D52</f>
        <v>0</v>
      </c>
      <c r="K54" s="93">
        <f>POAI!E52</f>
        <v>0</v>
      </c>
      <c r="L54" s="93">
        <f>POAI!F52</f>
        <v>0</v>
      </c>
      <c r="M54" s="167">
        <f>POAI!G52</f>
        <v>0</v>
      </c>
      <c r="N54" s="79">
        <f t="shared" si="31"/>
        <v>10</v>
      </c>
      <c r="O54" s="80">
        <f t="shared" si="38"/>
        <v>10.3</v>
      </c>
      <c r="P54" s="93">
        <f t="shared" si="38"/>
        <v>0</v>
      </c>
      <c r="Q54" s="93">
        <f t="shared" si="38"/>
        <v>0</v>
      </c>
      <c r="R54" s="93">
        <f t="shared" si="38"/>
        <v>0</v>
      </c>
      <c r="S54" s="167">
        <f t="shared" si="38"/>
        <v>0</v>
      </c>
      <c r="T54" s="79">
        <f t="shared" si="1"/>
        <v>10.3</v>
      </c>
      <c r="U54" s="198">
        <f t="shared" si="39"/>
        <v>10.609000000000002</v>
      </c>
      <c r="V54" s="93">
        <f t="shared" si="39"/>
        <v>0</v>
      </c>
      <c r="W54" s="93">
        <f t="shared" si="39"/>
        <v>0</v>
      </c>
      <c r="X54" s="93">
        <f t="shared" si="39"/>
        <v>0</v>
      </c>
      <c r="Y54" s="94">
        <f t="shared" si="39"/>
        <v>0</v>
      </c>
      <c r="Z54" s="79">
        <f t="shared" si="2"/>
        <v>10.609000000000002</v>
      </c>
      <c r="AA54" s="80">
        <f t="shared" si="40"/>
        <v>10.927270000000002</v>
      </c>
      <c r="AB54" s="93">
        <f t="shared" si="40"/>
        <v>0</v>
      </c>
      <c r="AC54" s="93">
        <f t="shared" si="40"/>
        <v>0</v>
      </c>
      <c r="AD54" s="93">
        <f t="shared" si="40"/>
        <v>0</v>
      </c>
      <c r="AE54" s="167">
        <f t="shared" si="40"/>
        <v>0</v>
      </c>
      <c r="AF54" s="79">
        <f t="shared" si="3"/>
        <v>10.927270000000002</v>
      </c>
    </row>
    <row r="55" spans="8:32" ht="32.25" customHeight="1" thickBot="1">
      <c r="H55" s="55" t="s">
        <v>145</v>
      </c>
      <c r="I55" s="142">
        <f>SUM(I56)</f>
        <v>85</v>
      </c>
      <c r="J55" s="142">
        <f>SUM(J56)</f>
        <v>170</v>
      </c>
      <c r="K55" s="142">
        <f>SUM(K56)</f>
        <v>30</v>
      </c>
      <c r="L55" s="142">
        <f>SUM(L56)</f>
        <v>0</v>
      </c>
      <c r="M55" s="175">
        <f>SUM(M56)</f>
        <v>0</v>
      </c>
      <c r="N55" s="104">
        <f>SUM(I55:M55)</f>
        <v>285</v>
      </c>
      <c r="O55" s="103">
        <f>SUM(O56)</f>
        <v>87.55</v>
      </c>
      <c r="P55" s="105">
        <f>SUM(P56)</f>
        <v>175.1</v>
      </c>
      <c r="Q55" s="105">
        <f>SUM(Q56)</f>
        <v>30.900000000000002</v>
      </c>
      <c r="R55" s="106">
        <f>SUM(R56)</f>
        <v>0</v>
      </c>
      <c r="S55" s="106">
        <f>SUM(S56)</f>
        <v>0</v>
      </c>
      <c r="T55" s="104">
        <f>SUM(O55:S55)</f>
        <v>293.54999999999995</v>
      </c>
      <c r="U55" s="103">
        <f>SUM(U56)</f>
        <v>90.1765</v>
      </c>
      <c r="V55" s="105">
        <f>SUM(V56)</f>
        <v>180.353</v>
      </c>
      <c r="W55" s="105">
        <f>SUM(W56)</f>
        <v>31.827</v>
      </c>
      <c r="X55" s="106">
        <f>SUM(X56)</f>
        <v>0</v>
      </c>
      <c r="Y55" s="106">
        <f>SUM(Y56)</f>
        <v>0</v>
      </c>
      <c r="Z55" s="104">
        <f>SUM(U55:Y55)</f>
        <v>302.3565</v>
      </c>
      <c r="AA55" s="103">
        <f>SUM(AA56)</f>
        <v>92.88179500000001</v>
      </c>
      <c r="AB55" s="105">
        <f>SUM(AB56)</f>
        <v>185.76359000000002</v>
      </c>
      <c r="AC55" s="105">
        <f>SUM(AC56)</f>
        <v>32.78181</v>
      </c>
      <c r="AD55" s="106">
        <f>SUM(AD56)</f>
        <v>0</v>
      </c>
      <c r="AE55" s="106">
        <f>SUM(AE56)</f>
        <v>0</v>
      </c>
      <c r="AF55" s="104">
        <f>SUM(AA55:AE55)</f>
        <v>311.42719500000004</v>
      </c>
    </row>
    <row r="56" spans="8:32" ht="33.75" customHeight="1" thickBot="1">
      <c r="H56" s="30" t="s">
        <v>146</v>
      </c>
      <c r="I56" s="107">
        <f>POAI!C54</f>
        <v>85</v>
      </c>
      <c r="J56" s="107">
        <f>POAI!D54</f>
        <v>170</v>
      </c>
      <c r="K56" s="107">
        <f>POAI!E54</f>
        <v>30</v>
      </c>
      <c r="L56" s="107">
        <f>POAI!F54</f>
        <v>0</v>
      </c>
      <c r="M56" s="176">
        <f>POAI!G54</f>
        <v>0</v>
      </c>
      <c r="N56" s="110">
        <f>SUM(I56:M56)</f>
        <v>285</v>
      </c>
      <c r="O56" s="107">
        <f>+I56*1.03</f>
        <v>87.55</v>
      </c>
      <c r="P56" s="108">
        <f>+J56*1.03</f>
        <v>175.1</v>
      </c>
      <c r="Q56" s="108">
        <f>+K56*1.03</f>
        <v>30.900000000000002</v>
      </c>
      <c r="R56" s="109">
        <f>+L56*1.03</f>
        <v>0</v>
      </c>
      <c r="S56" s="109">
        <f>+M56*1.03</f>
        <v>0</v>
      </c>
      <c r="T56" s="110">
        <f>SUM(O56:S56)</f>
        <v>293.54999999999995</v>
      </c>
      <c r="U56" s="107">
        <f>+O56*1.03</f>
        <v>90.1765</v>
      </c>
      <c r="V56" s="108">
        <f>+P56*1.03</f>
        <v>180.353</v>
      </c>
      <c r="W56" s="108">
        <f>+Q56*1.03</f>
        <v>31.827</v>
      </c>
      <c r="X56" s="109">
        <f>+R56*1.03</f>
        <v>0</v>
      </c>
      <c r="Y56" s="109">
        <f>+S56*1.03</f>
        <v>0</v>
      </c>
      <c r="Z56" s="110">
        <f>SUM(U56:Y56)</f>
        <v>302.3565</v>
      </c>
      <c r="AA56" s="107">
        <f>+U56*1.03</f>
        <v>92.88179500000001</v>
      </c>
      <c r="AB56" s="108">
        <f>+V56*1.03</f>
        <v>185.76359000000002</v>
      </c>
      <c r="AC56" s="108">
        <f>+W56*1.03</f>
        <v>32.78181</v>
      </c>
      <c r="AD56" s="109">
        <f>+X56*1.03</f>
        <v>0</v>
      </c>
      <c r="AE56" s="109">
        <f>+Y56*1.03</f>
        <v>0</v>
      </c>
      <c r="AF56" s="110">
        <f>SUM(AA56:AE56)</f>
        <v>311.42719500000004</v>
      </c>
    </row>
    <row r="57" spans="8:32" ht="42.75" customHeight="1" thickBot="1">
      <c r="H57" s="25" t="s">
        <v>147</v>
      </c>
      <c r="I57" s="60">
        <f>I58</f>
        <v>31.41</v>
      </c>
      <c r="J57" s="61">
        <f>J58</f>
        <v>65.73</v>
      </c>
      <c r="K57" s="61">
        <f>K58</f>
        <v>0</v>
      </c>
      <c r="L57" s="61">
        <f>L58</f>
        <v>0</v>
      </c>
      <c r="M57" s="246">
        <f>M58</f>
        <v>0</v>
      </c>
      <c r="N57" s="116">
        <f>SUM(I57:M57)</f>
        <v>97.14</v>
      </c>
      <c r="O57" s="74">
        <f>O58</f>
        <v>32.3523</v>
      </c>
      <c r="P57" s="61">
        <f>P58</f>
        <v>67.70190000000001</v>
      </c>
      <c r="Q57" s="61">
        <f>Q58</f>
        <v>0</v>
      </c>
      <c r="R57" s="61">
        <f>R58</f>
        <v>0</v>
      </c>
      <c r="S57" s="165">
        <f>S58</f>
        <v>0</v>
      </c>
      <c r="T57" s="116">
        <f>SUM(O57:S57)</f>
        <v>100.05420000000001</v>
      </c>
      <c r="U57" s="74">
        <f>U58</f>
        <v>33.322869</v>
      </c>
      <c r="V57" s="61">
        <f>V58</f>
        <v>69.73295700000001</v>
      </c>
      <c r="W57" s="61">
        <f>W58</f>
        <v>0</v>
      </c>
      <c r="X57" s="61">
        <f>X58</f>
        <v>0</v>
      </c>
      <c r="Y57" s="61">
        <f>Y58</f>
        <v>0</v>
      </c>
      <c r="Z57" s="61">
        <f>SUM(U57:Y57)</f>
        <v>103.05582600000001</v>
      </c>
      <c r="AA57" s="74">
        <f>AA58</f>
        <v>34.32255507</v>
      </c>
      <c r="AB57" s="61">
        <f>AB58</f>
        <v>71.82494571000001</v>
      </c>
      <c r="AC57" s="61">
        <f>AC58</f>
        <v>0</v>
      </c>
      <c r="AD57" s="61">
        <f>AD58</f>
        <v>0</v>
      </c>
      <c r="AE57" s="165">
        <f>AE58</f>
        <v>0</v>
      </c>
      <c r="AF57" s="116">
        <f>SUM(AA57:AE57)</f>
        <v>106.14750078</v>
      </c>
    </row>
    <row r="58" spans="8:32" ht="42.75" customHeight="1" thickBot="1">
      <c r="H58" s="30" t="s">
        <v>148</v>
      </c>
      <c r="I58" s="146">
        <f>POAI!C56</f>
        <v>31.41</v>
      </c>
      <c r="J58" s="147">
        <f>POAI!D56</f>
        <v>65.73</v>
      </c>
      <c r="K58" s="147">
        <f>POAI!E56</f>
        <v>0</v>
      </c>
      <c r="L58" s="147">
        <f>POAI!F56</f>
        <v>0</v>
      </c>
      <c r="M58" s="179">
        <f>POAI!G56</f>
        <v>0</v>
      </c>
      <c r="N58" s="98">
        <f>SUM(I58:M58)</f>
        <v>97.14</v>
      </c>
      <c r="O58" s="62">
        <f>+I58*1.03</f>
        <v>32.3523</v>
      </c>
      <c r="P58" s="89">
        <f>+J58*1.03</f>
        <v>67.70190000000001</v>
      </c>
      <c r="Q58" s="89">
        <f>+K58*1.03</f>
        <v>0</v>
      </c>
      <c r="R58" s="115">
        <f>+L58*1.03</f>
        <v>0</v>
      </c>
      <c r="S58" s="115">
        <f>+M58*1.03</f>
        <v>0</v>
      </c>
      <c r="T58" s="98">
        <f>SUM(O58:S58)</f>
        <v>100.05420000000001</v>
      </c>
      <c r="U58" s="195">
        <f>+O58*1.03</f>
        <v>33.322869</v>
      </c>
      <c r="V58" s="89">
        <f>+P58*1.03</f>
        <v>69.73295700000001</v>
      </c>
      <c r="W58" s="89">
        <f>+Q58*1.03</f>
        <v>0</v>
      </c>
      <c r="X58" s="115">
        <f>+R58*1.03</f>
        <v>0</v>
      </c>
      <c r="Y58" s="115">
        <f>+S58*1.03</f>
        <v>0</v>
      </c>
      <c r="Z58" s="98">
        <f>SUM(U58:Y58)</f>
        <v>103.05582600000001</v>
      </c>
      <c r="AA58" s="62">
        <f>+U58*1.03</f>
        <v>34.32255507</v>
      </c>
      <c r="AB58" s="89">
        <f>+V58*1.03</f>
        <v>71.82494571000001</v>
      </c>
      <c r="AC58" s="89">
        <f>+W58*1.03</f>
        <v>0</v>
      </c>
      <c r="AD58" s="115">
        <f>+X58*1.03</f>
        <v>0</v>
      </c>
      <c r="AE58" s="115">
        <f>+Y58*1.03</f>
        <v>0</v>
      </c>
      <c r="AF58" s="98">
        <f>SUM(AA58:AE58)</f>
        <v>106.14750078</v>
      </c>
    </row>
    <row r="59" spans="8:32" ht="42.75" customHeight="1" thickBot="1">
      <c r="H59" s="33" t="s">
        <v>36</v>
      </c>
      <c r="I59" s="60">
        <f>SUM(I60:I61)</f>
        <v>110</v>
      </c>
      <c r="J59" s="74">
        <f>SUM(J60:J61)</f>
        <v>0</v>
      </c>
      <c r="K59" s="74">
        <f>SUM(K60:K61)</f>
        <v>0</v>
      </c>
      <c r="L59" s="74">
        <f>SUM(L60:L61)</f>
        <v>0</v>
      </c>
      <c r="M59" s="158">
        <f>SUM(M60:M61)</f>
        <v>0</v>
      </c>
      <c r="N59" s="116">
        <f t="shared" si="31"/>
        <v>110</v>
      </c>
      <c r="O59" s="74">
        <f>SUM(O60:O61)</f>
        <v>113.3</v>
      </c>
      <c r="P59" s="74">
        <f>SUM(P60:P61)</f>
        <v>0</v>
      </c>
      <c r="Q59" s="74">
        <f>SUM(Q60:Q61)</f>
        <v>0</v>
      </c>
      <c r="R59" s="74">
        <f>SUM(R60:R61)</f>
        <v>0</v>
      </c>
      <c r="S59" s="158">
        <f>SUM(S60:S61)</f>
        <v>0</v>
      </c>
      <c r="T59" s="116">
        <f t="shared" si="1"/>
        <v>113.3</v>
      </c>
      <c r="U59" s="74">
        <f>SUM(U60:U61)</f>
        <v>116.69900000000001</v>
      </c>
      <c r="V59" s="74">
        <f>SUM(V60:V61)</f>
        <v>0</v>
      </c>
      <c r="W59" s="74">
        <f>SUM(W60:W61)</f>
        <v>0</v>
      </c>
      <c r="X59" s="74">
        <f>SUM(X60:X61)</f>
        <v>0</v>
      </c>
      <c r="Y59" s="74">
        <f>SUM(Y60:Y61)</f>
        <v>0</v>
      </c>
      <c r="Z59" s="116">
        <f t="shared" si="2"/>
        <v>116.69900000000001</v>
      </c>
      <c r="AA59" s="74">
        <f>SUM(AA60:AA61)</f>
        <v>120.19997000000001</v>
      </c>
      <c r="AB59" s="74">
        <f>SUM(AB60:AB61)</f>
        <v>0</v>
      </c>
      <c r="AC59" s="74">
        <f>SUM(AC60:AC61)</f>
        <v>0</v>
      </c>
      <c r="AD59" s="74">
        <f>SUM(AD60:AD61)</f>
        <v>0</v>
      </c>
      <c r="AE59" s="158">
        <f>SUM(AE60:AE61)</f>
        <v>0</v>
      </c>
      <c r="AF59" s="116">
        <f t="shared" si="3"/>
        <v>120.19997000000001</v>
      </c>
    </row>
    <row r="60" spans="8:32" ht="42.75" customHeight="1">
      <c r="H60" s="43" t="s">
        <v>37</v>
      </c>
      <c r="I60" s="62">
        <f>POAI!C58</f>
        <v>100</v>
      </c>
      <c r="J60" s="89">
        <f>POAI!D58</f>
        <v>0</v>
      </c>
      <c r="K60" s="89">
        <f>POAI!E58</f>
        <v>0</v>
      </c>
      <c r="L60" s="89">
        <f>POAI!F58</f>
        <v>0</v>
      </c>
      <c r="M60" s="115">
        <f>POAI!G58</f>
        <v>0</v>
      </c>
      <c r="N60" s="65">
        <f t="shared" si="31"/>
        <v>100</v>
      </c>
      <c r="O60" s="62">
        <f aca="true" t="shared" si="41" ref="O60:S61">+I60*1.03</f>
        <v>103</v>
      </c>
      <c r="P60" s="89">
        <f t="shared" si="41"/>
        <v>0</v>
      </c>
      <c r="Q60" s="89">
        <f t="shared" si="41"/>
        <v>0</v>
      </c>
      <c r="R60" s="89">
        <f t="shared" si="41"/>
        <v>0</v>
      </c>
      <c r="S60" s="115">
        <f t="shared" si="41"/>
        <v>0</v>
      </c>
      <c r="T60" s="65">
        <f t="shared" si="1"/>
        <v>103</v>
      </c>
      <c r="U60" s="195">
        <f aca="true" t="shared" si="42" ref="U60:Y61">+O60*1.03</f>
        <v>106.09</v>
      </c>
      <c r="V60" s="89">
        <f t="shared" si="42"/>
        <v>0</v>
      </c>
      <c r="W60" s="89">
        <f t="shared" si="42"/>
        <v>0</v>
      </c>
      <c r="X60" s="89">
        <f t="shared" si="42"/>
        <v>0</v>
      </c>
      <c r="Y60" s="90">
        <f t="shared" si="42"/>
        <v>0</v>
      </c>
      <c r="Z60" s="65">
        <f t="shared" si="2"/>
        <v>106.09</v>
      </c>
      <c r="AA60" s="62">
        <f aca="true" t="shared" si="43" ref="AA60:AE61">+U60*1.03</f>
        <v>109.2727</v>
      </c>
      <c r="AB60" s="89">
        <f t="shared" si="43"/>
        <v>0</v>
      </c>
      <c r="AC60" s="89">
        <f t="shared" si="43"/>
        <v>0</v>
      </c>
      <c r="AD60" s="89">
        <f t="shared" si="43"/>
        <v>0</v>
      </c>
      <c r="AE60" s="115">
        <f t="shared" si="43"/>
        <v>0</v>
      </c>
      <c r="AF60" s="65">
        <f t="shared" si="3"/>
        <v>109.2727</v>
      </c>
    </row>
    <row r="61" spans="8:32" ht="42.75" customHeight="1" thickBot="1">
      <c r="H61" s="28" t="s">
        <v>38</v>
      </c>
      <c r="I61" s="80">
        <f>POAI!C59</f>
        <v>10</v>
      </c>
      <c r="J61" s="93">
        <f>POAI!D59</f>
        <v>0</v>
      </c>
      <c r="K61" s="93">
        <f>POAI!E59</f>
        <v>0</v>
      </c>
      <c r="L61" s="93">
        <f>POAI!F59</f>
        <v>0</v>
      </c>
      <c r="M61" s="167">
        <f>POAI!G59</f>
        <v>0</v>
      </c>
      <c r="N61" s="79">
        <f t="shared" si="31"/>
        <v>10</v>
      </c>
      <c r="O61" s="80">
        <f t="shared" si="41"/>
        <v>10.3</v>
      </c>
      <c r="P61" s="93">
        <f t="shared" si="41"/>
        <v>0</v>
      </c>
      <c r="Q61" s="93">
        <f t="shared" si="41"/>
        <v>0</v>
      </c>
      <c r="R61" s="93">
        <f t="shared" si="41"/>
        <v>0</v>
      </c>
      <c r="S61" s="167">
        <f t="shared" si="41"/>
        <v>0</v>
      </c>
      <c r="T61" s="79">
        <f t="shared" si="1"/>
        <v>10.3</v>
      </c>
      <c r="U61" s="198">
        <f t="shared" si="42"/>
        <v>10.609000000000002</v>
      </c>
      <c r="V61" s="93">
        <f t="shared" si="42"/>
        <v>0</v>
      </c>
      <c r="W61" s="93">
        <f t="shared" si="42"/>
        <v>0</v>
      </c>
      <c r="X61" s="93">
        <f t="shared" si="42"/>
        <v>0</v>
      </c>
      <c r="Y61" s="94">
        <f t="shared" si="42"/>
        <v>0</v>
      </c>
      <c r="Z61" s="79">
        <f t="shared" si="2"/>
        <v>10.609000000000002</v>
      </c>
      <c r="AA61" s="80">
        <f t="shared" si="43"/>
        <v>10.927270000000002</v>
      </c>
      <c r="AB61" s="93">
        <f t="shared" si="43"/>
        <v>0</v>
      </c>
      <c r="AC61" s="93">
        <f t="shared" si="43"/>
        <v>0</v>
      </c>
      <c r="AD61" s="93">
        <f t="shared" si="43"/>
        <v>0</v>
      </c>
      <c r="AE61" s="167">
        <f t="shared" si="43"/>
        <v>0</v>
      </c>
      <c r="AF61" s="79">
        <f t="shared" si="3"/>
        <v>10.927270000000002</v>
      </c>
    </row>
    <row r="62" spans="8:32" ht="42.75" customHeight="1" thickBot="1">
      <c r="H62" s="34" t="s">
        <v>40</v>
      </c>
      <c r="I62" s="141">
        <f>I63+I72+I74+I77+I79+I81+I83+I85</f>
        <v>266.1</v>
      </c>
      <c r="J62" s="141">
        <f>J63+J72+J74+J77+J79+J81+J83+J85</f>
        <v>136.04</v>
      </c>
      <c r="K62" s="141">
        <f>K63+K72+K74+K77+K79+K81+K83+K85</f>
        <v>0</v>
      </c>
      <c r="L62" s="141">
        <f>L63+L72+L74+L77+L79+L81+L83+L85</f>
        <v>0</v>
      </c>
      <c r="M62" s="141">
        <f>M63+M72+M74+M77+M79+M81+M83+M85</f>
        <v>0</v>
      </c>
      <c r="N62" s="11">
        <f t="shared" si="31"/>
        <v>402.14</v>
      </c>
      <c r="O62" s="141">
        <f>O63+O72+O74+O77+O79+O81+O83+O85</f>
        <v>274.0830000000001</v>
      </c>
      <c r="P62" s="141">
        <f>P63+P72+P74+P77+P79+P81+P83+P85</f>
        <v>140.12120000000002</v>
      </c>
      <c r="Q62" s="141">
        <f>Q63+Q72+Q74+Q77+Q79+Q81+Q83+Q85</f>
        <v>0</v>
      </c>
      <c r="R62" s="141">
        <f>R63+R72+R74+R77+R79+R81+R83+R85</f>
        <v>0</v>
      </c>
      <c r="S62" s="141">
        <f>S63+S72+S74+S77+S79+S81+S83+S85</f>
        <v>0</v>
      </c>
      <c r="T62" s="11">
        <f t="shared" si="1"/>
        <v>414.2042000000001</v>
      </c>
      <c r="U62" s="141">
        <f>U63+U72+U74+U77+U79+U81+U83+U85</f>
        <v>282.3054900000001</v>
      </c>
      <c r="V62" s="141">
        <f>V63+V72+V74+V77+V79+V81+V83+V85</f>
        <v>144.32483600000003</v>
      </c>
      <c r="W62" s="141">
        <f>W63+W72+W74+W77+W79+W81+W83+W85</f>
        <v>0</v>
      </c>
      <c r="X62" s="141">
        <f>X63+X72+X74+X77+X79+X81+X83+X85</f>
        <v>0</v>
      </c>
      <c r="Y62" s="141">
        <f>Y63+Y72+Y74+Y77+Y79+Y81+Y83+Y85</f>
        <v>0</v>
      </c>
      <c r="Z62" s="11">
        <f t="shared" si="2"/>
        <v>426.6303260000001</v>
      </c>
      <c r="AA62" s="141">
        <f>AA63+AA72+AA74+AA77+AA79+AA81+AA83+AA85</f>
        <v>290.7746547</v>
      </c>
      <c r="AB62" s="141">
        <f>AB63+AB72+AB74+AB77+AB79+AB81+AB83+AB85</f>
        <v>148.65458108</v>
      </c>
      <c r="AC62" s="141">
        <f>AC63+AC72+AC74+AC77+AC79+AC81+AC83+AC85</f>
        <v>0</v>
      </c>
      <c r="AD62" s="141">
        <f>AD63+AD72+AD74+AD77+AD79+AD81+AD83+AD85</f>
        <v>0</v>
      </c>
      <c r="AE62" s="141">
        <f>AE63+AE72+AE74+AE77+AE79+AE81+AE83+AE85</f>
        <v>0</v>
      </c>
      <c r="AF62" s="11">
        <f t="shared" si="3"/>
        <v>439.42923578</v>
      </c>
    </row>
    <row r="63" spans="8:32" ht="57" customHeight="1" thickBot="1">
      <c r="H63" s="33" t="s">
        <v>41</v>
      </c>
      <c r="I63" s="136">
        <f>SUM(I64:I71)</f>
        <v>191.1</v>
      </c>
      <c r="J63" s="136">
        <f>SUM(J64:J71)</f>
        <v>30</v>
      </c>
      <c r="K63" s="136">
        <f>SUM(K64:K71)</f>
        <v>0</v>
      </c>
      <c r="L63" s="136">
        <f>SUM(L64:L71)</f>
        <v>0</v>
      </c>
      <c r="M63" s="136">
        <f>SUM(M64:M71)</f>
        <v>0</v>
      </c>
      <c r="N63" s="10">
        <f t="shared" si="31"/>
        <v>221.1</v>
      </c>
      <c r="O63" s="74">
        <f>SUM(O64:O71)</f>
        <v>196.83300000000003</v>
      </c>
      <c r="P63" s="74">
        <f>SUM(P64:P71)</f>
        <v>30.900000000000002</v>
      </c>
      <c r="Q63" s="74">
        <f>SUM(Q64:Q71)</f>
        <v>0</v>
      </c>
      <c r="R63" s="74">
        <f>SUM(R64:R71)</f>
        <v>0</v>
      </c>
      <c r="S63" s="158">
        <f>SUM(S64:S71)</f>
        <v>0</v>
      </c>
      <c r="T63" s="10">
        <f t="shared" si="1"/>
        <v>227.73300000000003</v>
      </c>
      <c r="U63" s="74">
        <f>SUM(U64:U71)</f>
        <v>202.73799000000005</v>
      </c>
      <c r="V63" s="74">
        <f>SUM(V64:V71)</f>
        <v>31.827000000000005</v>
      </c>
      <c r="W63" s="74">
        <f>SUM(W64:W71)</f>
        <v>0</v>
      </c>
      <c r="X63" s="74">
        <f>SUM(X64:X71)</f>
        <v>0</v>
      </c>
      <c r="Y63" s="74">
        <f>SUM(Y64:Y71)</f>
        <v>0</v>
      </c>
      <c r="Z63" s="10">
        <f>SUM(U63:Y63)</f>
        <v>234.56499000000005</v>
      </c>
      <c r="AA63" s="74">
        <f>SUM(AA64:AA71)</f>
        <v>208.8201297</v>
      </c>
      <c r="AB63" s="74">
        <f>SUM(AB64:AB71)</f>
        <v>32.78181000000001</v>
      </c>
      <c r="AC63" s="74">
        <f>SUM(AC64:AC71)</f>
        <v>0</v>
      </c>
      <c r="AD63" s="74">
        <f>SUM(AD64:AD71)</f>
        <v>0</v>
      </c>
      <c r="AE63" s="158">
        <f>SUM(AE64:AE71)</f>
        <v>0</v>
      </c>
      <c r="AF63" s="10">
        <f>SUM(AA63:AE63)</f>
        <v>241.6019397</v>
      </c>
    </row>
    <row r="64" spans="8:32" ht="42.75" customHeight="1">
      <c r="H64" s="149" t="str">
        <f>POAI!B62</f>
        <v>4.1.1 PRIMERO LA FAMILIA</v>
      </c>
      <c r="I64" s="62">
        <f>POAI!C62</f>
        <v>25</v>
      </c>
      <c r="J64" s="89">
        <f>POAI!D62</f>
        <v>10</v>
      </c>
      <c r="K64" s="89">
        <f>POAI!E62</f>
        <v>0</v>
      </c>
      <c r="L64" s="89">
        <f>POAI!F62</f>
        <v>0</v>
      </c>
      <c r="M64" s="90">
        <f>POAI!G62</f>
        <v>0</v>
      </c>
      <c r="N64" s="134">
        <f t="shared" si="31"/>
        <v>35</v>
      </c>
      <c r="O64" s="62">
        <f aca="true" t="shared" si="44" ref="O64:O70">+I64*1.03</f>
        <v>25.75</v>
      </c>
      <c r="P64" s="89">
        <f aca="true" t="shared" si="45" ref="P64:P70">+J64*1.03</f>
        <v>10.3</v>
      </c>
      <c r="Q64" s="89">
        <f aca="true" t="shared" si="46" ref="Q64:Q70">+K64*1.03</f>
        <v>0</v>
      </c>
      <c r="R64" s="89">
        <f aca="true" t="shared" si="47" ref="R64:R70">+L64*1.03</f>
        <v>0</v>
      </c>
      <c r="S64" s="115">
        <f aca="true" t="shared" si="48" ref="S64:S70">+M64*1.03</f>
        <v>0</v>
      </c>
      <c r="T64" s="65">
        <f t="shared" si="1"/>
        <v>36.05</v>
      </c>
      <c r="U64" s="195">
        <f aca="true" t="shared" si="49" ref="U64:U70">+O64*1.03</f>
        <v>26.5225</v>
      </c>
      <c r="V64" s="89">
        <f aca="true" t="shared" si="50" ref="V64:V70">+P64*1.03</f>
        <v>10.609000000000002</v>
      </c>
      <c r="W64" s="89">
        <f aca="true" t="shared" si="51" ref="W64:W70">+Q64*1.03</f>
        <v>0</v>
      </c>
      <c r="X64" s="89">
        <f aca="true" t="shared" si="52" ref="X64:X70">+R64*1.03</f>
        <v>0</v>
      </c>
      <c r="Y64" s="90">
        <f aca="true" t="shared" si="53" ref="Y64:Y70">+S64*1.03</f>
        <v>0</v>
      </c>
      <c r="Z64" s="65">
        <f t="shared" si="2"/>
        <v>37.1315</v>
      </c>
      <c r="AA64" s="62">
        <f aca="true" t="shared" si="54" ref="AA64:AA70">+U64*1.03</f>
        <v>27.318175</v>
      </c>
      <c r="AB64" s="89">
        <f aca="true" t="shared" si="55" ref="AB64:AB70">+V64*1.03</f>
        <v>10.927270000000002</v>
      </c>
      <c r="AC64" s="89">
        <f aca="true" t="shared" si="56" ref="AC64:AC70">+W64*1.03</f>
        <v>0</v>
      </c>
      <c r="AD64" s="89">
        <f aca="true" t="shared" si="57" ref="AD64:AD70">+X64*1.03</f>
        <v>0</v>
      </c>
      <c r="AE64" s="115">
        <f aca="true" t="shared" si="58" ref="AE64:AE70">+Y64*1.03</f>
        <v>0</v>
      </c>
      <c r="AF64" s="65">
        <f t="shared" si="3"/>
        <v>38.245445000000004</v>
      </c>
    </row>
    <row r="65" spans="8:32" ht="42.75" customHeight="1">
      <c r="H65" s="150" t="str">
        <f>POAI!B63</f>
        <v>4.1.2 LOS NIÑOS, NIÑAS, ADOLECENTES, JOVENES  EN LERIDA LIDERAN</v>
      </c>
      <c r="I65" s="68">
        <f>POAI!C63</f>
        <v>25</v>
      </c>
      <c r="J65" s="91">
        <f>POAI!D63</f>
        <v>0</v>
      </c>
      <c r="K65" s="91">
        <f>POAI!E63</f>
        <v>0</v>
      </c>
      <c r="L65" s="91">
        <f>POAI!F63</f>
        <v>0</v>
      </c>
      <c r="M65" s="92">
        <f>POAI!G63</f>
        <v>0</v>
      </c>
      <c r="N65" s="122">
        <f t="shared" si="31"/>
        <v>25</v>
      </c>
      <c r="O65" s="68">
        <f t="shared" si="44"/>
        <v>25.75</v>
      </c>
      <c r="P65" s="91">
        <f t="shared" si="45"/>
        <v>0</v>
      </c>
      <c r="Q65" s="91">
        <f t="shared" si="46"/>
        <v>0</v>
      </c>
      <c r="R65" s="91">
        <f t="shared" si="47"/>
        <v>0</v>
      </c>
      <c r="S65" s="166">
        <f t="shared" si="48"/>
        <v>0</v>
      </c>
      <c r="T65" s="69">
        <f t="shared" si="1"/>
        <v>25.75</v>
      </c>
      <c r="U65" s="77">
        <f t="shared" si="49"/>
        <v>26.5225</v>
      </c>
      <c r="V65" s="91">
        <f t="shared" si="50"/>
        <v>0</v>
      </c>
      <c r="W65" s="91">
        <f t="shared" si="51"/>
        <v>0</v>
      </c>
      <c r="X65" s="91">
        <f t="shared" si="52"/>
        <v>0</v>
      </c>
      <c r="Y65" s="92">
        <f t="shared" si="53"/>
        <v>0</v>
      </c>
      <c r="Z65" s="69">
        <f t="shared" si="2"/>
        <v>26.5225</v>
      </c>
      <c r="AA65" s="68">
        <f t="shared" si="54"/>
        <v>27.318175</v>
      </c>
      <c r="AB65" s="91">
        <f t="shared" si="55"/>
        <v>0</v>
      </c>
      <c r="AC65" s="91">
        <f t="shared" si="56"/>
        <v>0</v>
      </c>
      <c r="AD65" s="91">
        <f t="shared" si="57"/>
        <v>0</v>
      </c>
      <c r="AE65" s="166">
        <f t="shared" si="58"/>
        <v>0</v>
      </c>
      <c r="AF65" s="69">
        <f t="shared" si="3"/>
        <v>27.318175</v>
      </c>
    </row>
    <row r="66" spans="8:32" ht="42.75" customHeight="1">
      <c r="H66" s="150" t="str">
        <f>POAI!B64</f>
        <v>4.1.3 POR QUE QUIERO IDENTIDAD</v>
      </c>
      <c r="I66" s="68">
        <f>POAI!C64</f>
        <v>5</v>
      </c>
      <c r="J66" s="91">
        <f>POAI!D64</f>
        <v>0</v>
      </c>
      <c r="K66" s="91">
        <f>POAI!E64</f>
        <v>0</v>
      </c>
      <c r="L66" s="91">
        <f>POAI!F64</f>
        <v>0</v>
      </c>
      <c r="M66" s="92">
        <f>POAI!G64</f>
        <v>0</v>
      </c>
      <c r="N66" s="122">
        <f t="shared" si="31"/>
        <v>5</v>
      </c>
      <c r="O66" s="68">
        <f>+I66*1.03</f>
        <v>5.15</v>
      </c>
      <c r="P66" s="91">
        <f>+J66*1.03</f>
        <v>0</v>
      </c>
      <c r="Q66" s="91">
        <f>+K66*1.03</f>
        <v>0</v>
      </c>
      <c r="R66" s="91">
        <f>+L66*1.03</f>
        <v>0</v>
      </c>
      <c r="S66" s="166">
        <f>+M66*1.03</f>
        <v>0</v>
      </c>
      <c r="T66" s="69">
        <f>SUM(O66:S66)</f>
        <v>5.15</v>
      </c>
      <c r="U66" s="77">
        <f>+O66*1.03</f>
        <v>5.304500000000001</v>
      </c>
      <c r="V66" s="91">
        <f>+P66*1.03</f>
        <v>0</v>
      </c>
      <c r="W66" s="91">
        <f>+Q66*1.03</f>
        <v>0</v>
      </c>
      <c r="X66" s="91">
        <f>+R66*1.03</f>
        <v>0</v>
      </c>
      <c r="Y66" s="92">
        <f>+S66*1.03</f>
        <v>0</v>
      </c>
      <c r="Z66" s="69">
        <f>SUM(U66:Y66)</f>
        <v>5.304500000000001</v>
      </c>
      <c r="AA66" s="68">
        <f>+U66*1.03</f>
        <v>5.463635000000001</v>
      </c>
      <c r="AB66" s="91">
        <f>+V66*1.03</f>
        <v>0</v>
      </c>
      <c r="AC66" s="91">
        <f>+W66*1.03</f>
        <v>0</v>
      </c>
      <c r="AD66" s="91">
        <f>+X66*1.03</f>
        <v>0</v>
      </c>
      <c r="AE66" s="166">
        <f>+Y66*1.03</f>
        <v>0</v>
      </c>
      <c r="AF66" s="69">
        <f>SUM(AA66:AE66)</f>
        <v>5.463635000000001</v>
      </c>
    </row>
    <row r="67" spans="8:32" ht="42.75" customHeight="1">
      <c r="H67" s="150" t="str">
        <f>POAI!B65</f>
        <v>4.1.4 HAGAMOS UN PACTO POR EL BUEN TRATO</v>
      </c>
      <c r="I67" s="68">
        <f>POAI!C65</f>
        <v>19.1</v>
      </c>
      <c r="J67" s="91">
        <f>POAI!D65</f>
        <v>0</v>
      </c>
      <c r="K67" s="91">
        <f>POAI!E65</f>
        <v>0</v>
      </c>
      <c r="L67" s="91">
        <f>POAI!F65</f>
        <v>0</v>
      </c>
      <c r="M67" s="92">
        <f>POAI!G65</f>
        <v>0</v>
      </c>
      <c r="N67" s="122">
        <f t="shared" si="31"/>
        <v>19.1</v>
      </c>
      <c r="O67" s="68">
        <f t="shared" si="44"/>
        <v>19.673000000000002</v>
      </c>
      <c r="P67" s="91">
        <f t="shared" si="45"/>
        <v>0</v>
      </c>
      <c r="Q67" s="91">
        <f t="shared" si="46"/>
        <v>0</v>
      </c>
      <c r="R67" s="91">
        <f t="shared" si="47"/>
        <v>0</v>
      </c>
      <c r="S67" s="166">
        <f t="shared" si="48"/>
        <v>0</v>
      </c>
      <c r="T67" s="69">
        <f t="shared" si="1"/>
        <v>19.673000000000002</v>
      </c>
      <c r="U67" s="77">
        <f t="shared" si="49"/>
        <v>20.26319</v>
      </c>
      <c r="V67" s="91">
        <f t="shared" si="50"/>
        <v>0</v>
      </c>
      <c r="W67" s="91">
        <f t="shared" si="51"/>
        <v>0</v>
      </c>
      <c r="X67" s="91">
        <f t="shared" si="52"/>
        <v>0</v>
      </c>
      <c r="Y67" s="92">
        <f t="shared" si="53"/>
        <v>0</v>
      </c>
      <c r="Z67" s="69">
        <f t="shared" si="2"/>
        <v>20.26319</v>
      </c>
      <c r="AA67" s="68">
        <f t="shared" si="54"/>
        <v>20.871085700000002</v>
      </c>
      <c r="AB67" s="91">
        <f t="shared" si="55"/>
        <v>0</v>
      </c>
      <c r="AC67" s="91">
        <f t="shared" si="56"/>
        <v>0</v>
      </c>
      <c r="AD67" s="91">
        <f t="shared" si="57"/>
        <v>0</v>
      </c>
      <c r="AE67" s="166">
        <f t="shared" si="58"/>
        <v>0</v>
      </c>
      <c r="AF67" s="69">
        <f t="shared" si="3"/>
        <v>20.871085700000002</v>
      </c>
    </row>
    <row r="68" spans="8:32" ht="42.75" customHeight="1">
      <c r="H68" s="150" t="str">
        <f>POAI!B66</f>
        <v>4.1.5 COMISARIA DE FAMILIA… MAS QUE UNA AMIGA</v>
      </c>
      <c r="I68" s="68">
        <f>POAI!C66</f>
        <v>87</v>
      </c>
      <c r="J68" s="91">
        <f>POAI!D66</f>
        <v>0</v>
      </c>
      <c r="K68" s="91">
        <f>POAI!E66</f>
        <v>0</v>
      </c>
      <c r="L68" s="91">
        <f>POAI!F66</f>
        <v>0</v>
      </c>
      <c r="M68" s="92">
        <f>POAI!G66</f>
        <v>0</v>
      </c>
      <c r="N68" s="122">
        <f t="shared" si="31"/>
        <v>87</v>
      </c>
      <c r="O68" s="68">
        <f t="shared" si="44"/>
        <v>89.61</v>
      </c>
      <c r="P68" s="91">
        <f t="shared" si="45"/>
        <v>0</v>
      </c>
      <c r="Q68" s="91">
        <f t="shared" si="46"/>
        <v>0</v>
      </c>
      <c r="R68" s="91">
        <f t="shared" si="47"/>
        <v>0</v>
      </c>
      <c r="S68" s="166">
        <f t="shared" si="48"/>
        <v>0</v>
      </c>
      <c r="T68" s="69">
        <f t="shared" si="1"/>
        <v>89.61</v>
      </c>
      <c r="U68" s="77">
        <f t="shared" si="49"/>
        <v>92.2983</v>
      </c>
      <c r="V68" s="91">
        <f t="shared" si="50"/>
        <v>0</v>
      </c>
      <c r="W68" s="91">
        <f t="shared" si="51"/>
        <v>0</v>
      </c>
      <c r="X68" s="91">
        <f t="shared" si="52"/>
        <v>0</v>
      </c>
      <c r="Y68" s="92">
        <f t="shared" si="53"/>
        <v>0</v>
      </c>
      <c r="Z68" s="69">
        <f t="shared" si="2"/>
        <v>92.2983</v>
      </c>
      <c r="AA68" s="68">
        <f t="shared" si="54"/>
        <v>95.067249</v>
      </c>
      <c r="AB68" s="91">
        <f t="shared" si="55"/>
        <v>0</v>
      </c>
      <c r="AC68" s="91">
        <f t="shared" si="56"/>
        <v>0</v>
      </c>
      <c r="AD68" s="91">
        <f t="shared" si="57"/>
        <v>0</v>
      </c>
      <c r="AE68" s="166">
        <f t="shared" si="58"/>
        <v>0</v>
      </c>
      <c r="AF68" s="69">
        <f t="shared" si="3"/>
        <v>95.067249</v>
      </c>
    </row>
    <row r="69" spans="8:32" ht="42.75" customHeight="1">
      <c r="H69" s="150" t="str">
        <f>POAI!B67</f>
        <v>4.1.6 DILE NO AL DELITO</v>
      </c>
      <c r="I69" s="68">
        <f>POAI!C67</f>
        <v>10</v>
      </c>
      <c r="J69" s="91">
        <f>POAI!D67</f>
        <v>0</v>
      </c>
      <c r="K69" s="91">
        <f>POAI!E67</f>
        <v>0</v>
      </c>
      <c r="L69" s="91">
        <f>POAI!F67</f>
        <v>0</v>
      </c>
      <c r="M69" s="92">
        <f>POAI!G67</f>
        <v>0</v>
      </c>
      <c r="N69" s="122">
        <f t="shared" si="31"/>
        <v>10</v>
      </c>
      <c r="O69" s="68">
        <f t="shared" si="44"/>
        <v>10.3</v>
      </c>
      <c r="P69" s="91">
        <f t="shared" si="45"/>
        <v>0</v>
      </c>
      <c r="Q69" s="91">
        <f t="shared" si="46"/>
        <v>0</v>
      </c>
      <c r="R69" s="91">
        <f t="shared" si="47"/>
        <v>0</v>
      </c>
      <c r="S69" s="166">
        <f t="shared" si="48"/>
        <v>0</v>
      </c>
      <c r="T69" s="69">
        <f t="shared" si="1"/>
        <v>10.3</v>
      </c>
      <c r="U69" s="77">
        <f t="shared" si="49"/>
        <v>10.609000000000002</v>
      </c>
      <c r="V69" s="91">
        <f t="shared" si="50"/>
        <v>0</v>
      </c>
      <c r="W69" s="91">
        <f t="shared" si="51"/>
        <v>0</v>
      </c>
      <c r="X69" s="91">
        <f t="shared" si="52"/>
        <v>0</v>
      </c>
      <c r="Y69" s="92">
        <f t="shared" si="53"/>
        <v>0</v>
      </c>
      <c r="Z69" s="69">
        <f t="shared" si="2"/>
        <v>10.609000000000002</v>
      </c>
      <c r="AA69" s="68">
        <f t="shared" si="54"/>
        <v>10.927270000000002</v>
      </c>
      <c r="AB69" s="91">
        <f t="shared" si="55"/>
        <v>0</v>
      </c>
      <c r="AC69" s="91">
        <f t="shared" si="56"/>
        <v>0</v>
      </c>
      <c r="AD69" s="91">
        <f t="shared" si="57"/>
        <v>0</v>
      </c>
      <c r="AE69" s="166">
        <f t="shared" si="58"/>
        <v>0</v>
      </c>
      <c r="AF69" s="69">
        <f t="shared" si="3"/>
        <v>10.927270000000002</v>
      </c>
    </row>
    <row r="70" spans="8:32" ht="42.75" customHeight="1">
      <c r="H70" s="47" t="str">
        <f>POAI!B68</f>
        <v>4.1.7 PORQUE SER NIÑO ES EL MEJOR TRABAJO</v>
      </c>
      <c r="I70" s="68">
        <f>POAI!C68</f>
        <v>10</v>
      </c>
      <c r="J70" s="91">
        <f>POAI!D68</f>
        <v>0</v>
      </c>
      <c r="K70" s="91">
        <f>POAI!E68</f>
        <v>0</v>
      </c>
      <c r="L70" s="91">
        <f>POAI!F68</f>
        <v>0</v>
      </c>
      <c r="M70" s="92">
        <f>POAI!G68</f>
        <v>0</v>
      </c>
      <c r="N70" s="122">
        <f t="shared" si="31"/>
        <v>10</v>
      </c>
      <c r="O70" s="68">
        <f t="shared" si="44"/>
        <v>10.3</v>
      </c>
      <c r="P70" s="91">
        <f t="shared" si="45"/>
        <v>0</v>
      </c>
      <c r="Q70" s="91">
        <f t="shared" si="46"/>
        <v>0</v>
      </c>
      <c r="R70" s="91">
        <f t="shared" si="47"/>
        <v>0</v>
      </c>
      <c r="S70" s="166">
        <f t="shared" si="48"/>
        <v>0</v>
      </c>
      <c r="T70" s="69">
        <f t="shared" si="1"/>
        <v>10.3</v>
      </c>
      <c r="U70" s="77">
        <f t="shared" si="49"/>
        <v>10.609000000000002</v>
      </c>
      <c r="V70" s="91">
        <f t="shared" si="50"/>
        <v>0</v>
      </c>
      <c r="W70" s="91">
        <f t="shared" si="51"/>
        <v>0</v>
      </c>
      <c r="X70" s="91">
        <f t="shared" si="52"/>
        <v>0</v>
      </c>
      <c r="Y70" s="92">
        <f t="shared" si="53"/>
        <v>0</v>
      </c>
      <c r="Z70" s="69">
        <f t="shared" si="2"/>
        <v>10.609000000000002</v>
      </c>
      <c r="AA70" s="68">
        <f t="shared" si="54"/>
        <v>10.927270000000002</v>
      </c>
      <c r="AB70" s="91">
        <f t="shared" si="55"/>
        <v>0</v>
      </c>
      <c r="AC70" s="91">
        <f t="shared" si="56"/>
        <v>0</v>
      </c>
      <c r="AD70" s="91">
        <f t="shared" si="57"/>
        <v>0</v>
      </c>
      <c r="AE70" s="166">
        <f t="shared" si="58"/>
        <v>0</v>
      </c>
      <c r="AF70" s="69">
        <f t="shared" si="3"/>
        <v>10.927270000000002</v>
      </c>
    </row>
    <row r="71" spans="2:32" ht="38.25" customHeight="1" thickBot="1">
      <c r="B71" s="151" t="s">
        <v>78</v>
      </c>
      <c r="C71" s="80">
        <v>10</v>
      </c>
      <c r="D71" s="93">
        <v>20</v>
      </c>
      <c r="E71" s="93">
        <v>0</v>
      </c>
      <c r="F71" s="93">
        <v>0</v>
      </c>
      <c r="G71" s="94">
        <v>0</v>
      </c>
      <c r="H71" s="151" t="str">
        <f>POAI!B69</f>
        <v>4.1.8 POLITICA JUVENTUD</v>
      </c>
      <c r="I71" s="80">
        <f>POAI!C69</f>
        <v>10</v>
      </c>
      <c r="J71" s="93">
        <f>POAI!D69</f>
        <v>20</v>
      </c>
      <c r="K71" s="93">
        <f>POAI!E69</f>
        <v>0</v>
      </c>
      <c r="L71" s="93">
        <f>POAI!F69</f>
        <v>0</v>
      </c>
      <c r="M71" s="94">
        <f>POAI!G69</f>
        <v>0</v>
      </c>
      <c r="N71" s="122">
        <f t="shared" si="31"/>
        <v>30</v>
      </c>
      <c r="O71" s="184">
        <f>+I71*1.03</f>
        <v>10.3</v>
      </c>
      <c r="P71" s="153">
        <f>+J71*1.03</f>
        <v>20.6</v>
      </c>
      <c r="Q71" s="153">
        <f>+K71*1.03</f>
        <v>0</v>
      </c>
      <c r="R71" s="153">
        <f>+L71*1.03</f>
        <v>0</v>
      </c>
      <c r="S71" s="154">
        <f>+M71*1.03</f>
        <v>0</v>
      </c>
      <c r="T71" s="69">
        <f>SUM(O71:S71)</f>
        <v>30.900000000000002</v>
      </c>
      <c r="U71" s="152">
        <f>+O71*1.03</f>
        <v>10.609000000000002</v>
      </c>
      <c r="V71" s="153">
        <f>+P71*1.03</f>
        <v>21.218000000000004</v>
      </c>
      <c r="W71" s="153">
        <f>+Q71*1.03</f>
        <v>0</v>
      </c>
      <c r="X71" s="153">
        <f>+R71*1.03</f>
        <v>0</v>
      </c>
      <c r="Y71" s="185">
        <f>+S71*1.03</f>
        <v>0</v>
      </c>
      <c r="Z71" s="69">
        <f t="shared" si="2"/>
        <v>31.827000000000005</v>
      </c>
      <c r="AA71" s="184">
        <f>+U71*1.03</f>
        <v>10.927270000000002</v>
      </c>
      <c r="AB71" s="153">
        <f>+V71*1.03</f>
        <v>21.854540000000004</v>
      </c>
      <c r="AC71" s="153">
        <f>+W71*1.03</f>
        <v>0</v>
      </c>
      <c r="AD71" s="153">
        <f>+X71*1.03</f>
        <v>0</v>
      </c>
      <c r="AE71" s="154">
        <f>+Y71*1.03</f>
        <v>0</v>
      </c>
      <c r="AF71" s="69">
        <f>SUM(AA71:AE71)</f>
        <v>32.78181000000001</v>
      </c>
    </row>
    <row r="72" spans="8:32" ht="42.75" customHeight="1" thickBot="1">
      <c r="H72" s="33" t="s">
        <v>43</v>
      </c>
      <c r="I72" s="137">
        <f>I73</f>
        <v>10</v>
      </c>
      <c r="J72" s="148">
        <f>J73</f>
        <v>20</v>
      </c>
      <c r="K72" s="148">
        <f>K73</f>
        <v>0</v>
      </c>
      <c r="L72" s="148">
        <f>L73</f>
        <v>0</v>
      </c>
      <c r="M72" s="161">
        <f>M73</f>
        <v>0</v>
      </c>
      <c r="N72" s="10">
        <f aca="true" t="shared" si="59" ref="N72:N93">SUM(I72:M72)</f>
        <v>30</v>
      </c>
      <c r="O72" s="74">
        <f>O73</f>
        <v>10.3</v>
      </c>
      <c r="P72" s="61">
        <f>P73</f>
        <v>20.6</v>
      </c>
      <c r="Q72" s="61">
        <f>Q73</f>
        <v>0</v>
      </c>
      <c r="R72" s="61">
        <f>R73</f>
        <v>0</v>
      </c>
      <c r="S72" s="165">
        <f>S73</f>
        <v>0</v>
      </c>
      <c r="T72" s="10">
        <f aca="true" t="shared" si="60" ref="T72:T93">SUM(O72:S72)</f>
        <v>30.900000000000002</v>
      </c>
      <c r="U72" s="74">
        <f>U73</f>
        <v>10.609000000000002</v>
      </c>
      <c r="V72" s="61">
        <f>V73</f>
        <v>21.218000000000004</v>
      </c>
      <c r="W72" s="61">
        <f>W73</f>
        <v>0</v>
      </c>
      <c r="X72" s="61">
        <f>X73</f>
        <v>0</v>
      </c>
      <c r="Y72" s="61">
        <f>Y73</f>
        <v>0</v>
      </c>
      <c r="Z72" s="10">
        <f aca="true" t="shared" si="61" ref="Z72:Z93">SUM(U72:Y72)</f>
        <v>31.827000000000005</v>
      </c>
      <c r="AA72" s="74">
        <f>AA73</f>
        <v>10.927270000000002</v>
      </c>
      <c r="AB72" s="61">
        <f>AB73</f>
        <v>21.854540000000004</v>
      </c>
      <c r="AC72" s="61">
        <f>AC73</f>
        <v>0</v>
      </c>
      <c r="AD72" s="61">
        <f>AD73</f>
        <v>0</v>
      </c>
      <c r="AE72" s="165">
        <f>AE73</f>
        <v>0</v>
      </c>
      <c r="AF72" s="10">
        <f aca="true" t="shared" si="62" ref="AF72:AF93">SUM(AA72:AE72)</f>
        <v>32.78181000000001</v>
      </c>
    </row>
    <row r="73" spans="8:32" ht="73.5" customHeight="1" thickBot="1">
      <c r="H73" s="151" t="s">
        <v>44</v>
      </c>
      <c r="I73" s="146">
        <f>POAI!C71</f>
        <v>10</v>
      </c>
      <c r="J73" s="147">
        <v>20</v>
      </c>
      <c r="K73" s="147">
        <f>POAI!E71</f>
        <v>0</v>
      </c>
      <c r="L73" s="147">
        <f>POAI!F71</f>
        <v>0</v>
      </c>
      <c r="M73" s="179">
        <f>POAI!G71</f>
        <v>0</v>
      </c>
      <c r="N73" s="98">
        <f t="shared" si="59"/>
        <v>30</v>
      </c>
      <c r="O73" s="62">
        <f>+I73*1.03</f>
        <v>10.3</v>
      </c>
      <c r="P73" s="89">
        <f>+J73*1.03</f>
        <v>20.6</v>
      </c>
      <c r="Q73" s="89">
        <f>+K73*1.03</f>
        <v>0</v>
      </c>
      <c r="R73" s="115">
        <f>+L73*1.03</f>
        <v>0</v>
      </c>
      <c r="S73" s="115">
        <f>+M73*1.03</f>
        <v>0</v>
      </c>
      <c r="T73" s="98">
        <f t="shared" si="60"/>
        <v>30.900000000000002</v>
      </c>
      <c r="U73" s="195">
        <f>+O73*1.03</f>
        <v>10.609000000000002</v>
      </c>
      <c r="V73" s="89">
        <f>+P73*1.03</f>
        <v>21.218000000000004</v>
      </c>
      <c r="W73" s="89">
        <f>+Q73*1.03</f>
        <v>0</v>
      </c>
      <c r="X73" s="115">
        <f>+R73*1.03</f>
        <v>0</v>
      </c>
      <c r="Y73" s="115">
        <f>+S73*1.03</f>
        <v>0</v>
      </c>
      <c r="Z73" s="98">
        <f t="shared" si="61"/>
        <v>31.827000000000005</v>
      </c>
      <c r="AA73" s="62">
        <f>+U73*1.03</f>
        <v>10.927270000000002</v>
      </c>
      <c r="AB73" s="89">
        <f>+V73*1.03</f>
        <v>21.854540000000004</v>
      </c>
      <c r="AC73" s="89">
        <f>+W73*1.03</f>
        <v>0</v>
      </c>
      <c r="AD73" s="115">
        <f>+X73*1.03</f>
        <v>0</v>
      </c>
      <c r="AE73" s="115">
        <f>+Y73*1.03</f>
        <v>0</v>
      </c>
      <c r="AF73" s="98">
        <f t="shared" si="62"/>
        <v>32.78181000000001</v>
      </c>
    </row>
    <row r="74" spans="8:32" ht="54.75" customHeight="1" thickBot="1">
      <c r="H74" s="33" t="s">
        <v>45</v>
      </c>
      <c r="I74" s="137">
        <f>SUM(I75:I76)</f>
        <v>15</v>
      </c>
      <c r="J74" s="137">
        <f>SUM(J75:J76)</f>
        <v>26.04</v>
      </c>
      <c r="K74" s="137">
        <f>SUM(K75:K76)</f>
        <v>0</v>
      </c>
      <c r="L74" s="137">
        <f>SUM(L75:L76)</f>
        <v>0</v>
      </c>
      <c r="M74" s="171">
        <f>SUM(M75:M76)</f>
        <v>0</v>
      </c>
      <c r="N74" s="159">
        <f t="shared" si="59"/>
        <v>41.04</v>
      </c>
      <c r="O74" s="74">
        <f>SUM(O75:O76)</f>
        <v>15.450000000000001</v>
      </c>
      <c r="P74" s="74">
        <f>SUM(P75:P76)</f>
        <v>26.8212</v>
      </c>
      <c r="Q74" s="74">
        <f>SUM(Q75:Q76)</f>
        <v>0</v>
      </c>
      <c r="R74" s="74">
        <f>SUM(R75:R76)</f>
        <v>0</v>
      </c>
      <c r="S74" s="158">
        <f>SUM(S75:S76)</f>
        <v>0</v>
      </c>
      <c r="T74" s="10">
        <f t="shared" si="60"/>
        <v>42.2712</v>
      </c>
      <c r="U74" s="74">
        <f>SUM(U75:U76)</f>
        <v>15.913500000000003</v>
      </c>
      <c r="V74" s="74">
        <f>SUM(V75:V76)</f>
        <v>27.625836000000003</v>
      </c>
      <c r="W74" s="74">
        <f>SUM(W75:W76)</f>
        <v>0</v>
      </c>
      <c r="X74" s="74">
        <f>SUM(X75:X76)</f>
        <v>0</v>
      </c>
      <c r="Y74" s="74">
        <f>SUM(Y75:Y76)</f>
        <v>0</v>
      </c>
      <c r="Z74" s="10">
        <f t="shared" si="61"/>
        <v>43.539336000000006</v>
      </c>
      <c r="AA74" s="74">
        <f>SUM(AA75:AA76)</f>
        <v>16.390905000000004</v>
      </c>
      <c r="AB74" s="74">
        <f>SUM(AB75:AB76)</f>
        <v>28.454611080000003</v>
      </c>
      <c r="AC74" s="74">
        <f>SUM(AC75:AC76)</f>
        <v>0</v>
      </c>
      <c r="AD74" s="74">
        <f>SUM(AD75:AD76)</f>
        <v>0</v>
      </c>
      <c r="AE74" s="158">
        <f>SUM(AE75:AE76)</f>
        <v>0</v>
      </c>
      <c r="AF74" s="10">
        <f t="shared" si="62"/>
        <v>44.84551608000001</v>
      </c>
    </row>
    <row r="75" spans="8:32" ht="60" customHeight="1">
      <c r="H75" s="49" t="s">
        <v>73</v>
      </c>
      <c r="I75" s="62">
        <f>POAI!C73</f>
        <v>10</v>
      </c>
      <c r="J75" s="89">
        <f>POAI!D73</f>
        <v>26.04</v>
      </c>
      <c r="K75" s="89">
        <f>POAI!E73</f>
        <v>0</v>
      </c>
      <c r="L75" s="89">
        <f>POAI!F73</f>
        <v>0</v>
      </c>
      <c r="M75" s="115">
        <f>POAI!G73</f>
        <v>0</v>
      </c>
      <c r="N75" s="69">
        <f t="shared" si="59"/>
        <v>36.04</v>
      </c>
      <c r="O75" s="62">
        <f aca="true" t="shared" si="63" ref="O75:S76">+I75*1.03</f>
        <v>10.3</v>
      </c>
      <c r="P75" s="89">
        <f t="shared" si="63"/>
        <v>26.8212</v>
      </c>
      <c r="Q75" s="89">
        <f t="shared" si="63"/>
        <v>0</v>
      </c>
      <c r="R75" s="89">
        <f t="shared" si="63"/>
        <v>0</v>
      </c>
      <c r="S75" s="115">
        <f t="shared" si="63"/>
        <v>0</v>
      </c>
      <c r="T75" s="117">
        <f t="shared" si="60"/>
        <v>37.1212</v>
      </c>
      <c r="U75" s="195">
        <f aca="true" t="shared" si="64" ref="U75:Y76">+O75*1.03</f>
        <v>10.609000000000002</v>
      </c>
      <c r="V75" s="89">
        <f t="shared" si="64"/>
        <v>27.625836000000003</v>
      </c>
      <c r="W75" s="89">
        <f t="shared" si="64"/>
        <v>0</v>
      </c>
      <c r="X75" s="89">
        <f t="shared" si="64"/>
        <v>0</v>
      </c>
      <c r="Y75" s="90">
        <f t="shared" si="64"/>
        <v>0</v>
      </c>
      <c r="Z75" s="117">
        <f t="shared" si="61"/>
        <v>38.234836</v>
      </c>
      <c r="AA75" s="62">
        <f aca="true" t="shared" si="65" ref="AA75:AE76">+U75*1.03</f>
        <v>10.927270000000002</v>
      </c>
      <c r="AB75" s="89">
        <f t="shared" si="65"/>
        <v>28.454611080000003</v>
      </c>
      <c r="AC75" s="89">
        <f t="shared" si="65"/>
        <v>0</v>
      </c>
      <c r="AD75" s="89">
        <f t="shared" si="65"/>
        <v>0</v>
      </c>
      <c r="AE75" s="115">
        <f t="shared" si="65"/>
        <v>0</v>
      </c>
      <c r="AF75" s="117">
        <f t="shared" si="62"/>
        <v>39.38188108000001</v>
      </c>
    </row>
    <row r="76" spans="8:32" ht="42.75" customHeight="1" thickBot="1">
      <c r="H76" s="50" t="s">
        <v>74</v>
      </c>
      <c r="I76" s="80">
        <f>POAI!C74</f>
        <v>5</v>
      </c>
      <c r="J76" s="93">
        <f>POAI!D74</f>
        <v>0</v>
      </c>
      <c r="K76" s="93">
        <f>POAI!E74</f>
        <v>0</v>
      </c>
      <c r="L76" s="93">
        <f>POAI!F74</f>
        <v>0</v>
      </c>
      <c r="M76" s="167">
        <f>POAI!G74</f>
        <v>0</v>
      </c>
      <c r="N76" s="69">
        <f t="shared" si="59"/>
        <v>5</v>
      </c>
      <c r="O76" s="80">
        <f t="shared" si="63"/>
        <v>5.15</v>
      </c>
      <c r="P76" s="93">
        <f t="shared" si="63"/>
        <v>0</v>
      </c>
      <c r="Q76" s="93">
        <f t="shared" si="63"/>
        <v>0</v>
      </c>
      <c r="R76" s="93">
        <f t="shared" si="63"/>
        <v>0</v>
      </c>
      <c r="S76" s="167">
        <f t="shared" si="63"/>
        <v>0</v>
      </c>
      <c r="T76" s="79">
        <f t="shared" si="60"/>
        <v>5.15</v>
      </c>
      <c r="U76" s="198">
        <f t="shared" si="64"/>
        <v>5.304500000000001</v>
      </c>
      <c r="V76" s="93">
        <f t="shared" si="64"/>
        <v>0</v>
      </c>
      <c r="W76" s="93">
        <f t="shared" si="64"/>
        <v>0</v>
      </c>
      <c r="X76" s="93">
        <f t="shared" si="64"/>
        <v>0</v>
      </c>
      <c r="Y76" s="94">
        <f t="shared" si="64"/>
        <v>0</v>
      </c>
      <c r="Z76" s="79">
        <f t="shared" si="61"/>
        <v>5.304500000000001</v>
      </c>
      <c r="AA76" s="80">
        <f t="shared" si="65"/>
        <v>5.463635000000001</v>
      </c>
      <c r="AB76" s="93">
        <f t="shared" si="65"/>
        <v>0</v>
      </c>
      <c r="AC76" s="93">
        <f t="shared" si="65"/>
        <v>0</v>
      </c>
      <c r="AD76" s="93">
        <f t="shared" si="65"/>
        <v>0</v>
      </c>
      <c r="AE76" s="167">
        <f t="shared" si="65"/>
        <v>0</v>
      </c>
      <c r="AF76" s="79">
        <f t="shared" si="62"/>
        <v>5.463635000000001</v>
      </c>
    </row>
    <row r="77" spans="8:32" ht="42.75" customHeight="1" thickBot="1">
      <c r="H77" s="25" t="s">
        <v>46</v>
      </c>
      <c r="I77" s="137">
        <f>I78</f>
        <v>10</v>
      </c>
      <c r="J77" s="148">
        <f>J78</f>
        <v>10</v>
      </c>
      <c r="K77" s="148">
        <f>K78</f>
        <v>0</v>
      </c>
      <c r="L77" s="148">
        <f>L78</f>
        <v>0</v>
      </c>
      <c r="M77" s="161">
        <f>M78</f>
        <v>0</v>
      </c>
      <c r="N77" s="160">
        <f t="shared" si="59"/>
        <v>20</v>
      </c>
      <c r="O77" s="74">
        <f>O78</f>
        <v>10.3</v>
      </c>
      <c r="P77" s="61">
        <f>P78</f>
        <v>10.3</v>
      </c>
      <c r="Q77" s="61">
        <f>Q78</f>
        <v>0</v>
      </c>
      <c r="R77" s="61">
        <f>R78</f>
        <v>0</v>
      </c>
      <c r="S77" s="165">
        <f>S78</f>
        <v>0</v>
      </c>
      <c r="T77" s="10">
        <f t="shared" si="60"/>
        <v>20.6</v>
      </c>
      <c r="U77" s="74">
        <f>U78</f>
        <v>10.609000000000002</v>
      </c>
      <c r="V77" s="61">
        <f>V78</f>
        <v>10.609000000000002</v>
      </c>
      <c r="W77" s="61">
        <f>W78</f>
        <v>0</v>
      </c>
      <c r="X77" s="61">
        <f>X78</f>
        <v>0</v>
      </c>
      <c r="Y77" s="61">
        <f>Y78</f>
        <v>0</v>
      </c>
      <c r="Z77" s="10">
        <f t="shared" si="61"/>
        <v>21.218000000000004</v>
      </c>
      <c r="AA77" s="74">
        <f>AA78</f>
        <v>10.927270000000002</v>
      </c>
      <c r="AB77" s="61">
        <f>AB78</f>
        <v>10.927270000000002</v>
      </c>
      <c r="AC77" s="61">
        <f>AC78</f>
        <v>0</v>
      </c>
      <c r="AD77" s="61">
        <f>AD78</f>
        <v>0</v>
      </c>
      <c r="AE77" s="165">
        <f>AE78</f>
        <v>0</v>
      </c>
      <c r="AF77" s="10">
        <f t="shared" si="62"/>
        <v>21.854540000000004</v>
      </c>
    </row>
    <row r="78" spans="8:32" ht="42.75" customHeight="1" thickBot="1">
      <c r="H78" s="143" t="s">
        <v>75</v>
      </c>
      <c r="I78" s="146">
        <f>POAI!C76</f>
        <v>10</v>
      </c>
      <c r="J78" s="147">
        <f>POAI!D76</f>
        <v>10</v>
      </c>
      <c r="K78" s="147">
        <f>POAI!E76</f>
        <v>0</v>
      </c>
      <c r="L78" s="147">
        <f>POAI!F76</f>
        <v>0</v>
      </c>
      <c r="M78" s="179">
        <f>POAI!G76</f>
        <v>0</v>
      </c>
      <c r="N78" s="98">
        <f t="shared" si="59"/>
        <v>20</v>
      </c>
      <c r="O78" s="62">
        <f>+I78*1.03</f>
        <v>10.3</v>
      </c>
      <c r="P78" s="89">
        <f>+J78*1.03</f>
        <v>10.3</v>
      </c>
      <c r="Q78" s="89">
        <f>+K78*1.03</f>
        <v>0</v>
      </c>
      <c r="R78" s="115">
        <f>+L78*1.03</f>
        <v>0</v>
      </c>
      <c r="S78" s="115">
        <f>+M78*1.03</f>
        <v>0</v>
      </c>
      <c r="T78" s="98">
        <f t="shared" si="60"/>
        <v>20.6</v>
      </c>
      <c r="U78" s="195">
        <f>+O78*1.03</f>
        <v>10.609000000000002</v>
      </c>
      <c r="V78" s="89">
        <f>+P78*1.03</f>
        <v>10.609000000000002</v>
      </c>
      <c r="W78" s="89">
        <f>+Q78*1.03</f>
        <v>0</v>
      </c>
      <c r="X78" s="115">
        <f>+R78*1.03</f>
        <v>0</v>
      </c>
      <c r="Y78" s="115">
        <f>+S78*1.03</f>
        <v>0</v>
      </c>
      <c r="Z78" s="98">
        <f t="shared" si="61"/>
        <v>21.218000000000004</v>
      </c>
      <c r="AA78" s="62">
        <f>+U78*1.03</f>
        <v>10.927270000000002</v>
      </c>
      <c r="AB78" s="89">
        <f>+V78*1.03</f>
        <v>10.927270000000002</v>
      </c>
      <c r="AC78" s="89">
        <f>+W78*1.03</f>
        <v>0</v>
      </c>
      <c r="AD78" s="115">
        <f>+X78*1.03</f>
        <v>0</v>
      </c>
      <c r="AE78" s="115">
        <f>+Y78*1.03</f>
        <v>0</v>
      </c>
      <c r="AF78" s="98">
        <f t="shared" si="62"/>
        <v>21.854540000000004</v>
      </c>
    </row>
    <row r="79" spans="8:32" ht="42.75" customHeight="1" thickBot="1">
      <c r="H79" s="25" t="s">
        <v>47</v>
      </c>
      <c r="I79" s="137">
        <f>I80</f>
        <v>10</v>
      </c>
      <c r="J79" s="148">
        <f>J80</f>
        <v>0</v>
      </c>
      <c r="K79" s="148">
        <f>K80</f>
        <v>0</v>
      </c>
      <c r="L79" s="148">
        <f>L80</f>
        <v>0</v>
      </c>
      <c r="M79" s="161">
        <f>M80</f>
        <v>0</v>
      </c>
      <c r="N79" s="10">
        <f t="shared" si="59"/>
        <v>10</v>
      </c>
      <c r="O79" s="74">
        <f>O80</f>
        <v>10.3</v>
      </c>
      <c r="P79" s="61">
        <f>P80</f>
        <v>0</v>
      </c>
      <c r="Q79" s="61">
        <f>Q80</f>
        <v>0</v>
      </c>
      <c r="R79" s="61">
        <f>R80</f>
        <v>0</v>
      </c>
      <c r="S79" s="165">
        <f>S80</f>
        <v>0</v>
      </c>
      <c r="T79" s="10">
        <f t="shared" si="60"/>
        <v>10.3</v>
      </c>
      <c r="U79" s="74">
        <f>U80</f>
        <v>10.609000000000002</v>
      </c>
      <c r="V79" s="61">
        <f>V80</f>
        <v>0</v>
      </c>
      <c r="W79" s="61">
        <f>W80</f>
        <v>0</v>
      </c>
      <c r="X79" s="61">
        <f>X80</f>
        <v>0</v>
      </c>
      <c r="Y79" s="61">
        <f>Y80</f>
        <v>0</v>
      </c>
      <c r="Z79" s="10">
        <f t="shared" si="61"/>
        <v>10.609000000000002</v>
      </c>
      <c r="AA79" s="74">
        <f>AA80</f>
        <v>10.927270000000002</v>
      </c>
      <c r="AB79" s="61">
        <f>AB80</f>
        <v>0</v>
      </c>
      <c r="AC79" s="61">
        <f>AC80</f>
        <v>0</v>
      </c>
      <c r="AD79" s="61">
        <f>AD80</f>
        <v>0</v>
      </c>
      <c r="AE79" s="165">
        <f>AE80</f>
        <v>0</v>
      </c>
      <c r="AF79" s="10">
        <f t="shared" si="62"/>
        <v>10.927270000000002</v>
      </c>
    </row>
    <row r="80" spans="8:32" ht="54.75" customHeight="1" thickBot="1">
      <c r="H80" s="143" t="str">
        <f>POAI!B78</f>
        <v>4.5.1 ATENCIÓN INTEGRAL A LA POBLACION AFRO DESCENDIENTES E INDÍGENA PARA LA GARANTÍA DE SUS DERECHOS</v>
      </c>
      <c r="I80" s="146">
        <f>POAI!C78</f>
        <v>10</v>
      </c>
      <c r="J80" s="147">
        <f>POAI!D78</f>
        <v>0</v>
      </c>
      <c r="K80" s="147">
        <f>POAI!E78</f>
        <v>0</v>
      </c>
      <c r="L80" s="147">
        <f>POAI!F78</f>
        <v>0</v>
      </c>
      <c r="M80" s="179">
        <f>POAI!G78</f>
        <v>0</v>
      </c>
      <c r="N80" s="98">
        <f t="shared" si="59"/>
        <v>10</v>
      </c>
      <c r="O80" s="62">
        <f>+I80*1.03</f>
        <v>10.3</v>
      </c>
      <c r="P80" s="89">
        <f>+J80*1.03</f>
        <v>0</v>
      </c>
      <c r="Q80" s="89">
        <f>+K80*1.03</f>
        <v>0</v>
      </c>
      <c r="R80" s="115">
        <f>+L80*1.03</f>
        <v>0</v>
      </c>
      <c r="S80" s="115">
        <f>+M80*1.03</f>
        <v>0</v>
      </c>
      <c r="T80" s="98">
        <f t="shared" si="60"/>
        <v>10.3</v>
      </c>
      <c r="U80" s="195">
        <f>+O80*1.03</f>
        <v>10.609000000000002</v>
      </c>
      <c r="V80" s="89">
        <f>+P80*1.03</f>
        <v>0</v>
      </c>
      <c r="W80" s="89">
        <f>+Q80*1.03</f>
        <v>0</v>
      </c>
      <c r="X80" s="115">
        <f>+R80*1.03</f>
        <v>0</v>
      </c>
      <c r="Y80" s="115">
        <f>+S80*1.03</f>
        <v>0</v>
      </c>
      <c r="Z80" s="98">
        <f t="shared" si="61"/>
        <v>10.609000000000002</v>
      </c>
      <c r="AA80" s="62">
        <f>+U80*1.03</f>
        <v>10.927270000000002</v>
      </c>
      <c r="AB80" s="89">
        <f>+V80*1.03</f>
        <v>0</v>
      </c>
      <c r="AC80" s="89">
        <f>+W80*1.03</f>
        <v>0</v>
      </c>
      <c r="AD80" s="115">
        <f>+X80*1.03</f>
        <v>0</v>
      </c>
      <c r="AE80" s="115">
        <f>+Y80*1.03</f>
        <v>0</v>
      </c>
      <c r="AF80" s="98">
        <f t="shared" si="62"/>
        <v>10.927270000000002</v>
      </c>
    </row>
    <row r="81" spans="8:32" ht="42.75" customHeight="1" thickBot="1">
      <c r="H81" s="25" t="s">
        <v>48</v>
      </c>
      <c r="I81" s="137">
        <f>I82</f>
        <v>10</v>
      </c>
      <c r="J81" s="148">
        <f>J82</f>
        <v>20</v>
      </c>
      <c r="K81" s="148">
        <f>K82</f>
        <v>0</v>
      </c>
      <c r="L81" s="148">
        <f>L82</f>
        <v>0</v>
      </c>
      <c r="M81" s="161">
        <f>M82</f>
        <v>0</v>
      </c>
      <c r="N81" s="116">
        <f t="shared" si="59"/>
        <v>30</v>
      </c>
      <c r="O81" s="74">
        <f>O82</f>
        <v>10.3</v>
      </c>
      <c r="P81" s="61">
        <f>P82</f>
        <v>20.6</v>
      </c>
      <c r="Q81" s="61">
        <f>Q82</f>
        <v>0</v>
      </c>
      <c r="R81" s="61">
        <f>R82</f>
        <v>0</v>
      </c>
      <c r="S81" s="165">
        <f>S82</f>
        <v>0</v>
      </c>
      <c r="T81" s="116">
        <f t="shared" si="60"/>
        <v>30.900000000000002</v>
      </c>
      <c r="U81" s="74">
        <f>U82</f>
        <v>10.609000000000002</v>
      </c>
      <c r="V81" s="61">
        <f>V82</f>
        <v>21.218000000000004</v>
      </c>
      <c r="W81" s="61">
        <f>W82</f>
        <v>0</v>
      </c>
      <c r="X81" s="61">
        <f>X82</f>
        <v>0</v>
      </c>
      <c r="Y81" s="61">
        <f>Y82</f>
        <v>0</v>
      </c>
      <c r="Z81" s="61">
        <f t="shared" si="61"/>
        <v>31.827000000000005</v>
      </c>
      <c r="AA81" s="74">
        <f>AA82</f>
        <v>10.927270000000002</v>
      </c>
      <c r="AB81" s="61">
        <f>AB82</f>
        <v>21.854540000000004</v>
      </c>
      <c r="AC81" s="61">
        <f>AC82</f>
        <v>0</v>
      </c>
      <c r="AD81" s="61">
        <f>AD82</f>
        <v>0</v>
      </c>
      <c r="AE81" s="165">
        <f>AE82</f>
        <v>0</v>
      </c>
      <c r="AF81" s="116">
        <f t="shared" si="62"/>
        <v>32.78181000000001</v>
      </c>
    </row>
    <row r="82" spans="8:32" ht="42.75" customHeight="1" thickBot="1">
      <c r="H82" s="143" t="s">
        <v>49</v>
      </c>
      <c r="I82" s="146">
        <f>POAI!C80</f>
        <v>10</v>
      </c>
      <c r="J82" s="147">
        <f>POAI!D80</f>
        <v>20</v>
      </c>
      <c r="K82" s="147">
        <f>POAI!E80</f>
        <v>0</v>
      </c>
      <c r="L82" s="147">
        <f>POAI!F80</f>
        <v>0</v>
      </c>
      <c r="M82" s="179">
        <f>POAI!G80</f>
        <v>0</v>
      </c>
      <c r="N82" s="98">
        <f t="shared" si="59"/>
        <v>30</v>
      </c>
      <c r="O82" s="62">
        <f>+I82*1.03</f>
        <v>10.3</v>
      </c>
      <c r="P82" s="89">
        <f>+J82*1.03</f>
        <v>20.6</v>
      </c>
      <c r="Q82" s="89">
        <f>+K82*1.03</f>
        <v>0</v>
      </c>
      <c r="R82" s="115">
        <f>+L82*1.03</f>
        <v>0</v>
      </c>
      <c r="S82" s="115">
        <f>+M82*1.03</f>
        <v>0</v>
      </c>
      <c r="T82" s="98">
        <f t="shared" si="60"/>
        <v>30.900000000000002</v>
      </c>
      <c r="U82" s="195">
        <f>+O82*1.03</f>
        <v>10.609000000000002</v>
      </c>
      <c r="V82" s="89">
        <f>+P82*1.03</f>
        <v>21.218000000000004</v>
      </c>
      <c r="W82" s="89">
        <f>+Q82*1.03</f>
        <v>0</v>
      </c>
      <c r="X82" s="115">
        <f>+R82*1.03</f>
        <v>0</v>
      </c>
      <c r="Y82" s="115">
        <f>+S82*1.03</f>
        <v>0</v>
      </c>
      <c r="Z82" s="98">
        <f t="shared" si="61"/>
        <v>31.827000000000005</v>
      </c>
      <c r="AA82" s="62">
        <f>+U82*1.03</f>
        <v>10.927270000000002</v>
      </c>
      <c r="AB82" s="89">
        <f>+V82*1.03</f>
        <v>21.854540000000004</v>
      </c>
      <c r="AC82" s="89">
        <f>+W82*1.03</f>
        <v>0</v>
      </c>
      <c r="AD82" s="115">
        <f>+X82*1.03</f>
        <v>0</v>
      </c>
      <c r="AE82" s="115">
        <f>+Y82*1.03</f>
        <v>0</v>
      </c>
      <c r="AF82" s="98">
        <f t="shared" si="62"/>
        <v>32.78181000000001</v>
      </c>
    </row>
    <row r="83" spans="8:32" ht="42.75" customHeight="1" thickBot="1">
      <c r="H83" s="25" t="s">
        <v>50</v>
      </c>
      <c r="I83" s="137">
        <f>I84</f>
        <v>20</v>
      </c>
      <c r="J83" s="148">
        <f>J84</f>
        <v>15</v>
      </c>
      <c r="K83" s="148">
        <f>K84</f>
        <v>0</v>
      </c>
      <c r="L83" s="148">
        <f>L84</f>
        <v>0</v>
      </c>
      <c r="M83" s="161">
        <f>M84</f>
        <v>0</v>
      </c>
      <c r="N83" s="10">
        <f t="shared" si="59"/>
        <v>35</v>
      </c>
      <c r="O83" s="74">
        <f>O84</f>
        <v>20.6</v>
      </c>
      <c r="P83" s="61">
        <f>P84</f>
        <v>15.450000000000001</v>
      </c>
      <c r="Q83" s="61">
        <f>Q84</f>
        <v>0</v>
      </c>
      <c r="R83" s="61">
        <f>R84</f>
        <v>0</v>
      </c>
      <c r="S83" s="165">
        <f>S84</f>
        <v>0</v>
      </c>
      <c r="T83" s="10">
        <f t="shared" si="60"/>
        <v>36.050000000000004</v>
      </c>
      <c r="U83" s="74">
        <f>U84</f>
        <v>21.218000000000004</v>
      </c>
      <c r="V83" s="61">
        <f>V84</f>
        <v>15.9135</v>
      </c>
      <c r="W83" s="61">
        <f>W84</f>
        <v>0</v>
      </c>
      <c r="X83" s="61">
        <f>X84</f>
        <v>0</v>
      </c>
      <c r="Y83" s="61">
        <f>Y84</f>
        <v>0</v>
      </c>
      <c r="Z83" s="10">
        <f t="shared" si="61"/>
        <v>37.1315</v>
      </c>
      <c r="AA83" s="74">
        <f>AA84</f>
        <v>21.854540000000004</v>
      </c>
      <c r="AB83" s="61">
        <f>AB84</f>
        <v>16.390905</v>
      </c>
      <c r="AC83" s="61">
        <f>AC84</f>
        <v>0</v>
      </c>
      <c r="AD83" s="61">
        <f>AD84</f>
        <v>0</v>
      </c>
      <c r="AE83" s="165">
        <f>AE84</f>
        <v>0</v>
      </c>
      <c r="AF83" s="10">
        <f t="shared" si="62"/>
        <v>38.245445000000004</v>
      </c>
    </row>
    <row r="84" spans="8:32" ht="42.75" customHeight="1" thickBot="1">
      <c r="H84" s="143" t="s">
        <v>51</v>
      </c>
      <c r="I84" s="146">
        <f>POAI!C82</f>
        <v>20</v>
      </c>
      <c r="J84" s="147">
        <f>POAI!D82</f>
        <v>15</v>
      </c>
      <c r="K84" s="147">
        <f>POAI!E82</f>
        <v>0</v>
      </c>
      <c r="L84" s="147">
        <f>POAI!F82</f>
        <v>0</v>
      </c>
      <c r="M84" s="179">
        <f>POAI!G82</f>
        <v>0</v>
      </c>
      <c r="N84" s="98">
        <f t="shared" si="59"/>
        <v>35</v>
      </c>
      <c r="O84" s="62">
        <f>+I84*1.03</f>
        <v>20.6</v>
      </c>
      <c r="P84" s="89">
        <f>+J84*1.03</f>
        <v>15.450000000000001</v>
      </c>
      <c r="Q84" s="89">
        <f>+K84*1.03</f>
        <v>0</v>
      </c>
      <c r="R84" s="115">
        <f>+L84*1.03</f>
        <v>0</v>
      </c>
      <c r="S84" s="115">
        <f>+M84*1.03</f>
        <v>0</v>
      </c>
      <c r="T84" s="98">
        <f t="shared" si="60"/>
        <v>36.050000000000004</v>
      </c>
      <c r="U84" s="195">
        <f>+O84*1.03</f>
        <v>21.218000000000004</v>
      </c>
      <c r="V84" s="89">
        <f>+P84*1.03</f>
        <v>15.9135</v>
      </c>
      <c r="W84" s="89">
        <f>+Q84*1.03</f>
        <v>0</v>
      </c>
      <c r="X84" s="115">
        <f>+R84*1.03</f>
        <v>0</v>
      </c>
      <c r="Y84" s="115">
        <f>+S84*1.03</f>
        <v>0</v>
      </c>
      <c r="Z84" s="98">
        <f t="shared" si="61"/>
        <v>37.1315</v>
      </c>
      <c r="AA84" s="62">
        <f>+U84*1.03</f>
        <v>21.854540000000004</v>
      </c>
      <c r="AB84" s="89">
        <f>+V84*1.03</f>
        <v>16.390905</v>
      </c>
      <c r="AC84" s="89">
        <f>+W84*1.03</f>
        <v>0</v>
      </c>
      <c r="AD84" s="115">
        <f>+X84*1.03</f>
        <v>0</v>
      </c>
      <c r="AE84" s="115">
        <f>+Y84*1.03</f>
        <v>0</v>
      </c>
      <c r="AF84" s="98">
        <f t="shared" si="62"/>
        <v>38.245445000000004</v>
      </c>
    </row>
    <row r="85" spans="8:32" ht="42.75" customHeight="1" thickBot="1">
      <c r="H85" s="25" t="str">
        <f>POAI!B84</f>
        <v>4.8.1 PLAN PARA LA SUPERACION DE POBREZA EXTREMA EN LERIDA</v>
      </c>
      <c r="I85" s="137">
        <f>I86</f>
        <v>0</v>
      </c>
      <c r="J85" s="148">
        <f>J86</f>
        <v>15</v>
      </c>
      <c r="K85" s="148">
        <f>K86</f>
        <v>0</v>
      </c>
      <c r="L85" s="148">
        <f>L86</f>
        <v>0</v>
      </c>
      <c r="M85" s="161">
        <f>M86</f>
        <v>0</v>
      </c>
      <c r="N85" s="10">
        <f>SUM(I85:M85)</f>
        <v>15</v>
      </c>
      <c r="O85" s="74">
        <f>O86</f>
        <v>0</v>
      </c>
      <c r="P85" s="61">
        <f>P86</f>
        <v>15.450000000000001</v>
      </c>
      <c r="Q85" s="61">
        <f>Q86</f>
        <v>0</v>
      </c>
      <c r="R85" s="61">
        <f>R86</f>
        <v>0</v>
      </c>
      <c r="S85" s="165">
        <f>S86</f>
        <v>0</v>
      </c>
      <c r="T85" s="10">
        <f>SUM(O85:S85)</f>
        <v>15.450000000000001</v>
      </c>
      <c r="U85" s="74">
        <f>U86</f>
        <v>0</v>
      </c>
      <c r="V85" s="61">
        <f>V86</f>
        <v>15.9135</v>
      </c>
      <c r="W85" s="61">
        <f>W86</f>
        <v>0</v>
      </c>
      <c r="X85" s="61">
        <f>X86</f>
        <v>0</v>
      </c>
      <c r="Y85" s="165">
        <f>Y86</f>
        <v>0</v>
      </c>
      <c r="Z85" s="10">
        <f t="shared" si="61"/>
        <v>15.9135</v>
      </c>
      <c r="AA85" s="74">
        <f>AA86</f>
        <v>0</v>
      </c>
      <c r="AB85" s="61">
        <f>AB86</f>
        <v>16.390905</v>
      </c>
      <c r="AC85" s="61">
        <f>AC86</f>
        <v>0</v>
      </c>
      <c r="AD85" s="61">
        <f>AD86</f>
        <v>0</v>
      </c>
      <c r="AE85" s="165">
        <f>AE86</f>
        <v>0</v>
      </c>
      <c r="AF85" s="10">
        <f t="shared" si="62"/>
        <v>16.390905</v>
      </c>
    </row>
    <row r="86" spans="8:32" ht="42.75" customHeight="1" thickBot="1">
      <c r="H86" s="143" t="str">
        <f>POAI!B84</f>
        <v>4.8.1 PLAN PARA LA SUPERACION DE POBREZA EXTREMA EN LERIDA</v>
      </c>
      <c r="I86" s="146">
        <f>POAI!C84</f>
        <v>0</v>
      </c>
      <c r="J86" s="147">
        <f>POAI!D84</f>
        <v>15</v>
      </c>
      <c r="K86" s="147">
        <f>POAI!E84</f>
        <v>0</v>
      </c>
      <c r="L86" s="147">
        <f>POAI!F84</f>
        <v>0</v>
      </c>
      <c r="M86" s="147">
        <f>POAI!G84</f>
        <v>0</v>
      </c>
      <c r="N86" s="98">
        <f t="shared" si="59"/>
        <v>15</v>
      </c>
      <c r="O86" s="62">
        <f>+I86*1.03</f>
        <v>0</v>
      </c>
      <c r="P86" s="89">
        <f>+J86*1.03</f>
        <v>15.450000000000001</v>
      </c>
      <c r="Q86" s="89">
        <f>+K86*1.03</f>
        <v>0</v>
      </c>
      <c r="R86" s="115">
        <f>+L86*1.03</f>
        <v>0</v>
      </c>
      <c r="S86" s="115">
        <f>+M86*1.03</f>
        <v>0</v>
      </c>
      <c r="T86" s="98">
        <f>SUM(O86:S86)</f>
        <v>15.450000000000001</v>
      </c>
      <c r="U86" s="62">
        <f>+O86*1.03</f>
        <v>0</v>
      </c>
      <c r="V86" s="89">
        <f>+P86*1.03</f>
        <v>15.9135</v>
      </c>
      <c r="W86" s="89">
        <f>+Q86*1.03</f>
        <v>0</v>
      </c>
      <c r="X86" s="115">
        <f>+R86*1.03</f>
        <v>0</v>
      </c>
      <c r="Y86" s="115">
        <f>+S86*1.03</f>
        <v>0</v>
      </c>
      <c r="Z86" s="98">
        <f t="shared" si="61"/>
        <v>15.9135</v>
      </c>
      <c r="AA86" s="62">
        <f>+U86*1.03</f>
        <v>0</v>
      </c>
      <c r="AB86" s="89">
        <f>+V86*1.03</f>
        <v>16.390905</v>
      </c>
      <c r="AC86" s="89">
        <f>+W86*1.03</f>
        <v>0</v>
      </c>
      <c r="AD86" s="115">
        <f>+X86*1.03</f>
        <v>0</v>
      </c>
      <c r="AE86" s="115">
        <f>+Y86*1.03</f>
        <v>0</v>
      </c>
      <c r="AF86" s="98">
        <f t="shared" si="62"/>
        <v>16.390905</v>
      </c>
    </row>
    <row r="87" spans="8:32" ht="42.75" customHeight="1" thickBot="1">
      <c r="H87" s="29" t="s">
        <v>52</v>
      </c>
      <c r="I87" s="162">
        <f>I88</f>
        <v>149</v>
      </c>
      <c r="J87" s="162">
        <f>J88</f>
        <v>140</v>
      </c>
      <c r="K87" s="162">
        <f>K88</f>
        <v>0</v>
      </c>
      <c r="L87" s="162">
        <f>L88</f>
        <v>0</v>
      </c>
      <c r="M87" s="180">
        <f>M88</f>
        <v>0</v>
      </c>
      <c r="N87" s="12">
        <f t="shared" si="59"/>
        <v>289</v>
      </c>
      <c r="O87" s="118">
        <f>O88</f>
        <v>153.47</v>
      </c>
      <c r="P87" s="118">
        <f>P88</f>
        <v>144.2</v>
      </c>
      <c r="Q87" s="118">
        <f>Q88</f>
        <v>0</v>
      </c>
      <c r="R87" s="118">
        <f>R88</f>
        <v>0</v>
      </c>
      <c r="S87" s="193">
        <f>S88</f>
        <v>0</v>
      </c>
      <c r="T87" s="12">
        <f>SUM(O87:S87)</f>
        <v>297.66999999999996</v>
      </c>
      <c r="U87" s="118">
        <f>U88</f>
        <v>158.0741</v>
      </c>
      <c r="V87" s="118">
        <f>V88</f>
        <v>148.526</v>
      </c>
      <c r="W87" s="118">
        <f>W88</f>
        <v>0</v>
      </c>
      <c r="X87" s="118">
        <f>X88</f>
        <v>0</v>
      </c>
      <c r="Y87" s="118">
        <f>Y88</f>
        <v>0</v>
      </c>
      <c r="Z87" s="12">
        <f t="shared" si="61"/>
        <v>306.6001</v>
      </c>
      <c r="AA87" s="118">
        <f>AA88</f>
        <v>162.816323</v>
      </c>
      <c r="AB87" s="118">
        <f>AB88</f>
        <v>152.98178000000004</v>
      </c>
      <c r="AC87" s="118">
        <f>AC88</f>
        <v>0</v>
      </c>
      <c r="AD87" s="118">
        <f>AD88</f>
        <v>0</v>
      </c>
      <c r="AE87" s="193">
        <f>AE88</f>
        <v>0</v>
      </c>
      <c r="AF87" s="12">
        <f t="shared" si="62"/>
        <v>315.7981030000001</v>
      </c>
    </row>
    <row r="88" spans="8:32" ht="42.75" customHeight="1" thickBot="1">
      <c r="H88" s="25" t="s">
        <v>53</v>
      </c>
      <c r="I88" s="119">
        <f>SUM(I89:I92)</f>
        <v>149</v>
      </c>
      <c r="J88" s="120">
        <f>SUM(J89:J92)</f>
        <v>140</v>
      </c>
      <c r="K88" s="120">
        <f>SUM(K89:K92)</f>
        <v>0</v>
      </c>
      <c r="L88" s="120">
        <f>SUM(L89:L92)</f>
        <v>0</v>
      </c>
      <c r="M88" s="181">
        <f>SUM(M89:M92)</f>
        <v>0</v>
      </c>
      <c r="N88" s="13">
        <f t="shared" si="59"/>
        <v>289</v>
      </c>
      <c r="O88" s="119">
        <f>SUM(O89:O92)</f>
        <v>153.47</v>
      </c>
      <c r="P88" s="120">
        <f>SUM(P89:P92)</f>
        <v>144.2</v>
      </c>
      <c r="Q88" s="120">
        <f>SUM(Q89:Q92)</f>
        <v>0</v>
      </c>
      <c r="R88" s="120">
        <f>SUM(R89:R92)</f>
        <v>0</v>
      </c>
      <c r="S88" s="181">
        <f>SUM(S89:S92)</f>
        <v>0</v>
      </c>
      <c r="T88" s="13">
        <f t="shared" si="60"/>
        <v>297.66999999999996</v>
      </c>
      <c r="U88" s="119">
        <f>SUM(U89:U92)</f>
        <v>158.0741</v>
      </c>
      <c r="V88" s="120">
        <f>SUM(V89:V92)</f>
        <v>148.526</v>
      </c>
      <c r="W88" s="120">
        <f>SUM(W89:W92)</f>
        <v>0</v>
      </c>
      <c r="X88" s="120">
        <f>SUM(X89:X92)</f>
        <v>0</v>
      </c>
      <c r="Y88" s="120">
        <f>SUM(Y89:Y92)</f>
        <v>0</v>
      </c>
      <c r="Z88" s="13">
        <f t="shared" si="61"/>
        <v>306.6001</v>
      </c>
      <c r="AA88" s="119">
        <f>SUM(AA89:AA92)</f>
        <v>162.816323</v>
      </c>
      <c r="AB88" s="120">
        <f>SUM(AB89:AB92)</f>
        <v>152.98178000000004</v>
      </c>
      <c r="AC88" s="120">
        <f>SUM(AC89:AC92)</f>
        <v>0</v>
      </c>
      <c r="AD88" s="120">
        <f>SUM(AD89:AD92)</f>
        <v>0</v>
      </c>
      <c r="AE88" s="181">
        <f>SUM(AE89:AE92)</f>
        <v>0</v>
      </c>
      <c r="AF88" s="13">
        <f t="shared" si="62"/>
        <v>315.7981030000001</v>
      </c>
    </row>
    <row r="89" spans="8:32" ht="42.75" customHeight="1">
      <c r="H89" s="51" t="s">
        <v>56</v>
      </c>
      <c r="I89" s="62">
        <f>POAI!C87</f>
        <v>30</v>
      </c>
      <c r="J89" s="89">
        <f>POAI!D87</f>
        <v>60</v>
      </c>
      <c r="K89" s="89">
        <f>POAI!E87</f>
        <v>0</v>
      </c>
      <c r="L89" s="89">
        <f>POAI!F87</f>
        <v>0</v>
      </c>
      <c r="M89" s="115">
        <f>POAI!G87</f>
        <v>0</v>
      </c>
      <c r="N89" s="117">
        <f t="shared" si="59"/>
        <v>90</v>
      </c>
      <c r="O89" s="62">
        <f aca="true" t="shared" si="66" ref="O89:T92">+I89*1.03</f>
        <v>30.900000000000002</v>
      </c>
      <c r="P89" s="89">
        <f t="shared" si="66"/>
        <v>61.800000000000004</v>
      </c>
      <c r="Q89" s="89">
        <f t="shared" si="66"/>
        <v>0</v>
      </c>
      <c r="R89" s="89">
        <f t="shared" si="66"/>
        <v>0</v>
      </c>
      <c r="S89" s="115">
        <f t="shared" si="66"/>
        <v>0</v>
      </c>
      <c r="T89" s="117">
        <f t="shared" si="66"/>
        <v>92.7</v>
      </c>
      <c r="U89" s="195">
        <f aca="true" t="shared" si="67" ref="U89:Y92">+O89*1.03</f>
        <v>31.827</v>
      </c>
      <c r="V89" s="89">
        <f t="shared" si="67"/>
        <v>63.654</v>
      </c>
      <c r="W89" s="89">
        <f t="shared" si="67"/>
        <v>0</v>
      </c>
      <c r="X89" s="89">
        <f t="shared" si="67"/>
        <v>0</v>
      </c>
      <c r="Y89" s="90">
        <f t="shared" si="67"/>
        <v>0</v>
      </c>
      <c r="Z89" s="121">
        <f t="shared" si="61"/>
        <v>95.48100000000001</v>
      </c>
      <c r="AA89" s="62">
        <f aca="true" t="shared" si="68" ref="AA89:AE92">+U89*1.03</f>
        <v>32.78181</v>
      </c>
      <c r="AB89" s="89">
        <f t="shared" si="68"/>
        <v>65.56362</v>
      </c>
      <c r="AC89" s="89">
        <f t="shared" si="68"/>
        <v>0</v>
      </c>
      <c r="AD89" s="89">
        <f t="shared" si="68"/>
        <v>0</v>
      </c>
      <c r="AE89" s="115">
        <f t="shared" si="68"/>
        <v>0</v>
      </c>
      <c r="AF89" s="117">
        <f t="shared" si="62"/>
        <v>98.34543</v>
      </c>
    </row>
    <row r="90" spans="8:32" ht="42.75" customHeight="1">
      <c r="H90" s="52" t="s">
        <v>54</v>
      </c>
      <c r="I90" s="68">
        <f>POAI!C88</f>
        <v>37.8</v>
      </c>
      <c r="J90" s="91">
        <f>POAI!D88</f>
        <v>40</v>
      </c>
      <c r="K90" s="91">
        <f>POAI!E88</f>
        <v>0</v>
      </c>
      <c r="L90" s="91">
        <f>POAI!F88</f>
        <v>0</v>
      </c>
      <c r="M90" s="166">
        <f>POAI!G88</f>
        <v>0</v>
      </c>
      <c r="N90" s="69">
        <f t="shared" si="59"/>
        <v>77.8</v>
      </c>
      <c r="O90" s="68">
        <f t="shared" si="66"/>
        <v>38.934</v>
      </c>
      <c r="P90" s="91">
        <f t="shared" si="66"/>
        <v>41.2</v>
      </c>
      <c r="Q90" s="91">
        <f t="shared" si="66"/>
        <v>0</v>
      </c>
      <c r="R90" s="91">
        <f t="shared" si="66"/>
        <v>0</v>
      </c>
      <c r="S90" s="166">
        <f t="shared" si="66"/>
        <v>0</v>
      </c>
      <c r="T90" s="69">
        <f t="shared" si="66"/>
        <v>80.134</v>
      </c>
      <c r="U90" s="77">
        <f t="shared" si="67"/>
        <v>40.102019999999996</v>
      </c>
      <c r="V90" s="91">
        <f t="shared" si="67"/>
        <v>42.43600000000001</v>
      </c>
      <c r="W90" s="91">
        <f t="shared" si="67"/>
        <v>0</v>
      </c>
      <c r="X90" s="91">
        <f t="shared" si="67"/>
        <v>0</v>
      </c>
      <c r="Y90" s="92">
        <f t="shared" si="67"/>
        <v>0</v>
      </c>
      <c r="Z90" s="122">
        <f t="shared" si="61"/>
        <v>82.53802</v>
      </c>
      <c r="AA90" s="68">
        <f t="shared" si="68"/>
        <v>41.3050806</v>
      </c>
      <c r="AB90" s="91">
        <f t="shared" si="68"/>
        <v>43.70908000000001</v>
      </c>
      <c r="AC90" s="91">
        <f t="shared" si="68"/>
        <v>0</v>
      </c>
      <c r="AD90" s="91">
        <f t="shared" si="68"/>
        <v>0</v>
      </c>
      <c r="AE90" s="166">
        <f t="shared" si="68"/>
        <v>0</v>
      </c>
      <c r="AF90" s="69">
        <f t="shared" si="62"/>
        <v>85.0141606</v>
      </c>
    </row>
    <row r="91" spans="8:32" ht="42.75" customHeight="1">
      <c r="H91" s="52" t="s">
        <v>55</v>
      </c>
      <c r="I91" s="68">
        <f>POAI!C89</f>
        <v>25</v>
      </c>
      <c r="J91" s="91">
        <f>POAI!D89</f>
        <v>20</v>
      </c>
      <c r="K91" s="91">
        <f>POAI!E89</f>
        <v>0</v>
      </c>
      <c r="L91" s="91">
        <f>POAI!F89</f>
        <v>0</v>
      </c>
      <c r="M91" s="166">
        <f>POAI!G89</f>
        <v>0</v>
      </c>
      <c r="N91" s="69">
        <f t="shared" si="59"/>
        <v>45</v>
      </c>
      <c r="O91" s="68">
        <f t="shared" si="66"/>
        <v>25.75</v>
      </c>
      <c r="P91" s="91">
        <f t="shared" si="66"/>
        <v>20.6</v>
      </c>
      <c r="Q91" s="91">
        <f t="shared" si="66"/>
        <v>0</v>
      </c>
      <c r="R91" s="91">
        <f t="shared" si="66"/>
        <v>0</v>
      </c>
      <c r="S91" s="166">
        <f t="shared" si="66"/>
        <v>0</v>
      </c>
      <c r="T91" s="69">
        <f t="shared" si="66"/>
        <v>46.35</v>
      </c>
      <c r="U91" s="77">
        <f t="shared" si="67"/>
        <v>26.5225</v>
      </c>
      <c r="V91" s="91">
        <f t="shared" si="67"/>
        <v>21.218000000000004</v>
      </c>
      <c r="W91" s="91">
        <f t="shared" si="67"/>
        <v>0</v>
      </c>
      <c r="X91" s="91">
        <f t="shared" si="67"/>
        <v>0</v>
      </c>
      <c r="Y91" s="92">
        <f t="shared" si="67"/>
        <v>0</v>
      </c>
      <c r="Z91" s="122">
        <f t="shared" si="61"/>
        <v>47.740500000000004</v>
      </c>
      <c r="AA91" s="68">
        <f t="shared" si="68"/>
        <v>27.318175</v>
      </c>
      <c r="AB91" s="91">
        <f t="shared" si="68"/>
        <v>21.854540000000004</v>
      </c>
      <c r="AC91" s="91">
        <f t="shared" si="68"/>
        <v>0</v>
      </c>
      <c r="AD91" s="91">
        <f t="shared" si="68"/>
        <v>0</v>
      </c>
      <c r="AE91" s="166">
        <f t="shared" si="68"/>
        <v>0</v>
      </c>
      <c r="AF91" s="69">
        <f t="shared" si="62"/>
        <v>49.172715000000004</v>
      </c>
    </row>
    <row r="92" spans="8:32" ht="42.75" customHeight="1" thickBot="1">
      <c r="H92" s="53" t="s">
        <v>76</v>
      </c>
      <c r="I92" s="80">
        <f>POAI!C90</f>
        <v>56.2</v>
      </c>
      <c r="J92" s="93">
        <f>POAI!D90</f>
        <v>20</v>
      </c>
      <c r="K92" s="93">
        <f>POAI!E90</f>
        <v>0</v>
      </c>
      <c r="L92" s="93">
        <f>POAI!F90</f>
        <v>0</v>
      </c>
      <c r="M92" s="167">
        <f>POAI!G90</f>
        <v>0</v>
      </c>
      <c r="N92" s="182">
        <f t="shared" si="59"/>
        <v>76.2</v>
      </c>
      <c r="O92" s="80">
        <f t="shared" si="66"/>
        <v>57.886</v>
      </c>
      <c r="P92" s="93">
        <f t="shared" si="66"/>
        <v>20.6</v>
      </c>
      <c r="Q92" s="93">
        <f t="shared" si="66"/>
        <v>0</v>
      </c>
      <c r="R92" s="93">
        <f t="shared" si="66"/>
        <v>0</v>
      </c>
      <c r="S92" s="167">
        <f t="shared" si="66"/>
        <v>0</v>
      </c>
      <c r="T92" s="182">
        <f t="shared" si="66"/>
        <v>78.486</v>
      </c>
      <c r="U92" s="198">
        <f t="shared" si="67"/>
        <v>59.622580000000006</v>
      </c>
      <c r="V92" s="93">
        <f t="shared" si="67"/>
        <v>21.218000000000004</v>
      </c>
      <c r="W92" s="93">
        <f t="shared" si="67"/>
        <v>0</v>
      </c>
      <c r="X92" s="93">
        <f t="shared" si="67"/>
        <v>0</v>
      </c>
      <c r="Y92" s="94">
        <f t="shared" si="67"/>
        <v>0</v>
      </c>
      <c r="Z92" s="123">
        <f t="shared" si="61"/>
        <v>80.84058000000002</v>
      </c>
      <c r="AA92" s="80">
        <f t="shared" si="68"/>
        <v>61.41125740000001</v>
      </c>
      <c r="AB92" s="93">
        <f t="shared" si="68"/>
        <v>21.854540000000004</v>
      </c>
      <c r="AC92" s="93">
        <f t="shared" si="68"/>
        <v>0</v>
      </c>
      <c r="AD92" s="93">
        <f t="shared" si="68"/>
        <v>0</v>
      </c>
      <c r="AE92" s="167">
        <f t="shared" si="68"/>
        <v>0</v>
      </c>
      <c r="AF92" s="182">
        <f t="shared" si="62"/>
        <v>83.26579740000001</v>
      </c>
    </row>
    <row r="93" spans="8:32" ht="36" customHeight="1" thickBot="1">
      <c r="H93" s="57" t="s">
        <v>57</v>
      </c>
      <c r="I93" s="163">
        <f>I8+I38+I49+I62+I87</f>
        <v>4375.960000000001</v>
      </c>
      <c r="J93" s="163">
        <f>J8+J38+J49+J62+J87</f>
        <v>924.99</v>
      </c>
      <c r="K93" s="163">
        <f>K8+K38+K49+K62+K87</f>
        <v>370</v>
      </c>
      <c r="L93" s="163">
        <f>L8+L38+L49+L62+L87</f>
        <v>1903</v>
      </c>
      <c r="M93" s="163">
        <f>M8+M38+M49+M62+M87</f>
        <v>30</v>
      </c>
      <c r="N93" s="56">
        <f t="shared" si="59"/>
        <v>7603.950000000001</v>
      </c>
      <c r="O93" s="124">
        <f>O8+O38+O49+O62+O87</f>
        <v>4507.2388</v>
      </c>
      <c r="P93" s="124">
        <f>P8+P38+P49+P62+P87</f>
        <v>952.7397000000001</v>
      </c>
      <c r="Q93" s="124">
        <f>Q8+Q38+Q49+Q62+Q87</f>
        <v>381.1</v>
      </c>
      <c r="R93" s="124">
        <f>R8+R38+R49+R62+R87</f>
        <v>1960.0900000000001</v>
      </c>
      <c r="S93" s="194">
        <f>S8+S38+S49+S62+S87</f>
        <v>30.900000000000002</v>
      </c>
      <c r="T93" s="56">
        <f t="shared" si="60"/>
        <v>7832.0685</v>
      </c>
      <c r="U93" s="202">
        <f>U8+U38+U49+U62+U87</f>
        <v>4642.455964000001</v>
      </c>
      <c r="V93" s="124">
        <f>V8+V38+V49+V62+V87</f>
        <v>981.321891</v>
      </c>
      <c r="W93" s="124">
        <f>W8+W38+W49+W62+W87</f>
        <v>392.5330000000001</v>
      </c>
      <c r="X93" s="124">
        <f>X8+X38+X49+X62+X87</f>
        <v>2018.8927</v>
      </c>
      <c r="Y93" s="124">
        <f>Y8+Y38+Y49+Y62+Y87</f>
        <v>31.827</v>
      </c>
      <c r="Z93" s="56">
        <f t="shared" si="61"/>
        <v>8067.030555000001</v>
      </c>
      <c r="AA93" s="124">
        <f>AA8+AA38+AA49+AA62+AA87</f>
        <v>4781.7296429200005</v>
      </c>
      <c r="AB93" s="124">
        <f>AB8+AB38+AB49+AB62+AB87</f>
        <v>1010.7615477300003</v>
      </c>
      <c r="AC93" s="124">
        <f>AC8+AC38+AC49+AC62+AC87</f>
        <v>404.30899000000005</v>
      </c>
      <c r="AD93" s="124">
        <f>AD8+AD38+AD49+AD62+AD87</f>
        <v>2079.4594810000003</v>
      </c>
      <c r="AE93" s="194">
        <f>AE8+AE38+AE49+AE62+AE87</f>
        <v>32.78181</v>
      </c>
      <c r="AF93" s="56">
        <f t="shared" si="62"/>
        <v>8309.041471650002</v>
      </c>
    </row>
    <row r="94" spans="9:32" ht="12.75">
      <c r="I94" s="125"/>
      <c r="J94" s="3"/>
      <c r="K94" s="3"/>
      <c r="L94" s="3"/>
      <c r="M94" s="3"/>
      <c r="N94" s="126">
        <f>'PLAN FINANCIERO'!C81</f>
        <v>7604.4</v>
      </c>
      <c r="O94" s="125"/>
      <c r="P94" s="3"/>
      <c r="Q94" s="3"/>
      <c r="R94" s="3"/>
      <c r="S94" s="3"/>
      <c r="T94" s="126">
        <f>'PLAN FINANCIERO'!D81</f>
        <v>7832.532</v>
      </c>
      <c r="U94" s="125"/>
      <c r="V94" s="3"/>
      <c r="W94" s="3"/>
      <c r="X94" s="3"/>
      <c r="Y94" s="3"/>
      <c r="Z94" s="126">
        <f>'PLAN FINANCIERO'!E81</f>
        <v>8067.507960000001</v>
      </c>
      <c r="AA94" s="125"/>
      <c r="AB94" s="3"/>
      <c r="AC94" s="3"/>
      <c r="AD94" s="3"/>
      <c r="AE94" s="3"/>
      <c r="AF94" s="126">
        <f>'PLAN FINANCIERO'!F81</f>
        <v>8309.533198800002</v>
      </c>
    </row>
    <row r="95" spans="9:32" ht="12.75">
      <c r="I95" s="125"/>
      <c r="J95" s="3"/>
      <c r="K95" s="3"/>
      <c r="L95" s="3"/>
      <c r="M95" s="3"/>
      <c r="N95" s="126">
        <f>N93-N94</f>
        <v>-0.4499999999989086</v>
      </c>
      <c r="O95" s="125"/>
      <c r="P95" s="3"/>
      <c r="Q95" s="3"/>
      <c r="R95" s="3"/>
      <c r="S95" s="3"/>
      <c r="T95" s="126">
        <f>T93-T94</f>
        <v>-0.46349999999983993</v>
      </c>
      <c r="U95" s="125"/>
      <c r="V95" s="3"/>
      <c r="W95" s="3"/>
      <c r="X95" s="3"/>
      <c r="Y95" s="3"/>
      <c r="Z95" s="126">
        <f>Z93-Z94</f>
        <v>-0.47740499999963504</v>
      </c>
      <c r="AA95" s="125"/>
      <c r="AB95" s="3"/>
      <c r="AC95" s="3"/>
      <c r="AD95" s="3"/>
      <c r="AE95" s="3"/>
      <c r="AF95" s="126">
        <f>AF93-AF94</f>
        <v>-0.49172714999986056</v>
      </c>
    </row>
  </sheetData>
  <sheetProtection/>
  <mergeCells count="14">
    <mergeCell ref="H5:AF5"/>
    <mergeCell ref="AA6:AE6"/>
    <mergeCell ref="AF6:AF7"/>
    <mergeCell ref="H1:N1"/>
    <mergeCell ref="H2:N2"/>
    <mergeCell ref="H3:N3"/>
    <mergeCell ref="H6:H7"/>
    <mergeCell ref="N6:N7"/>
    <mergeCell ref="H4:AF4"/>
    <mergeCell ref="O6:S6"/>
    <mergeCell ref="T6:T7"/>
    <mergeCell ref="U6:Y6"/>
    <mergeCell ref="Z6:Z7"/>
    <mergeCell ref="I6:M6"/>
  </mergeCells>
  <printOptions horizontalCentered="1"/>
  <pageMargins left="0" right="0" top="0.3937007874015748" bottom="0.2755905511811024" header="0" footer="0.1968503937007874"/>
  <pageSetup horizontalDpi="600" verticalDpi="600" orientation="landscape" paperSize="5" scale="55" r:id="rId1"/>
  <headerFooter alignWithMargins="0">
    <oddFooter>&amp;CPágina &amp;P de &amp;N</oddFooter>
  </headerFooter>
  <ignoredErrors>
    <ignoredError sqref="O20:S20 Z8:Z19 O16:S16 AA16:AF16 O24:S24 AA24:AF24 O32:S32 O45:S45 AA45:AF45 O52:S52 AA52:AE52 O59:S59 AA59:AE59 O74:S74 AA74:AE74 O72:S72 AA72:AE72 Z87:Z93 O77:S84 AA77:AE83 AA32:AF32 I78:M78 I80:M80 I82:M82 I84:M84 Z66:Z83 O41:S41 U41:Y41 AA41:AF41 O55:S55 Z21:Z54 N87:N93 U20:AF20 U16:Y16 U24:Y24 U32:Y32 U45:Y45 U52:Y52 U59:Y59 U74:Y74 U72:Y72 U84:AE84 U55:AE55 U77:Y83 T87:T93 T8:T56 Z56 N8:N56 N57:AF58 T59:T65 N59:N65 Z59:Z65 T66:T84 N67:N84 I86:M86 N85:AE85 T86 Z86 O86:S86 AA86:AF86 U86:Y86" formula="1"/>
    <ignoredError sqref="L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SFPD</dc:creator>
  <cp:keywords/>
  <dc:description/>
  <cp:lastModifiedBy>Mayra Leguizamon</cp:lastModifiedBy>
  <cp:lastPrinted>2012-05-23T13:20:44Z</cp:lastPrinted>
  <dcterms:created xsi:type="dcterms:W3CDTF">2008-02-20T16:46:55Z</dcterms:created>
  <dcterms:modified xsi:type="dcterms:W3CDTF">2013-12-16T22:41:47Z</dcterms:modified>
  <cp:category/>
  <cp:version/>
  <cp:contentType/>
  <cp:contentStatus/>
</cp:coreProperties>
</file>